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tables/table1.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diagrams/data9.xml" ContentType="application/vnd.openxmlformats-officedocument.drawingml.diagramData+xml"/>
  <Override PartName="/xl/diagrams/layout9.xml" ContentType="application/vnd.openxmlformats-officedocument.drawingml.diagramLayout+xml"/>
  <Override PartName="/xl/diagrams/quickStyle9.xml" ContentType="application/vnd.openxmlformats-officedocument.drawingml.diagramStyle+xml"/>
  <Override PartName="/xl/diagrams/colors9.xml" ContentType="application/vnd.openxmlformats-officedocument.drawingml.diagramColors+xml"/>
  <Override PartName="/xl/diagrams/drawing9.xml" ContentType="application/vnd.ms-office.drawingml.diagramDrawing+xml"/>
  <Override PartName="/xl/comments4.xml" ContentType="application/vnd.openxmlformats-officedocument.spreadsheetml.comments+xml"/>
  <Override PartName="/xl/threadedComments/threadedComment4.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91ee4bf60c7ce67e/Documents/"/>
    </mc:Choice>
  </mc:AlternateContent>
  <xr:revisionPtr revIDLastSave="16588" documentId="10_ncr:20000_{D5A25031-4B8F-445D-B146-E1E27151A66C}" xr6:coauthVersionLast="47" xr6:coauthVersionMax="47" xr10:uidLastSave="{56AA8C25-AC93-489E-B042-5C8493F9D405}"/>
  <bookViews>
    <workbookView xWindow="-98" yWindow="-98" windowWidth="21795" windowHeight="12975" tabRatio="817" activeTab="1" xr2:uid="{992C684B-2C78-4B3D-B2FE-B5116AD03346}"/>
  </bookViews>
  <sheets>
    <sheet name="Land Optimisation " sheetId="1" r:id="rId1"/>
    <sheet name="Mangal Foundation" sheetId="36" r:id="rId2"/>
    <sheet name="Mangal Irrigation V6" sheetId="16" r:id="rId3"/>
    <sheet name="Mangal AeroponicsV6" sheetId="30" r:id="rId4"/>
    <sheet name="Mangal Water Requirement " sheetId="43" r:id="rId5"/>
    <sheet name="Design Considerations" sheetId="12" r:id="rId6"/>
    <sheet name="Stages of planning" sheetId="20" r:id="rId7"/>
    <sheet name="BoM" sheetId="23" r:id="rId8"/>
    <sheet name="Borewells" sheetId="22" r:id="rId9"/>
    <sheet name="PH Specification " sheetId="21" r:id="rId10"/>
    <sheet name="Water Calculation V3.1" sheetId="2" r:id="rId11"/>
    <sheet name="Drain Calculator " sheetId="6" r:id="rId12"/>
    <sheet name="Drainage@45 (Old) " sheetId="25" state="hidden" r:id="rId13"/>
    <sheet name="Aeroponics vs Dripper Flow Rate" sheetId="38" r:id="rId14"/>
    <sheet name="Level Calculation Drone Survey" sheetId="26" r:id="rId15"/>
    <sheet name="Cutting Filling Drone Survey " sheetId="31" r:id="rId16"/>
    <sheet name="Functional Levels Drone Survey" sheetId="27" r:id="rId17"/>
    <sheet name="Existing Levels Drone Survey" sheetId="28" r:id="rId18"/>
    <sheet name="Level Difference Drone Survey" sheetId="29" r:id="rId19"/>
    <sheet name="Drawings to Develope " sheetId="33" r:id="rId20"/>
    <sheet name="Soil Cutting &amp; Filling (Drone)" sheetId="37" r:id="rId21"/>
    <sheet name="Final Comments" sheetId="39" r:id="rId22"/>
    <sheet name="IoTController Requirement" sheetId="40" r:id="rId23"/>
    <sheet name="Drainage@45D (New Level)" sheetId="41" r:id="rId24"/>
    <sheet name="Plumbing" sheetId="32" r:id="rId25"/>
    <sheet name="Mangal Sprinkler " sheetId="42" r:id="rId26"/>
  </sheets>
  <definedNames>
    <definedName name="_xlnm._FilterDatabase" localSheetId="13" hidden="1">'Aeroponics vs Dripper Flow Rate'!$A$2:$D$2</definedName>
    <definedName name="_xlnm._FilterDatabase" localSheetId="15" hidden="1">'Cutting Filling Drone Survey '!$A$1:$D$80</definedName>
    <definedName name="_xlnm._FilterDatabase" localSheetId="12" hidden="1">'Drainage@45 (Old) '!$A$154:$AI$154</definedName>
    <definedName name="_xlnm._FilterDatabase" localSheetId="23" hidden="1">'Drainage@45D (New Level)'!$A$154:$AA$260</definedName>
    <definedName name="_xlnm._FilterDatabase" localSheetId="0" hidden="1">'Land Optimisation '!#REF!</definedName>
    <definedName name="_xlnm._FilterDatabase" localSheetId="14" hidden="1">'Level Calculation Drone Survey'!$A$2:$CA$2</definedName>
    <definedName name="_xlnm._FilterDatabase" localSheetId="3" hidden="1">'Mangal AeroponicsV6'!$A$144:$I$161</definedName>
    <definedName name="_xlnm._FilterDatabase" localSheetId="1" hidden="1">'Mangal Foundation'!$AR$2:$AT$19</definedName>
    <definedName name="_xlnm._FilterDatabase" localSheetId="2" hidden="1">'Mangal Irrigation V6'!$A$18:$BB$48</definedName>
    <definedName name="_xlnm._FilterDatabase" localSheetId="25" hidden="1">'Mangal Sprinkler '!$A$688:$H$729</definedName>
    <definedName name="_xlnm.Print_Area" localSheetId="23">'Drainage@45D (New Level)'!$A$154:$R$244</definedName>
    <definedName name="_xlnm.Print_Area" localSheetId="17">'Existing Levels Drone Survey'!$A$1:$EY$92</definedName>
    <definedName name="_xlnm.Print_Area" localSheetId="16">'Functional Levels Drone Survey'!$A$1:$EV$85</definedName>
    <definedName name="_xlnm.Print_Area" localSheetId="0">'Land Optimisation '!#REF!</definedName>
    <definedName name="_xlnm.Print_Area" localSheetId="14">'Level Calculation Drone Survey'!$A$2:$AD$261</definedName>
    <definedName name="_xlnm.Print_Area" localSheetId="18">'Level Difference Drone Survey'!$A$1:$EY$92</definedName>
    <definedName name="_xlnm.Print_Area" localSheetId="3">'Mangal AeroponicsV6'!$A$1:$AJ$92</definedName>
    <definedName name="_xlnm.Print_Area" localSheetId="2">'Mangal Irrigation V6'!$A$1:$AJ$82</definedName>
    <definedName name="_xlnm.Print_Area" localSheetId="9">'PH Specification '!$B$2:$F$220</definedName>
    <definedName name="_xlnm.Print_Titles" localSheetId="23">'Drainage@45D (New Level)'!$154:$154</definedName>
    <definedName name="_xlnm.Print_Titles" localSheetId="9">'PH Specification '!$6:$6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8" i="16" l="1" a="1"/>
  <c r="E78" i="16" s="1"/>
  <c r="C78" i="16" a="1"/>
  <c r="C78" i="16" s="1"/>
  <c r="AD19" i="36"/>
  <c r="AD17" i="36"/>
  <c r="AD16" i="36"/>
  <c r="AD15" i="36"/>
  <c r="AD14" i="36"/>
  <c r="AD13" i="36"/>
  <c r="AD12" i="36"/>
  <c r="AD11" i="36"/>
  <c r="AD10" i="36"/>
  <c r="AD9" i="36"/>
  <c r="AD8" i="36"/>
  <c r="AD7" i="36"/>
  <c r="AD6" i="36"/>
  <c r="AD5" i="36"/>
  <c r="AD4" i="36"/>
  <c r="AD3" i="36"/>
  <c r="AI17" i="36"/>
  <c r="AK17" i="36" s="1"/>
  <c r="AI7" i="36"/>
  <c r="AK7" i="36" s="1"/>
  <c r="AA3" i="36"/>
  <c r="Y3" i="36"/>
  <c r="R42" i="2" l="1"/>
  <c r="N42" i="2"/>
  <c r="M42" i="2"/>
  <c r="P42" i="2"/>
  <c r="J101" i="2"/>
  <c r="K101" i="2"/>
  <c r="I101" i="2"/>
  <c r="H96" i="2"/>
  <c r="G101" i="2"/>
  <c r="G96" i="2"/>
  <c r="I96" i="2"/>
  <c r="J96" i="2"/>
  <c r="H80" i="2"/>
  <c r="F125" i="2"/>
  <c r="I61" i="2"/>
  <c r="H61" i="2"/>
  <c r="J17" i="36"/>
  <c r="Z5" i="36"/>
  <c r="Z6" i="36"/>
  <c r="Z7" i="36"/>
  <c r="Z9" i="36"/>
  <c r="Z10" i="36"/>
  <c r="Z11" i="36"/>
  <c r="Z12" i="36"/>
  <c r="Z13" i="36"/>
  <c r="Z14" i="36"/>
  <c r="Z15" i="36"/>
  <c r="Z16" i="36"/>
  <c r="E17" i="36"/>
  <c r="Y4" i="36"/>
  <c r="Y5" i="36"/>
  <c r="Y6" i="36"/>
  <c r="Y7" i="36"/>
  <c r="Y8" i="36"/>
  <c r="Y9" i="36"/>
  <c r="Y10" i="36"/>
  <c r="Y11" i="36"/>
  <c r="Y12" i="36"/>
  <c r="Y13" i="36"/>
  <c r="Y14" i="36"/>
  <c r="Y15" i="36"/>
  <c r="Y16" i="36"/>
  <c r="Y17" i="36"/>
  <c r="AA4" i="36"/>
  <c r="AA5" i="36"/>
  <c r="AA6" i="36"/>
  <c r="AA7" i="36"/>
  <c r="AA8" i="36"/>
  <c r="AA9" i="36"/>
  <c r="AA10" i="36"/>
  <c r="AA11" i="36"/>
  <c r="AA12" i="36"/>
  <c r="AA13" i="36"/>
  <c r="AA14" i="36"/>
  <c r="AA15" i="36"/>
  <c r="AA16" i="36"/>
  <c r="AA17" i="36"/>
  <c r="Z17" i="36" l="1"/>
  <c r="AH17" i="36"/>
  <c r="AJ17" i="36" s="1"/>
  <c r="X17" i="36" l="1"/>
  <c r="E3" i="36"/>
  <c r="AB17" i="36" l="1"/>
  <c r="X3" i="36"/>
  <c r="Z3" i="36"/>
  <c r="T3" i="36"/>
  <c r="V3" i="36" s="1"/>
  <c r="S3" i="36"/>
  <c r="U3" i="36" s="1"/>
  <c r="L32" i="23" a="1"/>
  <c r="L32" i="23"/>
  <c r="AB3" i="36" l="1"/>
  <c r="AR17" i="36"/>
  <c r="AS17" i="36" s="1"/>
  <c r="AT17" i="36" s="1"/>
  <c r="K21" i="30"/>
  <c r="E12" i="36"/>
  <c r="R19" i="36"/>
  <c r="AR3" i="36"/>
  <c r="AS3" i="36" s="1"/>
  <c r="AT3" i="36" s="1"/>
  <c r="AR4" i="36"/>
  <c r="AS4" i="36" s="1"/>
  <c r="AT4" i="36" s="1"/>
  <c r="AR5" i="36"/>
  <c r="AS5" i="36" s="1"/>
  <c r="AT5" i="36" s="1"/>
  <c r="AR6" i="36"/>
  <c r="AS6" i="36" s="1"/>
  <c r="AT6" i="36" s="1"/>
  <c r="AR7" i="36"/>
  <c r="AS7" i="36"/>
  <c r="AT7" i="36" s="1"/>
  <c r="AR8" i="36"/>
  <c r="AS8" i="36" s="1"/>
  <c r="AT8" i="36" s="1"/>
  <c r="AR9" i="36"/>
  <c r="AS9" i="36" s="1"/>
  <c r="AT9" i="36" s="1"/>
  <c r="AR10" i="36"/>
  <c r="AS10" i="36" s="1"/>
  <c r="AT10" i="36" s="1"/>
  <c r="AR11" i="36"/>
  <c r="AS11" i="36" s="1"/>
  <c r="AT11" i="36" s="1"/>
  <c r="AR12" i="36"/>
  <c r="AS12" i="36" s="1"/>
  <c r="AT12" i="36" s="1"/>
  <c r="AR13" i="36"/>
  <c r="AS13" i="36" s="1"/>
  <c r="AT13" i="36" s="1"/>
  <c r="AR14" i="36"/>
  <c r="AS14" i="36" s="1"/>
  <c r="AT14" i="36" s="1"/>
  <c r="AR15" i="36"/>
  <c r="AS15" i="36" s="1"/>
  <c r="AT15" i="36" s="1"/>
  <c r="AR16" i="36"/>
  <c r="AS16" i="36" s="1"/>
  <c r="AT16" i="36" s="1"/>
  <c r="J11" i="36"/>
  <c r="J12" i="36"/>
  <c r="J13" i="36"/>
  <c r="J14" i="36"/>
  <c r="J15" i="36"/>
  <c r="J16" i="36"/>
  <c r="J3" i="36"/>
  <c r="J4" i="36"/>
  <c r="J5" i="36"/>
  <c r="J6" i="36"/>
  <c r="J7" i="36"/>
  <c r="J8" i="36"/>
  <c r="J9" i="36"/>
  <c r="J10" i="36"/>
  <c r="J21" i="30"/>
  <c r="Q120" i="30"/>
  <c r="O121" i="30"/>
  <c r="O122" i="30"/>
  <c r="O123" i="30"/>
  <c r="O124" i="30"/>
  <c r="O125" i="30"/>
  <c r="O126" i="30"/>
  <c r="O127" i="30"/>
  <c r="O128" i="30"/>
  <c r="O129" i="30"/>
  <c r="O130" i="30"/>
  <c r="O131" i="30"/>
  <c r="O132" i="30"/>
  <c r="O133" i="30"/>
  <c r="O134" i="30"/>
  <c r="O135" i="30"/>
  <c r="O120" i="30"/>
  <c r="AI16" i="36"/>
  <c r="AK16" i="36" s="1"/>
  <c r="AI3" i="36"/>
  <c r="AK3" i="36" s="1"/>
  <c r="AI4" i="36"/>
  <c r="AK4" i="36" s="1"/>
  <c r="AI5" i="36"/>
  <c r="AK5" i="36" s="1"/>
  <c r="AI6" i="36"/>
  <c r="AK6" i="36" s="1"/>
  <c r="AI8" i="36"/>
  <c r="AK8" i="36" s="1"/>
  <c r="AI9" i="36"/>
  <c r="AK9" i="36" s="1"/>
  <c r="AI10" i="36"/>
  <c r="AK10" i="36" s="1"/>
  <c r="AI11" i="36"/>
  <c r="AK11" i="36" s="1"/>
  <c r="AI12" i="36"/>
  <c r="AK12" i="36" s="1"/>
  <c r="AI13" i="36"/>
  <c r="AK13" i="36" s="1"/>
  <c r="AI14" i="36"/>
  <c r="AK14" i="36" s="1"/>
  <c r="AI15" i="36"/>
  <c r="AK15" i="36" s="1"/>
  <c r="E5" i="36"/>
  <c r="X5" i="36" s="1"/>
  <c r="I20" i="33"/>
  <c r="I22" i="33"/>
  <c r="L23" i="43"/>
  <c r="L24" i="43"/>
  <c r="N21" i="43"/>
  <c r="P24" i="43" s="1"/>
  <c r="S23" i="43" s="1"/>
  <c r="L21" i="43"/>
  <c r="L22" i="43"/>
  <c r="I4" i="43"/>
  <c r="AP38" i="16"/>
  <c r="F320" i="42"/>
  <c r="F321" i="42" s="1"/>
  <c r="F264" i="42"/>
  <c r="F260" i="42"/>
  <c r="F244" i="42"/>
  <c r="D31" i="42"/>
  <c r="D32" i="42" s="1"/>
  <c r="Z30" i="42"/>
  <c r="AA30" i="42" s="1"/>
  <c r="AB30" i="42" s="1"/>
  <c r="AC30" i="42" s="1"/>
  <c r="Y30" i="42"/>
  <c r="AD30" i="42" s="1"/>
  <c r="X30" i="42"/>
  <c r="N30" i="42"/>
  <c r="M30" i="42"/>
  <c r="L30" i="42"/>
  <c r="K30" i="42"/>
  <c r="F30" i="42"/>
  <c r="AE30" i="42" s="1"/>
  <c r="Z29" i="42"/>
  <c r="AA29" i="42" s="1"/>
  <c r="AB29" i="42" s="1"/>
  <c r="AC29" i="42" s="1"/>
  <c r="Y29" i="42"/>
  <c r="AD29" i="42" s="1"/>
  <c r="X29" i="42"/>
  <c r="N29" i="42"/>
  <c r="M29" i="42"/>
  <c r="L29" i="42"/>
  <c r="K29" i="42"/>
  <c r="F29" i="42"/>
  <c r="AE29" i="42" s="1"/>
  <c r="Z28" i="42"/>
  <c r="AA28" i="42" s="1"/>
  <c r="AB28" i="42" s="1"/>
  <c r="AC28" i="42" s="1"/>
  <c r="Y28" i="42"/>
  <c r="AD28" i="42" s="1"/>
  <c r="X28" i="42"/>
  <c r="N28" i="42"/>
  <c r="M28" i="42"/>
  <c r="L28" i="42"/>
  <c r="K28" i="42"/>
  <c r="F28" i="42"/>
  <c r="AE28" i="42" s="1"/>
  <c r="Z27" i="42"/>
  <c r="AA27" i="42" s="1"/>
  <c r="AB27" i="42" s="1"/>
  <c r="AC27" i="42" s="1"/>
  <c r="Y27" i="42"/>
  <c r="AD27" i="42" s="1"/>
  <c r="X27" i="42"/>
  <c r="N27" i="42"/>
  <c r="M27" i="42"/>
  <c r="L27" i="42"/>
  <c r="K27" i="42"/>
  <c r="F27" i="42"/>
  <c r="AE27" i="42" s="1"/>
  <c r="Z26" i="42"/>
  <c r="AA26" i="42" s="1"/>
  <c r="AB26" i="42" s="1"/>
  <c r="AC26" i="42" s="1"/>
  <c r="Y26" i="42"/>
  <c r="AD26" i="42" s="1"/>
  <c r="X26" i="42"/>
  <c r="N26" i="42"/>
  <c r="M26" i="42"/>
  <c r="L26" i="42"/>
  <c r="K26" i="42"/>
  <c r="F26" i="42"/>
  <c r="AE26" i="42" s="1"/>
  <c r="Z25" i="42"/>
  <c r="AA25" i="42" s="1"/>
  <c r="AB25" i="42" s="1"/>
  <c r="AC25" i="42" s="1"/>
  <c r="Y25" i="42"/>
  <c r="AD25" i="42" s="1"/>
  <c r="X25" i="42"/>
  <c r="N25" i="42"/>
  <c r="M25" i="42"/>
  <c r="L25" i="42"/>
  <c r="K25" i="42"/>
  <c r="F25" i="42"/>
  <c r="AE25" i="42" s="1"/>
  <c r="Z24" i="42"/>
  <c r="AA24" i="42" s="1"/>
  <c r="AB24" i="42" s="1"/>
  <c r="AC24" i="42" s="1"/>
  <c r="Y24" i="42"/>
  <c r="AD24" i="42" s="1"/>
  <c r="X24" i="42"/>
  <c r="N24" i="42"/>
  <c r="M24" i="42"/>
  <c r="L24" i="42"/>
  <c r="K24" i="42"/>
  <c r="F24" i="42"/>
  <c r="AE24" i="42" s="1"/>
  <c r="Z23" i="42"/>
  <c r="AA23" i="42" s="1"/>
  <c r="AB23" i="42" s="1"/>
  <c r="AC23" i="42" s="1"/>
  <c r="Y23" i="42"/>
  <c r="AD23" i="42" s="1"/>
  <c r="X23" i="42"/>
  <c r="N23" i="42"/>
  <c r="M23" i="42"/>
  <c r="L23" i="42"/>
  <c r="K23" i="42"/>
  <c r="F23" i="42"/>
  <c r="AE23" i="42" s="1"/>
  <c r="Z22" i="42"/>
  <c r="AA22" i="42" s="1"/>
  <c r="AB22" i="42" s="1"/>
  <c r="AC22" i="42" s="1"/>
  <c r="Y22" i="42"/>
  <c r="AD22" i="42" s="1"/>
  <c r="X22" i="42"/>
  <c r="N22" i="42"/>
  <c r="M22" i="42"/>
  <c r="L22" i="42"/>
  <c r="K22" i="42"/>
  <c r="F22" i="42"/>
  <c r="AE22" i="42" s="1"/>
  <c r="Z21" i="42"/>
  <c r="AA21" i="42" s="1"/>
  <c r="AB21" i="42" s="1"/>
  <c r="AC21" i="42" s="1"/>
  <c r="Y21" i="42"/>
  <c r="AD21" i="42" s="1"/>
  <c r="X21" i="42"/>
  <c r="N21" i="42"/>
  <c r="M21" i="42"/>
  <c r="L21" i="42"/>
  <c r="K21" i="42"/>
  <c r="F21" i="42"/>
  <c r="AE21" i="42" s="1"/>
  <c r="Z20" i="42"/>
  <c r="AA20" i="42" s="1"/>
  <c r="AB20" i="42" s="1"/>
  <c r="AC20" i="42" s="1"/>
  <c r="Y20" i="42"/>
  <c r="AD20" i="42" s="1"/>
  <c r="X20" i="42"/>
  <c r="N20" i="42"/>
  <c r="M20" i="42"/>
  <c r="L20" i="42"/>
  <c r="K20" i="42"/>
  <c r="F20" i="42"/>
  <c r="AE20" i="42" s="1"/>
  <c r="Z19" i="42"/>
  <c r="AA19" i="42" s="1"/>
  <c r="AB19" i="42" s="1"/>
  <c r="AC19" i="42" s="1"/>
  <c r="Y19" i="42"/>
  <c r="AD19" i="42" s="1"/>
  <c r="X19" i="42"/>
  <c r="N19" i="42"/>
  <c r="M19" i="42"/>
  <c r="L19" i="42"/>
  <c r="K19" i="42"/>
  <c r="F19" i="42"/>
  <c r="AE19" i="42" s="1"/>
  <c r="Z18" i="42"/>
  <c r="AA18" i="42" s="1"/>
  <c r="AB18" i="42" s="1"/>
  <c r="AC18" i="42" s="1"/>
  <c r="Y18" i="42"/>
  <c r="AD18" i="42" s="1"/>
  <c r="X18" i="42"/>
  <c r="N18" i="42"/>
  <c r="M18" i="42"/>
  <c r="L18" i="42"/>
  <c r="K18" i="42"/>
  <c r="F18" i="42"/>
  <c r="AE18" i="42" s="1"/>
  <c r="Z17" i="42"/>
  <c r="AA17" i="42" s="1"/>
  <c r="AB17" i="42" s="1"/>
  <c r="AC17" i="42" s="1"/>
  <c r="Y17" i="42"/>
  <c r="AD17" i="42" s="1"/>
  <c r="X17" i="42"/>
  <c r="N17" i="42"/>
  <c r="M17" i="42"/>
  <c r="L17" i="42"/>
  <c r="K17" i="42"/>
  <c r="F17" i="42"/>
  <c r="AE17" i="42" s="1"/>
  <c r="Z16" i="42"/>
  <c r="AA16" i="42" s="1"/>
  <c r="AB16" i="42" s="1"/>
  <c r="AC16" i="42" s="1"/>
  <c r="Y16" i="42"/>
  <c r="AD16" i="42" s="1"/>
  <c r="X16" i="42"/>
  <c r="N16" i="42"/>
  <c r="M16" i="42"/>
  <c r="L16" i="42"/>
  <c r="K16" i="42"/>
  <c r="F16" i="42"/>
  <c r="AE16" i="42" s="1"/>
  <c r="Z15" i="42"/>
  <c r="AA15" i="42" s="1"/>
  <c r="AB15" i="42" s="1"/>
  <c r="AC15" i="42" s="1"/>
  <c r="Y15" i="42"/>
  <c r="AD15" i="42" s="1"/>
  <c r="X15" i="42"/>
  <c r="N15" i="42"/>
  <c r="M15" i="42"/>
  <c r="L15" i="42"/>
  <c r="K15" i="42"/>
  <c r="F15" i="42"/>
  <c r="AE15" i="42" s="1"/>
  <c r="Z14" i="42"/>
  <c r="AA14" i="42" s="1"/>
  <c r="AB14" i="42" s="1"/>
  <c r="AC14" i="42" s="1"/>
  <c r="Y14" i="42"/>
  <c r="AD14" i="42" s="1"/>
  <c r="X14" i="42"/>
  <c r="N14" i="42"/>
  <c r="M14" i="42"/>
  <c r="L14" i="42"/>
  <c r="K14" i="42"/>
  <c r="F14" i="42"/>
  <c r="AE14" i="42" s="1"/>
  <c r="Z13" i="42"/>
  <c r="AA13" i="42" s="1"/>
  <c r="AB13" i="42" s="1"/>
  <c r="AC13" i="42" s="1"/>
  <c r="Y13" i="42"/>
  <c r="AD13" i="42" s="1"/>
  <c r="X13" i="42"/>
  <c r="N13" i="42"/>
  <c r="M13" i="42"/>
  <c r="L13" i="42"/>
  <c r="K13" i="42"/>
  <c r="F13" i="42"/>
  <c r="AE13" i="42" s="1"/>
  <c r="Z12" i="42"/>
  <c r="AA12" i="42" s="1"/>
  <c r="AB12" i="42" s="1"/>
  <c r="AC12" i="42" s="1"/>
  <c r="Y12" i="42"/>
  <c r="AD12" i="42" s="1"/>
  <c r="X12" i="42"/>
  <c r="N12" i="42"/>
  <c r="M12" i="42"/>
  <c r="L12" i="42"/>
  <c r="K12" i="42"/>
  <c r="F12" i="42"/>
  <c r="AE12" i="42" s="1"/>
  <c r="Z11" i="42"/>
  <c r="AA11" i="42" s="1"/>
  <c r="AB11" i="42" s="1"/>
  <c r="AC11" i="42" s="1"/>
  <c r="Y11" i="42"/>
  <c r="AD11" i="42" s="1"/>
  <c r="X11" i="42"/>
  <c r="N11" i="42"/>
  <c r="M11" i="42"/>
  <c r="L11" i="42"/>
  <c r="K11" i="42"/>
  <c r="F11" i="42"/>
  <c r="AE11" i="42" s="1"/>
  <c r="Z10" i="42"/>
  <c r="AA10" i="42" s="1"/>
  <c r="AB10" i="42" s="1"/>
  <c r="AC10" i="42" s="1"/>
  <c r="Y10" i="42"/>
  <c r="AD10" i="42" s="1"/>
  <c r="X10" i="42"/>
  <c r="N10" i="42"/>
  <c r="M10" i="42"/>
  <c r="L10" i="42"/>
  <c r="K10" i="42"/>
  <c r="F10" i="42"/>
  <c r="AE10" i="42" s="1"/>
  <c r="Z9" i="42"/>
  <c r="AA9" i="42" s="1"/>
  <c r="AB9" i="42" s="1"/>
  <c r="AC9" i="42" s="1"/>
  <c r="Y9" i="42"/>
  <c r="AD9" i="42" s="1"/>
  <c r="X9" i="42"/>
  <c r="N9" i="42"/>
  <c r="M9" i="42"/>
  <c r="L9" i="42"/>
  <c r="K9" i="42"/>
  <c r="F9" i="42"/>
  <c r="AE9" i="42" s="1"/>
  <c r="AM8" i="42"/>
  <c r="AL8" i="42" s="1"/>
  <c r="Z8" i="42"/>
  <c r="AA8" i="42" s="1"/>
  <c r="AB8" i="42" s="1"/>
  <c r="AC8" i="42" s="1"/>
  <c r="Y8" i="42"/>
  <c r="AD8" i="42" s="1"/>
  <c r="X8" i="42"/>
  <c r="N8" i="42"/>
  <c r="M8" i="42"/>
  <c r="L8" i="42"/>
  <c r="K8" i="42"/>
  <c r="F8" i="42"/>
  <c r="AE8" i="42" s="1"/>
  <c r="Z7" i="42"/>
  <c r="AA7" i="42" s="1"/>
  <c r="AB7" i="42" s="1"/>
  <c r="AC7" i="42" s="1"/>
  <c r="Y7" i="42"/>
  <c r="AD7" i="42" s="1"/>
  <c r="X7" i="42"/>
  <c r="N7" i="42"/>
  <c r="M7" i="42"/>
  <c r="L7" i="42"/>
  <c r="K7" i="42"/>
  <c r="F7" i="42"/>
  <c r="AE7" i="42" s="1"/>
  <c r="Z6" i="42"/>
  <c r="Y6" i="42"/>
  <c r="AD6" i="42" s="1"/>
  <c r="X6" i="42"/>
  <c r="N6" i="42"/>
  <c r="M6" i="42"/>
  <c r="L6" i="42"/>
  <c r="K6" i="42"/>
  <c r="F6" i="42"/>
  <c r="AE6" i="42" s="1"/>
  <c r="Z5" i="42"/>
  <c r="AA5" i="42" s="1"/>
  <c r="AB5" i="42" s="1"/>
  <c r="AC5" i="42" s="1"/>
  <c r="Y5" i="42"/>
  <c r="AD5" i="42" s="1"/>
  <c r="X5" i="42"/>
  <c r="N5" i="42"/>
  <c r="M5" i="42"/>
  <c r="L5" i="42"/>
  <c r="K5" i="42"/>
  <c r="F5" i="42"/>
  <c r="AE5" i="42" s="1"/>
  <c r="Z4" i="42"/>
  <c r="AA4" i="42" s="1"/>
  <c r="AB4" i="42" s="1"/>
  <c r="AC4" i="42" s="1"/>
  <c r="Y4" i="42"/>
  <c r="AD4" i="42" s="1"/>
  <c r="X4" i="42"/>
  <c r="N4" i="42"/>
  <c r="M4" i="42"/>
  <c r="L4" i="42"/>
  <c r="K4" i="42"/>
  <c r="F4" i="42"/>
  <c r="AE4" i="42" s="1"/>
  <c r="Z3" i="42"/>
  <c r="AA3" i="42" s="1"/>
  <c r="Y3" i="42"/>
  <c r="AD3" i="42" s="1"/>
  <c r="X3" i="42"/>
  <c r="N3" i="42"/>
  <c r="M3" i="42"/>
  <c r="L3" i="42"/>
  <c r="K3" i="42"/>
  <c r="F3" i="42"/>
  <c r="AE3" i="42" s="1"/>
  <c r="AB5" i="36" l="1"/>
  <c r="AN12" i="36"/>
  <c r="X12" i="36"/>
  <c r="AB12" i="36" s="1"/>
  <c r="J19" i="36"/>
  <c r="AH5" i="36"/>
  <c r="AJ5" i="36" s="1"/>
  <c r="AN5" i="36"/>
  <c r="AN3" i="36"/>
  <c r="AT19" i="36"/>
  <c r="AS19" i="36"/>
  <c r="AR19" i="36"/>
  <c r="O28" i="42"/>
  <c r="Q28" i="42" s="1"/>
  <c r="S28" i="42" s="1"/>
  <c r="U28" i="42" s="1"/>
  <c r="V28" i="42" s="1"/>
  <c r="O29" i="42"/>
  <c r="Q29" i="42" s="1"/>
  <c r="S29" i="42" s="1"/>
  <c r="U29" i="42" s="1"/>
  <c r="V29" i="42" s="1"/>
  <c r="O30" i="42"/>
  <c r="Q30" i="42" s="1"/>
  <c r="S30" i="42" s="1"/>
  <c r="U30" i="42" s="1"/>
  <c r="V30" i="42" s="1"/>
  <c r="O16" i="42"/>
  <c r="Q16" i="42" s="1"/>
  <c r="S16" i="42" s="1"/>
  <c r="U16" i="42" s="1"/>
  <c r="V16" i="42" s="1"/>
  <c r="O19" i="42"/>
  <c r="Q19" i="42" s="1"/>
  <c r="S19" i="42" s="1"/>
  <c r="U19" i="42" s="1"/>
  <c r="V19" i="42" s="1"/>
  <c r="N31" i="42"/>
  <c r="O5" i="42"/>
  <c r="Q5" i="42" s="1"/>
  <c r="S5" i="42" s="1"/>
  <c r="U5" i="42" s="1"/>
  <c r="V5" i="42" s="1"/>
  <c r="O6" i="42"/>
  <c r="Q6" i="42" s="1"/>
  <c r="S6" i="42" s="1"/>
  <c r="U6" i="42" s="1"/>
  <c r="V6" i="42" s="1"/>
  <c r="O14" i="42"/>
  <c r="Q14" i="42" s="1"/>
  <c r="S14" i="42" s="1"/>
  <c r="U14" i="42" s="1"/>
  <c r="V14" i="42" s="1"/>
  <c r="O15" i="42"/>
  <c r="Q15" i="42" s="1"/>
  <c r="S15" i="42" s="1"/>
  <c r="U15" i="42" s="1"/>
  <c r="V15" i="42" s="1"/>
  <c r="O25" i="42"/>
  <c r="Q25" i="42" s="1"/>
  <c r="S25" i="42" s="1"/>
  <c r="U25" i="42" s="1"/>
  <c r="V25" i="42" s="1"/>
  <c r="O7" i="42"/>
  <c r="Q7" i="42" s="1"/>
  <c r="S7" i="42" s="1"/>
  <c r="U7" i="42" s="1"/>
  <c r="V7" i="42" s="1"/>
  <c r="O22" i="42"/>
  <c r="Q22" i="42" s="1"/>
  <c r="S22" i="42" s="1"/>
  <c r="U22" i="42" s="1"/>
  <c r="V22" i="42" s="1"/>
  <c r="O23" i="42"/>
  <c r="Q23" i="42" s="1"/>
  <c r="S23" i="42" s="1"/>
  <c r="U23" i="42" s="1"/>
  <c r="V23" i="42" s="1"/>
  <c r="O24" i="42"/>
  <c r="Q24" i="42" s="1"/>
  <c r="S24" i="42" s="1"/>
  <c r="U24" i="42" s="1"/>
  <c r="V24" i="42" s="1"/>
  <c r="O26" i="42"/>
  <c r="Q26" i="42" s="1"/>
  <c r="S26" i="42" s="1"/>
  <c r="U26" i="42" s="1"/>
  <c r="V26" i="42" s="1"/>
  <c r="O9" i="42"/>
  <c r="Q9" i="42" s="1"/>
  <c r="S9" i="42" s="1"/>
  <c r="U9" i="42" s="1"/>
  <c r="V9" i="42" s="1"/>
  <c r="O11" i="42"/>
  <c r="Q11" i="42" s="1"/>
  <c r="S11" i="42" s="1"/>
  <c r="U11" i="42" s="1"/>
  <c r="V11" i="42" s="1"/>
  <c r="AK8" i="42"/>
  <c r="AL10" i="42" s="1"/>
  <c r="AL11" i="42" s="1"/>
  <c r="Z31" i="42"/>
  <c r="X31" i="42"/>
  <c r="O12" i="42"/>
  <c r="Q12" i="42" s="1"/>
  <c r="S12" i="42" s="1"/>
  <c r="U12" i="42" s="1"/>
  <c r="V12" i="42" s="1"/>
  <c r="O13" i="42"/>
  <c r="Q13" i="42" s="1"/>
  <c r="S13" i="42" s="1"/>
  <c r="U13" i="42" s="1"/>
  <c r="V13" i="42" s="1"/>
  <c r="O20" i="42"/>
  <c r="Q20" i="42" s="1"/>
  <c r="S20" i="42" s="1"/>
  <c r="U20" i="42" s="1"/>
  <c r="V20" i="42" s="1"/>
  <c r="O21" i="42"/>
  <c r="Q21" i="42" s="1"/>
  <c r="S21" i="42" s="1"/>
  <c r="U21" i="42" s="1"/>
  <c r="V21" i="42" s="1"/>
  <c r="O27" i="42"/>
  <c r="Q27" i="42" s="1"/>
  <c r="S27" i="42" s="1"/>
  <c r="U27" i="42" s="1"/>
  <c r="V27" i="42" s="1"/>
  <c r="O8" i="42"/>
  <c r="Q8" i="42" s="1"/>
  <c r="S8" i="42" s="1"/>
  <c r="U8" i="42" s="1"/>
  <c r="V8" i="42" s="1"/>
  <c r="O10" i="42"/>
  <c r="Q10" i="42" s="1"/>
  <c r="S10" i="42" s="1"/>
  <c r="U10" i="42" s="1"/>
  <c r="V10" i="42" s="1"/>
  <c r="O18" i="42"/>
  <c r="Q18" i="42" s="1"/>
  <c r="S18" i="42" s="1"/>
  <c r="U18" i="42" s="1"/>
  <c r="V18" i="42" s="1"/>
  <c r="S5" i="36"/>
  <c r="U5" i="36" s="1"/>
  <c r="AI19" i="36"/>
  <c r="T5" i="36"/>
  <c r="V5" i="36" s="1"/>
  <c r="AH3" i="36"/>
  <c r="AJ3" i="36" s="1"/>
  <c r="P20" i="43"/>
  <c r="S19" i="43" s="1"/>
  <c r="S21" i="43"/>
  <c r="U20" i="43" s="1"/>
  <c r="AA6" i="42"/>
  <c r="AB6" i="42" s="1"/>
  <c r="AC6" i="42" s="1"/>
  <c r="K31" i="42"/>
  <c r="A1" i="42" s="1"/>
  <c r="L31" i="42"/>
  <c r="M31" i="42"/>
  <c r="O3" i="42"/>
  <c r="AD31" i="42"/>
  <c r="Y31" i="42"/>
  <c r="AB3" i="42"/>
  <c r="O17" i="42"/>
  <c r="Q17" i="42" s="1"/>
  <c r="S17" i="42" s="1"/>
  <c r="U17" i="42" s="1"/>
  <c r="V17" i="42" s="1"/>
  <c r="AE31" i="42"/>
  <c r="O4" i="42"/>
  <c r="Q4" i="42" s="1"/>
  <c r="S4" i="42" s="1"/>
  <c r="U4" i="42" s="1"/>
  <c r="V4" i="42" s="1"/>
  <c r="U24" i="43" l="1"/>
  <c r="AA31" i="42"/>
  <c r="U29" i="43"/>
  <c r="X23" i="43"/>
  <c r="X19" i="43"/>
  <c r="X21" i="43" s="1"/>
  <c r="U15" i="43"/>
  <c r="AC3" i="42"/>
  <c r="AC31" i="42" s="1"/>
  <c r="AB31" i="42"/>
  <c r="O31" i="42"/>
  <c r="Q3" i="42"/>
  <c r="S3" i="42" s="1"/>
  <c r="U3" i="42" s="1"/>
  <c r="V3" i="42" s="1"/>
  <c r="K19" i="16"/>
  <c r="E7" i="36"/>
  <c r="AH7" i="36" s="1"/>
  <c r="AJ7" i="36" s="1"/>
  <c r="E8" i="36"/>
  <c r="Z8" i="36" s="1"/>
  <c r="E9" i="36"/>
  <c r="X9" i="36" s="1"/>
  <c r="E10" i="36"/>
  <c r="E11" i="36"/>
  <c r="E13" i="36"/>
  <c r="E14" i="36"/>
  <c r="E15" i="36"/>
  <c r="E16" i="36"/>
  <c r="AN17" i="36"/>
  <c r="E4" i="36"/>
  <c r="Z4" i="36" s="1"/>
  <c r="E6" i="36"/>
  <c r="Q82" i="16"/>
  <c r="AB70" i="16"/>
  <c r="AB71" i="16"/>
  <c r="O4" i="36"/>
  <c r="O5" i="36"/>
  <c r="O6" i="36"/>
  <c r="O7" i="36"/>
  <c r="O8" i="36"/>
  <c r="O9" i="36"/>
  <c r="O10" i="36"/>
  <c r="O11" i="36"/>
  <c r="O12" i="36"/>
  <c r="O13" i="36"/>
  <c r="O14" i="36"/>
  <c r="O15" i="36"/>
  <c r="O16" i="36"/>
  <c r="O17" i="36"/>
  <c r="L4" i="36"/>
  <c r="O3" i="36"/>
  <c r="L5" i="36"/>
  <c r="L6" i="36"/>
  <c r="L7" i="36"/>
  <c r="L8" i="36"/>
  <c r="L9" i="36"/>
  <c r="L10" i="36"/>
  <c r="L11" i="36"/>
  <c r="L12" i="36"/>
  <c r="L13" i="36"/>
  <c r="L14" i="36"/>
  <c r="L15" i="36"/>
  <c r="L16" i="36"/>
  <c r="L17" i="36"/>
  <c r="L3" i="36"/>
  <c r="M4" i="36"/>
  <c r="M5" i="36"/>
  <c r="M6" i="36"/>
  <c r="M7" i="36"/>
  <c r="M8" i="36"/>
  <c r="M9" i="36"/>
  <c r="M10" i="36"/>
  <c r="M11" i="36"/>
  <c r="M12" i="36"/>
  <c r="M13" i="36"/>
  <c r="M14" i="36"/>
  <c r="M15" i="36"/>
  <c r="M16" i="36"/>
  <c r="M17" i="36"/>
  <c r="M3" i="36"/>
  <c r="N11" i="36" l="1"/>
  <c r="P11" i="36" s="1"/>
  <c r="AB9" i="36"/>
  <c r="AN11" i="36"/>
  <c r="X11" i="36"/>
  <c r="AB11" i="36" s="1"/>
  <c r="AN10" i="36"/>
  <c r="X10" i="36"/>
  <c r="AB10" i="36" s="1"/>
  <c r="AN8" i="36"/>
  <c r="X8" i="36"/>
  <c r="AN7" i="36"/>
  <c r="X7" i="36"/>
  <c r="AN6" i="36"/>
  <c r="X6" i="36"/>
  <c r="AN4" i="36"/>
  <c r="X4" i="36"/>
  <c r="AB4" i="36" s="1"/>
  <c r="AN16" i="36"/>
  <c r="X16" i="36"/>
  <c r="AN15" i="36"/>
  <c r="X15" i="36"/>
  <c r="AB15" i="36" s="1"/>
  <c r="AN14" i="36"/>
  <c r="X14" i="36"/>
  <c r="AB14" i="36" s="1"/>
  <c r="AN13" i="36"/>
  <c r="X13" i="36"/>
  <c r="AN9" i="36"/>
  <c r="S9" i="36"/>
  <c r="U9" i="36" s="1"/>
  <c r="N13" i="36"/>
  <c r="P13" i="36" s="1"/>
  <c r="N10" i="36"/>
  <c r="P10" i="36" s="1"/>
  <c r="N9" i="36"/>
  <c r="P9" i="36"/>
  <c r="N8" i="36"/>
  <c r="P8" i="36" s="1"/>
  <c r="N7" i="36"/>
  <c r="P7" i="36" s="1"/>
  <c r="N6" i="36"/>
  <c r="P6" i="36" s="1"/>
  <c r="N15" i="36"/>
  <c r="P15" i="36" s="1"/>
  <c r="N14" i="36"/>
  <c r="P14" i="36" s="1"/>
  <c r="AH13" i="36"/>
  <c r="AJ13" i="36" s="1"/>
  <c r="T13" i="36"/>
  <c r="V13" i="36" s="1"/>
  <c r="S13" i="36"/>
  <c r="U13" i="36" s="1"/>
  <c r="S8" i="36"/>
  <c r="U8" i="36" s="1"/>
  <c r="AH8" i="36"/>
  <c r="AJ8" i="36" s="1"/>
  <c r="T8" i="36"/>
  <c r="V8" i="36" s="1"/>
  <c r="AH4" i="36"/>
  <c r="AJ4" i="36" s="1"/>
  <c r="T4" i="36"/>
  <c r="V4" i="36" s="1"/>
  <c r="S4" i="36"/>
  <c r="U4" i="36" s="1"/>
  <c r="S15" i="36"/>
  <c r="U15" i="36" s="1"/>
  <c r="AH15" i="36"/>
  <c r="AJ15" i="36" s="1"/>
  <c r="T15" i="36"/>
  <c r="V15" i="36" s="1"/>
  <c r="S12" i="36"/>
  <c r="U12" i="36" s="1"/>
  <c r="AH12" i="36"/>
  <c r="AJ12" i="36" s="1"/>
  <c r="T12" i="36"/>
  <c r="V12" i="36" s="1"/>
  <c r="S11" i="36"/>
  <c r="U11" i="36" s="1"/>
  <c r="AH11" i="36"/>
  <c r="AJ11" i="36" s="1"/>
  <c r="T11" i="36"/>
  <c r="V11" i="36" s="1"/>
  <c r="AH10" i="36"/>
  <c r="AJ10" i="36" s="1"/>
  <c r="S10" i="36"/>
  <c r="U10" i="36" s="1"/>
  <c r="T10" i="36"/>
  <c r="V10" i="36" s="1"/>
  <c r="AH9" i="36"/>
  <c r="AJ9" i="36" s="1"/>
  <c r="T9" i="36"/>
  <c r="V9" i="36" s="1"/>
  <c r="N5" i="36"/>
  <c r="P5" i="36" s="1"/>
  <c r="S7" i="36"/>
  <c r="U7" i="36" s="1"/>
  <c r="T7" i="36"/>
  <c r="V7" i="36" s="1"/>
  <c r="AH6" i="36"/>
  <c r="AJ6" i="36" s="1"/>
  <c r="S6" i="36"/>
  <c r="U6" i="36" s="1"/>
  <c r="T6" i="36"/>
  <c r="V6" i="36" s="1"/>
  <c r="S16" i="36"/>
  <c r="U16" i="36" s="1"/>
  <c r="AH16" i="36"/>
  <c r="AJ16" i="36" s="1"/>
  <c r="T16" i="36"/>
  <c r="V16" i="36" s="1"/>
  <c r="N12" i="36"/>
  <c r="P12" i="36" s="1"/>
  <c r="AH14" i="36"/>
  <c r="AJ14" i="36" s="1"/>
  <c r="T14" i="36"/>
  <c r="V14" i="36" s="1"/>
  <c r="S14" i="36"/>
  <c r="U14" i="36" s="1"/>
  <c r="T17" i="36"/>
  <c r="S17" i="36"/>
  <c r="N4" i="36"/>
  <c r="P4" i="36" s="1"/>
  <c r="N3" i="36"/>
  <c r="P3" i="36" s="1"/>
  <c r="N17" i="36"/>
  <c r="P17" i="36" s="1"/>
  <c r="N16" i="36"/>
  <c r="P16" i="36" s="1"/>
  <c r="G161" i="30"/>
  <c r="G160" i="30"/>
  <c r="C89" i="30" a="1"/>
  <c r="C89" i="30" s="1"/>
  <c r="AB16" i="36" l="1"/>
  <c r="AB6" i="36"/>
  <c r="AB13" i="36"/>
  <c r="AB8" i="36"/>
  <c r="AB7" i="36"/>
  <c r="AH19" i="36"/>
  <c r="U17" i="36"/>
  <c r="U19" i="36" s="1"/>
  <c r="S19" i="36"/>
  <c r="T19" i="36"/>
  <c r="V17" i="36"/>
  <c r="V19" i="36" s="1"/>
  <c r="P82" i="16"/>
  <c r="O82" i="16"/>
  <c r="Z69" i="16"/>
  <c r="Z70" i="16"/>
  <c r="Z71" i="16"/>
  <c r="AP20" i="16"/>
  <c r="AP21" i="16"/>
  <c r="AP22" i="16"/>
  <c r="Z67" i="16" s="1"/>
  <c r="AP23" i="16"/>
  <c r="AP24" i="16"/>
  <c r="Z55" i="16" s="1"/>
  <c r="AP25" i="16"/>
  <c r="AP26" i="16"/>
  <c r="AP27" i="16"/>
  <c r="AP28" i="16"/>
  <c r="Z57" i="16" s="1"/>
  <c r="AP29" i="16"/>
  <c r="AP30" i="16"/>
  <c r="AP31" i="16"/>
  <c r="AP32" i="16"/>
  <c r="AP33" i="16"/>
  <c r="AP34" i="16"/>
  <c r="AP35" i="16"/>
  <c r="AP36" i="16"/>
  <c r="AP37" i="16"/>
  <c r="Z68" i="16" s="1"/>
  <c r="AP39" i="16"/>
  <c r="AP40" i="16"/>
  <c r="AP41" i="16"/>
  <c r="AP42" i="16"/>
  <c r="AP43" i="16"/>
  <c r="AP44" i="16"/>
  <c r="AP19" i="16"/>
  <c r="Z66" i="16" s="1"/>
  <c r="N82" i="16"/>
  <c r="D124" i="30"/>
  <c r="D125" i="30"/>
  <c r="D126" i="30"/>
  <c r="D127" i="30"/>
  <c r="D128" i="30"/>
  <c r="D129" i="30"/>
  <c r="D130" i="30"/>
  <c r="D131" i="30"/>
  <c r="D132" i="30"/>
  <c r="D133" i="30"/>
  <c r="D134" i="30"/>
  <c r="D135" i="30"/>
  <c r="D121" i="30"/>
  <c r="D122" i="30"/>
  <c r="D123" i="30"/>
  <c r="D120" i="30"/>
  <c r="G120" i="30" s="1"/>
  <c r="H120" i="30"/>
  <c r="H121" i="30" s="1"/>
  <c r="H122" i="30" s="1"/>
  <c r="Z59" i="16" l="1"/>
  <c r="Z62" i="16"/>
  <c r="Z54" i="16"/>
  <c r="O78" i="16" s="1"/>
  <c r="M120" i="30"/>
  <c r="N120" i="30" s="1"/>
  <c r="P120" i="30" s="1"/>
  <c r="I120" i="30"/>
  <c r="J120" i="30"/>
  <c r="Z61" i="16"/>
  <c r="Z56" i="16"/>
  <c r="Z58" i="16"/>
  <c r="Z64" i="16"/>
  <c r="Z63" i="16"/>
  <c r="Z60" i="16"/>
  <c r="O80" i="16" s="1"/>
  <c r="AP47" i="16"/>
  <c r="Z65" i="16"/>
  <c r="K120" i="30"/>
  <c r="G121" i="30"/>
  <c r="K122" i="30"/>
  <c r="H123" i="30"/>
  <c r="K121" i="30"/>
  <c r="E89" i="30" a="1"/>
  <c r="E89" i="30" s="1"/>
  <c r="J121" i="30" l="1"/>
  <c r="M121" i="30"/>
  <c r="N121" i="30" s="1"/>
  <c r="P121" i="30" s="1"/>
  <c r="O79" i="16"/>
  <c r="O81" i="16"/>
  <c r="Z72" i="16"/>
  <c r="I121" i="30"/>
  <c r="G122" i="30"/>
  <c r="H124" i="30"/>
  <c r="K123" i="30"/>
  <c r="AF244" i="41"/>
  <c r="AG244" i="41" s="1"/>
  <c r="AH244" i="41" s="1"/>
  <c r="O244" i="41"/>
  <c r="K244" i="41"/>
  <c r="J244" i="41"/>
  <c r="H244" i="41"/>
  <c r="AF243" i="41"/>
  <c r="AG243" i="41" s="1"/>
  <c r="AH243" i="41" s="1"/>
  <c r="O243" i="41"/>
  <c r="K243" i="41"/>
  <c r="J243" i="41"/>
  <c r="H243" i="41"/>
  <c r="G243" i="41" s="1"/>
  <c r="AF242" i="41"/>
  <c r="AG242" i="41" s="1"/>
  <c r="AH242" i="41" s="1"/>
  <c r="O242" i="41"/>
  <c r="K242" i="41"/>
  <c r="J242" i="41"/>
  <c r="H242" i="41"/>
  <c r="I242" i="41" s="1"/>
  <c r="G242" i="41"/>
  <c r="AF241" i="41"/>
  <c r="AG241" i="41" s="1"/>
  <c r="AH241" i="41" s="1"/>
  <c r="O241" i="41"/>
  <c r="K241" i="41"/>
  <c r="J241" i="41"/>
  <c r="H241" i="41"/>
  <c r="G241" i="41" s="1"/>
  <c r="AF240" i="41"/>
  <c r="AG240" i="41" s="1"/>
  <c r="AH240" i="41" s="1"/>
  <c r="O240" i="41"/>
  <c r="K240" i="41"/>
  <c r="J240" i="41"/>
  <c r="H240" i="41"/>
  <c r="I240" i="41" s="1"/>
  <c r="G240" i="41"/>
  <c r="AF239" i="41"/>
  <c r="AG239" i="41" s="1"/>
  <c r="AH239" i="41" s="1"/>
  <c r="O239" i="41"/>
  <c r="K239" i="41"/>
  <c r="J239" i="41"/>
  <c r="H239" i="41"/>
  <c r="W239" i="41" s="1"/>
  <c r="AF238" i="41"/>
  <c r="AG238" i="41" s="1"/>
  <c r="AH238" i="41" s="1"/>
  <c r="O238" i="41"/>
  <c r="K238" i="41"/>
  <c r="J238" i="41"/>
  <c r="H238" i="41"/>
  <c r="I238" i="41" s="1"/>
  <c r="AF237" i="41"/>
  <c r="AG237" i="41" s="1"/>
  <c r="AH237" i="41" s="1"/>
  <c r="O237" i="41"/>
  <c r="K237" i="41"/>
  <c r="J237" i="41"/>
  <c r="H237" i="41"/>
  <c r="S237" i="41" s="1"/>
  <c r="AF236" i="41"/>
  <c r="AG236" i="41" s="1"/>
  <c r="AH236" i="41" s="1"/>
  <c r="O236" i="41"/>
  <c r="K236" i="41"/>
  <c r="J236" i="41"/>
  <c r="H236" i="41"/>
  <c r="W236" i="41" s="1"/>
  <c r="AF235" i="41"/>
  <c r="AG235" i="41" s="1"/>
  <c r="AH235" i="41" s="1"/>
  <c r="O235" i="41"/>
  <c r="K235" i="41"/>
  <c r="J235" i="41"/>
  <c r="H235" i="41"/>
  <c r="I235" i="41" s="1"/>
  <c r="AF234" i="41"/>
  <c r="AG234" i="41" s="1"/>
  <c r="AH234" i="41" s="1"/>
  <c r="O234" i="41"/>
  <c r="K234" i="41"/>
  <c r="J234" i="41"/>
  <c r="H234" i="41"/>
  <c r="I234" i="41" s="1"/>
  <c r="G234" i="41"/>
  <c r="AF233" i="41"/>
  <c r="AG233" i="41" s="1"/>
  <c r="AH233" i="41" s="1"/>
  <c r="O233" i="41"/>
  <c r="K233" i="41"/>
  <c r="J233" i="41"/>
  <c r="H233" i="41"/>
  <c r="AF232" i="41"/>
  <c r="AG232" i="41" s="1"/>
  <c r="AH232" i="41" s="1"/>
  <c r="O232" i="41"/>
  <c r="K232" i="41"/>
  <c r="J232" i="41"/>
  <c r="H232" i="41"/>
  <c r="I232" i="41" s="1"/>
  <c r="AF231" i="41"/>
  <c r="AG231" i="41" s="1"/>
  <c r="AH231" i="41" s="1"/>
  <c r="O231" i="41"/>
  <c r="K231" i="41"/>
  <c r="J231" i="41"/>
  <c r="H231" i="41"/>
  <c r="W231" i="41" s="1"/>
  <c r="AF230" i="41"/>
  <c r="AG230" i="41" s="1"/>
  <c r="AH230" i="41" s="1"/>
  <c r="O230" i="41"/>
  <c r="K230" i="41"/>
  <c r="J230" i="41"/>
  <c r="H230" i="41"/>
  <c r="I230" i="41" s="1"/>
  <c r="AF229" i="41"/>
  <c r="AG229" i="41" s="1"/>
  <c r="AH229" i="41" s="1"/>
  <c r="O229" i="41"/>
  <c r="K229" i="41"/>
  <c r="J229" i="41"/>
  <c r="H229" i="41"/>
  <c r="AF228" i="41"/>
  <c r="AG228" i="41" s="1"/>
  <c r="AH228" i="41" s="1"/>
  <c r="O228" i="41"/>
  <c r="K228" i="41"/>
  <c r="J228" i="41"/>
  <c r="H228" i="41"/>
  <c r="W228" i="41" s="1"/>
  <c r="G228" i="41"/>
  <c r="AF227" i="41"/>
  <c r="AG227" i="41" s="1"/>
  <c r="AH227" i="41" s="1"/>
  <c r="O227" i="41"/>
  <c r="K227" i="41"/>
  <c r="J227" i="41"/>
  <c r="H227" i="41"/>
  <c r="AF226" i="41"/>
  <c r="AG226" i="41" s="1"/>
  <c r="AH226" i="41" s="1"/>
  <c r="O226" i="41"/>
  <c r="K226" i="41"/>
  <c r="L226" i="41" s="1"/>
  <c r="J226" i="41"/>
  <c r="H226" i="41"/>
  <c r="G226" i="41"/>
  <c r="AF225" i="41"/>
  <c r="AG225" i="41" s="1"/>
  <c r="AH225" i="41" s="1"/>
  <c r="O225" i="41"/>
  <c r="K225" i="41"/>
  <c r="J225" i="41"/>
  <c r="H225" i="41"/>
  <c r="I225" i="41" s="1"/>
  <c r="AF224" i="41"/>
  <c r="AG224" i="41" s="1"/>
  <c r="AH224" i="41" s="1"/>
  <c r="O224" i="41"/>
  <c r="K224" i="41"/>
  <c r="J224" i="41"/>
  <c r="H224" i="41"/>
  <c r="G224" i="41"/>
  <c r="AF223" i="41"/>
  <c r="AG223" i="41" s="1"/>
  <c r="AH223" i="41" s="1"/>
  <c r="O223" i="41"/>
  <c r="K223" i="41"/>
  <c r="J223" i="41"/>
  <c r="H223" i="41"/>
  <c r="I223" i="41" s="1"/>
  <c r="AF222" i="41"/>
  <c r="AG222" i="41" s="1"/>
  <c r="AH222" i="41" s="1"/>
  <c r="O222" i="41"/>
  <c r="K222" i="41"/>
  <c r="J222" i="41"/>
  <c r="H222" i="41"/>
  <c r="G222" i="41" s="1"/>
  <c r="AF221" i="41"/>
  <c r="AG221" i="41" s="1"/>
  <c r="AH221" i="41" s="1"/>
  <c r="O221" i="41"/>
  <c r="K221" i="41"/>
  <c r="J221" i="41"/>
  <c r="H221" i="41"/>
  <c r="I221" i="41" s="1"/>
  <c r="AF220" i="41"/>
  <c r="AG220" i="41" s="1"/>
  <c r="AH220" i="41" s="1"/>
  <c r="O220" i="41"/>
  <c r="K220" i="41"/>
  <c r="J220" i="41"/>
  <c r="H220" i="41"/>
  <c r="W220" i="41" s="1"/>
  <c r="AF219" i="41"/>
  <c r="AG219" i="41" s="1"/>
  <c r="AH219" i="41" s="1"/>
  <c r="O219" i="41"/>
  <c r="K219" i="41"/>
  <c r="J219" i="41"/>
  <c r="H219" i="41"/>
  <c r="S219" i="41" s="1"/>
  <c r="AF218" i="41"/>
  <c r="AG218" i="41" s="1"/>
  <c r="AH218" i="41" s="1"/>
  <c r="O218" i="41"/>
  <c r="K218" i="41"/>
  <c r="J218" i="41"/>
  <c r="H218" i="41"/>
  <c r="I218" i="41" s="1"/>
  <c r="AF217" i="41"/>
  <c r="AG217" i="41" s="1"/>
  <c r="AH217" i="41" s="1"/>
  <c r="O217" i="41"/>
  <c r="K217" i="41"/>
  <c r="J217" i="41"/>
  <c r="H217" i="41"/>
  <c r="G217" i="41"/>
  <c r="AF216" i="41"/>
  <c r="AG216" i="41" s="1"/>
  <c r="AH216" i="41" s="1"/>
  <c r="O216" i="41"/>
  <c r="K216" i="41"/>
  <c r="J216" i="41"/>
  <c r="H216" i="41"/>
  <c r="I216" i="41" s="1"/>
  <c r="AF215" i="41"/>
  <c r="AG215" i="41" s="1"/>
  <c r="AH215" i="41" s="1"/>
  <c r="O215" i="41"/>
  <c r="K215" i="41"/>
  <c r="J215" i="41"/>
  <c r="H215" i="41"/>
  <c r="AF214" i="41"/>
  <c r="AG214" i="41" s="1"/>
  <c r="AH214" i="41" s="1"/>
  <c r="O214" i="41"/>
  <c r="K214" i="41"/>
  <c r="J214" i="41"/>
  <c r="H214" i="41"/>
  <c r="AF213" i="41"/>
  <c r="AG213" i="41" s="1"/>
  <c r="AH213" i="41" s="1"/>
  <c r="O213" i="41"/>
  <c r="K213" i="41"/>
  <c r="J213" i="41"/>
  <c r="H213" i="41"/>
  <c r="AF212" i="41"/>
  <c r="AG212" i="41" s="1"/>
  <c r="AH212" i="41" s="1"/>
  <c r="O212" i="41"/>
  <c r="K212" i="41"/>
  <c r="J212" i="41"/>
  <c r="H212" i="41"/>
  <c r="AF211" i="41"/>
  <c r="AG211" i="41" s="1"/>
  <c r="AH211" i="41" s="1"/>
  <c r="O211" i="41"/>
  <c r="K211" i="41"/>
  <c r="J211" i="41"/>
  <c r="H211" i="41"/>
  <c r="AF210" i="41"/>
  <c r="AG210" i="41" s="1"/>
  <c r="AH210" i="41" s="1"/>
  <c r="O210" i="41"/>
  <c r="K210" i="41"/>
  <c r="J210" i="41"/>
  <c r="H210" i="41"/>
  <c r="S210" i="41" s="1"/>
  <c r="AF209" i="41"/>
  <c r="AG209" i="41" s="1"/>
  <c r="AH209" i="41" s="1"/>
  <c r="O209" i="41"/>
  <c r="K209" i="41"/>
  <c r="J209" i="41"/>
  <c r="H209" i="41"/>
  <c r="I209" i="41" s="1"/>
  <c r="AF208" i="41"/>
  <c r="AG208" i="41" s="1"/>
  <c r="AH208" i="41" s="1"/>
  <c r="O208" i="41"/>
  <c r="K208" i="41"/>
  <c r="J208" i="41"/>
  <c r="H208" i="41"/>
  <c r="I208" i="41" s="1"/>
  <c r="G208" i="41"/>
  <c r="AF207" i="41"/>
  <c r="AG207" i="41" s="1"/>
  <c r="AH207" i="41" s="1"/>
  <c r="O207" i="41"/>
  <c r="K207" i="41"/>
  <c r="J207" i="41"/>
  <c r="H207" i="41"/>
  <c r="AF206" i="41"/>
  <c r="AG206" i="41" s="1"/>
  <c r="AH206" i="41" s="1"/>
  <c r="O206" i="41"/>
  <c r="K206" i="41"/>
  <c r="J206" i="41"/>
  <c r="H206" i="41"/>
  <c r="G206" i="41" s="1"/>
  <c r="AF205" i="41"/>
  <c r="AG205" i="41" s="1"/>
  <c r="AH205" i="41" s="1"/>
  <c r="O205" i="41"/>
  <c r="K205" i="41"/>
  <c r="J205" i="41"/>
  <c r="H205" i="41"/>
  <c r="I205" i="41" s="1"/>
  <c r="AF204" i="41"/>
  <c r="AG204" i="41" s="1"/>
  <c r="AH204" i="41" s="1"/>
  <c r="O204" i="41"/>
  <c r="K204" i="41"/>
  <c r="J204" i="41"/>
  <c r="H204" i="41"/>
  <c r="G204" i="41" s="1"/>
  <c r="AF203" i="41"/>
  <c r="AG203" i="41" s="1"/>
  <c r="AH203" i="41" s="1"/>
  <c r="O203" i="41"/>
  <c r="K203" i="41"/>
  <c r="J203" i="41"/>
  <c r="H203" i="41"/>
  <c r="AF202" i="41"/>
  <c r="AG202" i="41" s="1"/>
  <c r="AH202" i="41" s="1"/>
  <c r="O202" i="41"/>
  <c r="K202" i="41"/>
  <c r="J202" i="41"/>
  <c r="H202" i="41"/>
  <c r="G202" i="41" s="1"/>
  <c r="AF201" i="41"/>
  <c r="AG201" i="41" s="1"/>
  <c r="AH201" i="41" s="1"/>
  <c r="O201" i="41"/>
  <c r="K201" i="41"/>
  <c r="J201" i="41"/>
  <c r="H201" i="41"/>
  <c r="W201" i="41" s="1"/>
  <c r="AF200" i="41"/>
  <c r="AG200" i="41" s="1"/>
  <c r="AH200" i="41" s="1"/>
  <c r="O200" i="41"/>
  <c r="K200" i="41"/>
  <c r="J200" i="41"/>
  <c r="H200" i="41"/>
  <c r="S200" i="41" s="1"/>
  <c r="AF199" i="41"/>
  <c r="AG199" i="41" s="1"/>
  <c r="AH199" i="41" s="1"/>
  <c r="O199" i="41"/>
  <c r="K199" i="41"/>
  <c r="J199" i="41"/>
  <c r="H199" i="41"/>
  <c r="AF198" i="41"/>
  <c r="AG198" i="41" s="1"/>
  <c r="AH198" i="41" s="1"/>
  <c r="O198" i="41"/>
  <c r="K198" i="41"/>
  <c r="J198" i="41"/>
  <c r="H198" i="41"/>
  <c r="W198" i="41" s="1"/>
  <c r="AF197" i="41"/>
  <c r="AG197" i="41" s="1"/>
  <c r="AH197" i="41" s="1"/>
  <c r="O197" i="41"/>
  <c r="K197" i="41"/>
  <c r="J197" i="41"/>
  <c r="H197" i="41"/>
  <c r="AF196" i="41"/>
  <c r="AG196" i="41" s="1"/>
  <c r="AH196" i="41" s="1"/>
  <c r="W196" i="41"/>
  <c r="O196" i="41"/>
  <c r="K196" i="41"/>
  <c r="J196" i="41"/>
  <c r="S196" i="41" s="1"/>
  <c r="H196" i="41"/>
  <c r="I196" i="41" s="1"/>
  <c r="G196" i="41"/>
  <c r="AF195" i="41"/>
  <c r="AG195" i="41" s="1"/>
  <c r="AH195" i="41" s="1"/>
  <c r="O195" i="41"/>
  <c r="K195" i="41"/>
  <c r="J195" i="41"/>
  <c r="H195" i="41"/>
  <c r="S195" i="41" s="1"/>
  <c r="AF194" i="41"/>
  <c r="AG194" i="41" s="1"/>
  <c r="AH194" i="41" s="1"/>
  <c r="O194" i="41"/>
  <c r="K194" i="41"/>
  <c r="J194" i="41"/>
  <c r="H194" i="41"/>
  <c r="I194" i="41" s="1"/>
  <c r="AF193" i="41"/>
  <c r="AG193" i="41" s="1"/>
  <c r="AH193" i="41" s="1"/>
  <c r="O193" i="41"/>
  <c r="K193" i="41"/>
  <c r="J193" i="41"/>
  <c r="H193" i="41"/>
  <c r="AF192" i="41"/>
  <c r="AG192" i="41" s="1"/>
  <c r="AH192" i="41" s="1"/>
  <c r="O192" i="41"/>
  <c r="K192" i="41"/>
  <c r="J192" i="41"/>
  <c r="H192" i="41"/>
  <c r="G192" i="41" s="1"/>
  <c r="AF191" i="41"/>
  <c r="AG191" i="41" s="1"/>
  <c r="AH191" i="41" s="1"/>
  <c r="O191" i="41"/>
  <c r="K191" i="41"/>
  <c r="J191" i="41"/>
  <c r="H191" i="41"/>
  <c r="I191" i="41" s="1"/>
  <c r="AF190" i="41"/>
  <c r="AG190" i="41" s="1"/>
  <c r="AH190" i="41" s="1"/>
  <c r="O190" i="41"/>
  <c r="K190" i="41"/>
  <c r="J190" i="41"/>
  <c r="H190" i="41"/>
  <c r="G190" i="41" s="1"/>
  <c r="AF189" i="41"/>
  <c r="AG189" i="41" s="1"/>
  <c r="AH189" i="41" s="1"/>
  <c r="O189" i="41"/>
  <c r="K189" i="41"/>
  <c r="J189" i="41"/>
  <c r="H189" i="41"/>
  <c r="I189" i="41" s="1"/>
  <c r="AF188" i="41"/>
  <c r="AG188" i="41" s="1"/>
  <c r="AH188" i="41" s="1"/>
  <c r="O188" i="41"/>
  <c r="K188" i="41"/>
  <c r="J188" i="41"/>
  <c r="H188" i="41"/>
  <c r="G188" i="41" s="1"/>
  <c r="AF187" i="41"/>
  <c r="AG187" i="41" s="1"/>
  <c r="AH187" i="41" s="1"/>
  <c r="O187" i="41"/>
  <c r="K187" i="41"/>
  <c r="J187" i="41"/>
  <c r="H187" i="41"/>
  <c r="AF186" i="41"/>
  <c r="AG186" i="41" s="1"/>
  <c r="AH186" i="41" s="1"/>
  <c r="O186" i="41"/>
  <c r="K186" i="41"/>
  <c r="J186" i="41"/>
  <c r="H186" i="41"/>
  <c r="AF185" i="41"/>
  <c r="AG185" i="41" s="1"/>
  <c r="AH185" i="41" s="1"/>
  <c r="O185" i="41"/>
  <c r="K185" i="41"/>
  <c r="J185" i="41"/>
  <c r="H185" i="41"/>
  <c r="W185" i="41" s="1"/>
  <c r="AF184" i="41"/>
  <c r="AG184" i="41" s="1"/>
  <c r="AH184" i="41" s="1"/>
  <c r="O184" i="41"/>
  <c r="K184" i="41"/>
  <c r="J184" i="41"/>
  <c r="H184" i="41"/>
  <c r="I184" i="41" s="1"/>
  <c r="AF183" i="41"/>
  <c r="AG183" i="41" s="1"/>
  <c r="AH183" i="41" s="1"/>
  <c r="O183" i="41"/>
  <c r="K183" i="41"/>
  <c r="J183" i="41"/>
  <c r="H183" i="41"/>
  <c r="AF182" i="41"/>
  <c r="AG182" i="41" s="1"/>
  <c r="AH182" i="41" s="1"/>
  <c r="O182" i="41"/>
  <c r="K182" i="41"/>
  <c r="J182" i="41"/>
  <c r="H182" i="41"/>
  <c r="AF181" i="41"/>
  <c r="AG181" i="41" s="1"/>
  <c r="AH181" i="41" s="1"/>
  <c r="O181" i="41"/>
  <c r="K181" i="41"/>
  <c r="L181" i="41" s="1"/>
  <c r="J181" i="41"/>
  <c r="H181" i="41"/>
  <c r="I181" i="41" s="1"/>
  <c r="AF180" i="41"/>
  <c r="AG180" i="41" s="1"/>
  <c r="AH180" i="41" s="1"/>
  <c r="O180" i="41"/>
  <c r="K180" i="41"/>
  <c r="L180" i="41" s="1"/>
  <c r="J180" i="41"/>
  <c r="H180" i="41"/>
  <c r="G180" i="41" s="1"/>
  <c r="AF179" i="41"/>
  <c r="AG179" i="41" s="1"/>
  <c r="AH179" i="41" s="1"/>
  <c r="O179" i="41"/>
  <c r="K179" i="41"/>
  <c r="J179" i="41"/>
  <c r="H179" i="41"/>
  <c r="W179" i="41" s="1"/>
  <c r="G179" i="41"/>
  <c r="AF178" i="41"/>
  <c r="AG178" i="41" s="1"/>
  <c r="AH178" i="41" s="1"/>
  <c r="O178" i="41"/>
  <c r="K178" i="41"/>
  <c r="J178" i="41"/>
  <c r="S178" i="41" s="1"/>
  <c r="H178" i="41"/>
  <c r="G178" i="41" s="1"/>
  <c r="AF177" i="41"/>
  <c r="AG177" i="41" s="1"/>
  <c r="AH177" i="41" s="1"/>
  <c r="O177" i="41"/>
  <c r="K177" i="41"/>
  <c r="J177" i="41"/>
  <c r="H177" i="41"/>
  <c r="I177" i="41" s="1"/>
  <c r="AF176" i="41"/>
  <c r="AG176" i="41" s="1"/>
  <c r="AH176" i="41" s="1"/>
  <c r="O176" i="41"/>
  <c r="K176" i="41"/>
  <c r="J176" i="41"/>
  <c r="H176" i="41"/>
  <c r="I176" i="41" s="1"/>
  <c r="AF175" i="41"/>
  <c r="AG175" i="41" s="1"/>
  <c r="AH175" i="41" s="1"/>
  <c r="O175" i="41"/>
  <c r="K175" i="41"/>
  <c r="J175" i="41"/>
  <c r="H175" i="41"/>
  <c r="G175" i="41" s="1"/>
  <c r="AF174" i="41"/>
  <c r="AG174" i="41" s="1"/>
  <c r="AH174" i="41" s="1"/>
  <c r="O174" i="41"/>
  <c r="K174" i="41"/>
  <c r="J174" i="41"/>
  <c r="H174" i="41"/>
  <c r="I174" i="41" s="1"/>
  <c r="G174" i="41"/>
  <c r="AF173" i="41"/>
  <c r="AG173" i="41" s="1"/>
  <c r="AH173" i="41" s="1"/>
  <c r="O173" i="41"/>
  <c r="K173" i="41"/>
  <c r="J173" i="41"/>
  <c r="H173" i="41"/>
  <c r="I173" i="41" s="1"/>
  <c r="AF172" i="41"/>
  <c r="AG172" i="41" s="1"/>
  <c r="AH172" i="41" s="1"/>
  <c r="O172" i="41"/>
  <c r="K172" i="41"/>
  <c r="J172" i="41"/>
  <c r="H172" i="41"/>
  <c r="W172" i="41" s="1"/>
  <c r="AF171" i="41"/>
  <c r="AG171" i="41" s="1"/>
  <c r="AH171" i="41" s="1"/>
  <c r="O171" i="41"/>
  <c r="K171" i="41"/>
  <c r="J171" i="41"/>
  <c r="H171" i="41"/>
  <c r="I171" i="41" s="1"/>
  <c r="G171" i="41"/>
  <c r="AF170" i="41"/>
  <c r="AG170" i="41" s="1"/>
  <c r="AH170" i="41" s="1"/>
  <c r="O170" i="41"/>
  <c r="K170" i="41"/>
  <c r="J170" i="41"/>
  <c r="H170" i="41"/>
  <c r="W170" i="41" s="1"/>
  <c r="AF169" i="41"/>
  <c r="AG169" i="41" s="1"/>
  <c r="AH169" i="41" s="1"/>
  <c r="O169" i="41"/>
  <c r="K169" i="41"/>
  <c r="J169" i="41"/>
  <c r="H169" i="41"/>
  <c r="AF168" i="41"/>
  <c r="AG168" i="41" s="1"/>
  <c r="AH168" i="41" s="1"/>
  <c r="O168" i="41"/>
  <c r="K168" i="41"/>
  <c r="J168" i="41"/>
  <c r="H168" i="41"/>
  <c r="I168" i="41" s="1"/>
  <c r="AF167" i="41"/>
  <c r="AG167" i="41" s="1"/>
  <c r="AH167" i="41" s="1"/>
  <c r="O167" i="41"/>
  <c r="K167" i="41"/>
  <c r="J167" i="41"/>
  <c r="H167" i="41"/>
  <c r="I167" i="41" s="1"/>
  <c r="AF166" i="41"/>
  <c r="AG166" i="41" s="1"/>
  <c r="AH166" i="41" s="1"/>
  <c r="O166" i="41"/>
  <c r="K166" i="41"/>
  <c r="J166" i="41"/>
  <c r="H166" i="41"/>
  <c r="W166" i="41" s="1"/>
  <c r="AF165" i="41"/>
  <c r="AG165" i="41" s="1"/>
  <c r="AH165" i="41" s="1"/>
  <c r="O165" i="41"/>
  <c r="K165" i="41"/>
  <c r="J165" i="41"/>
  <c r="H165" i="41"/>
  <c r="I165" i="41" s="1"/>
  <c r="AF164" i="41"/>
  <c r="AG164" i="41" s="1"/>
  <c r="AH164" i="41" s="1"/>
  <c r="AD164" i="41"/>
  <c r="O164" i="41"/>
  <c r="K164" i="41"/>
  <c r="J164" i="41"/>
  <c r="H164" i="41"/>
  <c r="I164" i="41" s="1"/>
  <c r="AF163" i="41"/>
  <c r="AG163" i="41" s="1"/>
  <c r="AH163" i="41" s="1"/>
  <c r="O163" i="41"/>
  <c r="K163" i="41"/>
  <c r="J163" i="41"/>
  <c r="H163" i="41"/>
  <c r="I163" i="41" s="1"/>
  <c r="AF162" i="41"/>
  <c r="AG162" i="41" s="1"/>
  <c r="AH162" i="41" s="1"/>
  <c r="AD162" i="41"/>
  <c r="AD165" i="41" s="1"/>
  <c r="O162" i="41"/>
  <c r="K162" i="41"/>
  <c r="J162" i="41"/>
  <c r="H162" i="41"/>
  <c r="S162" i="41" s="1"/>
  <c r="AF161" i="41"/>
  <c r="AG161" i="41" s="1"/>
  <c r="AH161" i="41" s="1"/>
  <c r="AD161" i="41"/>
  <c r="O161" i="41"/>
  <c r="K161" i="41"/>
  <c r="J161" i="41"/>
  <c r="H161" i="41"/>
  <c r="I161" i="41" s="1"/>
  <c r="AF160" i="41"/>
  <c r="AG160" i="41" s="1"/>
  <c r="AH160" i="41" s="1"/>
  <c r="O160" i="41"/>
  <c r="K160" i="41"/>
  <c r="J160" i="41"/>
  <c r="H160" i="41"/>
  <c r="I160" i="41" s="1"/>
  <c r="AF159" i="41"/>
  <c r="AG159" i="41" s="1"/>
  <c r="AH159" i="41" s="1"/>
  <c r="O159" i="41"/>
  <c r="K159" i="41"/>
  <c r="J159" i="41"/>
  <c r="H159" i="41"/>
  <c r="I159" i="41" s="1"/>
  <c r="AF158" i="41"/>
  <c r="AG158" i="41" s="1"/>
  <c r="AH158" i="41" s="1"/>
  <c r="AD158" i="41"/>
  <c r="O158" i="41"/>
  <c r="K158" i="41"/>
  <c r="J158" i="41"/>
  <c r="H158" i="41"/>
  <c r="I158" i="41" s="1"/>
  <c r="AF157" i="41"/>
  <c r="AG157" i="41" s="1"/>
  <c r="AH157" i="41" s="1"/>
  <c r="AD157" i="41"/>
  <c r="O157" i="41"/>
  <c r="K157" i="41"/>
  <c r="J157" i="41"/>
  <c r="H157" i="41"/>
  <c r="AF156" i="41"/>
  <c r="AG156" i="41" s="1"/>
  <c r="AH156" i="41" s="1"/>
  <c r="O156" i="41"/>
  <c r="K156" i="41"/>
  <c r="J156" i="41"/>
  <c r="H156" i="41"/>
  <c r="I156" i="41" s="1"/>
  <c r="AF155" i="41"/>
  <c r="AG155" i="41" s="1"/>
  <c r="O155" i="41"/>
  <c r="K155" i="41"/>
  <c r="J155" i="41"/>
  <c r="H155" i="41"/>
  <c r="W155" i="41" s="1"/>
  <c r="D149" i="41"/>
  <c r="G148" i="41"/>
  <c r="G147" i="41"/>
  <c r="G146" i="41"/>
  <c r="E201" i="41" s="1"/>
  <c r="E202" i="41" s="1"/>
  <c r="G145" i="41"/>
  <c r="G144" i="41"/>
  <c r="E203" i="41" s="1"/>
  <c r="G143" i="41"/>
  <c r="G142" i="41"/>
  <c r="G141" i="41"/>
  <c r="G140" i="41"/>
  <c r="G139" i="41"/>
  <c r="E194" i="41" s="1"/>
  <c r="G138" i="41"/>
  <c r="G137" i="41"/>
  <c r="G136" i="41"/>
  <c r="G135" i="41"/>
  <c r="G134" i="41"/>
  <c r="E192" i="41" s="1"/>
  <c r="E193" i="41" s="1"/>
  <c r="G133" i="41"/>
  <c r="G132" i="41"/>
  <c r="G131" i="41"/>
  <c r="G130" i="41"/>
  <c r="G129" i="41"/>
  <c r="E195" i="41" s="1"/>
  <c r="G128" i="41"/>
  <c r="G127" i="41"/>
  <c r="G126" i="41"/>
  <c r="G125" i="41"/>
  <c r="E212" i="41" s="1"/>
  <c r="E213" i="41" s="1"/>
  <c r="G124" i="41"/>
  <c r="G123" i="41"/>
  <c r="G122" i="41"/>
  <c r="G121" i="41"/>
  <c r="G120" i="41"/>
  <c r="G119" i="41"/>
  <c r="E208" i="41" s="1"/>
  <c r="E209" i="41" s="1"/>
  <c r="G118" i="41"/>
  <c r="G117" i="41"/>
  <c r="E210" i="41" s="1"/>
  <c r="G116" i="41"/>
  <c r="G115" i="41"/>
  <c r="E211" i="41" s="1"/>
  <c r="G114" i="41"/>
  <c r="E184" i="41" s="1"/>
  <c r="E185" i="41" s="1"/>
  <c r="G113" i="41"/>
  <c r="G112" i="41"/>
  <c r="G111" i="41"/>
  <c r="E182" i="41" s="1"/>
  <c r="E183" i="41" s="1"/>
  <c r="G110" i="41"/>
  <c r="G109" i="41"/>
  <c r="E181" i="41" s="1"/>
  <c r="G108" i="41"/>
  <c r="G107" i="41"/>
  <c r="E180" i="41" s="1"/>
  <c r="G106" i="41"/>
  <c r="G105" i="41"/>
  <c r="E172" i="41" s="1"/>
  <c r="G104" i="41"/>
  <c r="G103" i="41"/>
  <c r="E171" i="41" s="1"/>
  <c r="G102" i="41"/>
  <c r="G101" i="41"/>
  <c r="G100" i="41"/>
  <c r="G99" i="41"/>
  <c r="G98" i="41"/>
  <c r="E175" i="41" s="1"/>
  <c r="E176" i="41" s="1"/>
  <c r="G97" i="41"/>
  <c r="G96" i="41"/>
  <c r="G95" i="41"/>
  <c r="G94" i="41"/>
  <c r="E226" i="41" s="1"/>
  <c r="G93" i="41"/>
  <c r="G92" i="41"/>
  <c r="G91" i="41"/>
  <c r="G90" i="41"/>
  <c r="E224" i="41" s="1"/>
  <c r="E225" i="41" s="1"/>
  <c r="G89" i="41"/>
  <c r="G88" i="41"/>
  <c r="G87" i="41"/>
  <c r="G86" i="41"/>
  <c r="E222" i="41" s="1"/>
  <c r="E223" i="41" s="1"/>
  <c r="G85" i="41"/>
  <c r="E221" i="41" s="1"/>
  <c r="G84" i="41"/>
  <c r="E220" i="41" s="1"/>
  <c r="G83" i="41"/>
  <c r="G82" i="41"/>
  <c r="E238" i="41" s="1"/>
  <c r="G81" i="41"/>
  <c r="G80" i="41"/>
  <c r="G79" i="41"/>
  <c r="G78" i="41"/>
  <c r="G77" i="41"/>
  <c r="G76" i="41"/>
  <c r="E234" i="41" s="1"/>
  <c r="G75" i="41"/>
  <c r="E233" i="41" s="1"/>
  <c r="G74" i="41"/>
  <c r="G73" i="41"/>
  <c r="G72" i="41"/>
  <c r="G71" i="41"/>
  <c r="G70" i="41"/>
  <c r="G69" i="41"/>
  <c r="E239" i="41" s="1"/>
  <c r="G68" i="41"/>
  <c r="G67" i="41"/>
  <c r="G66" i="41"/>
  <c r="E169" i="41" s="1"/>
  <c r="G65" i="41"/>
  <c r="G64" i="41"/>
  <c r="G63" i="41"/>
  <c r="G62" i="41"/>
  <c r="G61" i="41"/>
  <c r="G60" i="41"/>
  <c r="G59" i="41"/>
  <c r="G58" i="41"/>
  <c r="G57" i="41"/>
  <c r="G56" i="41"/>
  <c r="G55" i="41"/>
  <c r="E163" i="41" s="1"/>
  <c r="G54" i="41"/>
  <c r="G53" i="41"/>
  <c r="G52" i="41"/>
  <c r="G51" i="41"/>
  <c r="G50" i="41"/>
  <c r="G49" i="41"/>
  <c r="G48" i="41"/>
  <c r="G47" i="41"/>
  <c r="G46" i="41"/>
  <c r="G45" i="41"/>
  <c r="G44" i="41"/>
  <c r="J30" i="41"/>
  <c r="E30" i="41"/>
  <c r="J29" i="41"/>
  <c r="E29" i="41"/>
  <c r="J28" i="41"/>
  <c r="E28" i="41"/>
  <c r="J27" i="41"/>
  <c r="E27" i="41"/>
  <c r="J26" i="41"/>
  <c r="E26" i="41"/>
  <c r="J25" i="41"/>
  <c r="E25" i="41"/>
  <c r="J24" i="41"/>
  <c r="E24" i="41"/>
  <c r="J23" i="41"/>
  <c r="E23" i="41"/>
  <c r="J22" i="41"/>
  <c r="E22" i="41"/>
  <c r="J21" i="41"/>
  <c r="E21" i="41"/>
  <c r="J20" i="41"/>
  <c r="E20" i="41"/>
  <c r="J19" i="41"/>
  <c r="E19" i="41"/>
  <c r="J18" i="41"/>
  <c r="E18" i="41"/>
  <c r="J17" i="41"/>
  <c r="E17" i="41"/>
  <c r="J16" i="41"/>
  <c r="E16" i="41"/>
  <c r="J15" i="41"/>
  <c r="E15" i="41"/>
  <c r="J14" i="41"/>
  <c r="E14" i="41"/>
  <c r="J13" i="41"/>
  <c r="E13" i="41"/>
  <c r="J12" i="41"/>
  <c r="E12" i="41"/>
  <c r="J11" i="41"/>
  <c r="E11" i="41"/>
  <c r="J10" i="41"/>
  <c r="E10" i="41"/>
  <c r="J9" i="41"/>
  <c r="E9" i="41"/>
  <c r="J8" i="41"/>
  <c r="E8" i="41"/>
  <c r="J7" i="41"/>
  <c r="E7" i="41"/>
  <c r="J6" i="41"/>
  <c r="E6" i="41"/>
  <c r="K5" i="41"/>
  <c r="K6" i="41" s="1"/>
  <c r="K7" i="41" s="1"/>
  <c r="J5" i="41"/>
  <c r="E5" i="41"/>
  <c r="K4" i="41"/>
  <c r="J4" i="41"/>
  <c r="L4" i="41" s="1"/>
  <c r="E4" i="41"/>
  <c r="J3" i="41"/>
  <c r="E3" i="41"/>
  <c r="M56" i="1"/>
  <c r="M51" i="1"/>
  <c r="N50"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19" i="1"/>
  <c r="N4" i="1"/>
  <c r="N5" i="1"/>
  <c r="N6" i="1"/>
  <c r="N7" i="1"/>
  <c r="N8" i="1"/>
  <c r="N9" i="1"/>
  <c r="N10" i="1"/>
  <c r="N11" i="1"/>
  <c r="N12" i="1"/>
  <c r="N13" i="1"/>
  <c r="N14" i="1"/>
  <c r="N15" i="1"/>
  <c r="N16" i="1"/>
  <c r="N17" i="1"/>
  <c r="N3" i="1"/>
  <c r="E20" i="1"/>
  <c r="AH169" i="25"/>
  <c r="AH170" i="25"/>
  <c r="AG158" i="25"/>
  <c r="AH158" i="25" s="1"/>
  <c r="AG159" i="25"/>
  <c r="AH159" i="25" s="1"/>
  <c r="AG161" i="25"/>
  <c r="AH161" i="25" s="1"/>
  <c r="AG163" i="25"/>
  <c r="AH163" i="25" s="1"/>
  <c r="AG165" i="25"/>
  <c r="AH165" i="25" s="1"/>
  <c r="AG175" i="25"/>
  <c r="AH175" i="25" s="1"/>
  <c r="AG177" i="25"/>
  <c r="AH177" i="25" s="1"/>
  <c r="AG179" i="25"/>
  <c r="AH179" i="25" s="1"/>
  <c r="AG180" i="25"/>
  <c r="AH180" i="25" s="1"/>
  <c r="AG181" i="25"/>
  <c r="AH181" i="25" s="1"/>
  <c r="AG182" i="25"/>
  <c r="AH182" i="25" s="1"/>
  <c r="AG198" i="25"/>
  <c r="AH198" i="25" s="1"/>
  <c r="AG207" i="25"/>
  <c r="AH207" i="25" s="1"/>
  <c r="AG211" i="25"/>
  <c r="AH211" i="25" s="1"/>
  <c r="AG212" i="25"/>
  <c r="AH212" i="25" s="1"/>
  <c r="AG213" i="25"/>
  <c r="AH213" i="25" s="1"/>
  <c r="AG214" i="25"/>
  <c r="AH214" i="25" s="1"/>
  <c r="AG229" i="25"/>
  <c r="AH229" i="25" s="1"/>
  <c r="AG241" i="25"/>
  <c r="AH241" i="25" s="1"/>
  <c r="AG155" i="25"/>
  <c r="AH155" i="25" s="1"/>
  <c r="AF156" i="25"/>
  <c r="AG156" i="25" s="1"/>
  <c r="AH156" i="25" s="1"/>
  <c r="AF157" i="25"/>
  <c r="AG157" i="25" s="1"/>
  <c r="AH157" i="25" s="1"/>
  <c r="AF158" i="25"/>
  <c r="AF159" i="25"/>
  <c r="AF160" i="25"/>
  <c r="AG160" i="25" s="1"/>
  <c r="AH160" i="25" s="1"/>
  <c r="AF161" i="25"/>
  <c r="AF162" i="25"/>
  <c r="AG162" i="25" s="1"/>
  <c r="AH162" i="25" s="1"/>
  <c r="AF163" i="25"/>
  <c r="AF164" i="25"/>
  <c r="AG164" i="25" s="1"/>
  <c r="AH164" i="25" s="1"/>
  <c r="AF165" i="25"/>
  <c r="AF166" i="25"/>
  <c r="AG166" i="25" s="1"/>
  <c r="AH166" i="25" s="1"/>
  <c r="AF167" i="25"/>
  <c r="AG167" i="25" s="1"/>
  <c r="AH167" i="25" s="1"/>
  <c r="AF168" i="25"/>
  <c r="AG168" i="25" s="1"/>
  <c r="AH168" i="25" s="1"/>
  <c r="AF169" i="25"/>
  <c r="AG169" i="25" s="1"/>
  <c r="AF170" i="25"/>
  <c r="AG170" i="25" s="1"/>
  <c r="AF171" i="25"/>
  <c r="AG171" i="25" s="1"/>
  <c r="AH171" i="25" s="1"/>
  <c r="AF172" i="25"/>
  <c r="AG172" i="25" s="1"/>
  <c r="AF173" i="25"/>
  <c r="AG173" i="25" s="1"/>
  <c r="AH173" i="25" s="1"/>
  <c r="AF174" i="25"/>
  <c r="AG174" i="25" s="1"/>
  <c r="AH174" i="25" s="1"/>
  <c r="AF175" i="25"/>
  <c r="AF176" i="25"/>
  <c r="AG176" i="25" s="1"/>
  <c r="AH176" i="25" s="1"/>
  <c r="AF177" i="25"/>
  <c r="AF178" i="25"/>
  <c r="AG178" i="25" s="1"/>
  <c r="AH178" i="25" s="1"/>
  <c r="AF179" i="25"/>
  <c r="AF180" i="25"/>
  <c r="AF181" i="25"/>
  <c r="AF182" i="25"/>
  <c r="AF183" i="25"/>
  <c r="AG183" i="25" s="1"/>
  <c r="AH183" i="25" s="1"/>
  <c r="AF184" i="25"/>
  <c r="AG184" i="25" s="1"/>
  <c r="AH184" i="25" s="1"/>
  <c r="AF185" i="25"/>
  <c r="AG185" i="25" s="1"/>
  <c r="AH185" i="25" s="1"/>
  <c r="AF186" i="25"/>
  <c r="AG186" i="25" s="1"/>
  <c r="AH186" i="25" s="1"/>
  <c r="AF187" i="25"/>
  <c r="AG187" i="25" s="1"/>
  <c r="AH187" i="25" s="1"/>
  <c r="AF188" i="25"/>
  <c r="AG188" i="25" s="1"/>
  <c r="AH188" i="25" s="1"/>
  <c r="AF189" i="25"/>
  <c r="AG189" i="25" s="1"/>
  <c r="AH189" i="25" s="1"/>
  <c r="AF190" i="25"/>
  <c r="AG190" i="25" s="1"/>
  <c r="AH190" i="25" s="1"/>
  <c r="AF191" i="25"/>
  <c r="AG191" i="25" s="1"/>
  <c r="AH191" i="25" s="1"/>
  <c r="AF192" i="25"/>
  <c r="AG192" i="25" s="1"/>
  <c r="AH192" i="25" s="1"/>
  <c r="AF193" i="25"/>
  <c r="AG193" i="25" s="1"/>
  <c r="AH193" i="25" s="1"/>
  <c r="AF194" i="25"/>
  <c r="AG194" i="25" s="1"/>
  <c r="AH194" i="25" s="1"/>
  <c r="AF195" i="25"/>
  <c r="AG195" i="25" s="1"/>
  <c r="AH195" i="25" s="1"/>
  <c r="AF196" i="25"/>
  <c r="AG196" i="25" s="1"/>
  <c r="AH196" i="25" s="1"/>
  <c r="AF197" i="25"/>
  <c r="AG197" i="25" s="1"/>
  <c r="AH197" i="25" s="1"/>
  <c r="AF198" i="25"/>
  <c r="AF199" i="25"/>
  <c r="AG199" i="25" s="1"/>
  <c r="AH199" i="25" s="1"/>
  <c r="AF200" i="25"/>
  <c r="AG200" i="25" s="1"/>
  <c r="AH200" i="25" s="1"/>
  <c r="AF201" i="25"/>
  <c r="AG201" i="25" s="1"/>
  <c r="AH201" i="25" s="1"/>
  <c r="AF202" i="25"/>
  <c r="AG202" i="25" s="1"/>
  <c r="AH202" i="25" s="1"/>
  <c r="AF203" i="25"/>
  <c r="AG203" i="25" s="1"/>
  <c r="AH203" i="25" s="1"/>
  <c r="AF204" i="25"/>
  <c r="AG204" i="25" s="1"/>
  <c r="AH204" i="25" s="1"/>
  <c r="AF205" i="25"/>
  <c r="AG205" i="25" s="1"/>
  <c r="AH205" i="25" s="1"/>
  <c r="AF206" i="25"/>
  <c r="AG206" i="25" s="1"/>
  <c r="AH206" i="25" s="1"/>
  <c r="AF207" i="25"/>
  <c r="AF208" i="25"/>
  <c r="AG208" i="25" s="1"/>
  <c r="AH208" i="25" s="1"/>
  <c r="AF209" i="25"/>
  <c r="AG209" i="25" s="1"/>
  <c r="AH209" i="25" s="1"/>
  <c r="AF210" i="25"/>
  <c r="AG210" i="25" s="1"/>
  <c r="AH210" i="25" s="1"/>
  <c r="AF211" i="25"/>
  <c r="AF212" i="25"/>
  <c r="AF213" i="25"/>
  <c r="AF214" i="25"/>
  <c r="AF215" i="25"/>
  <c r="AG215" i="25" s="1"/>
  <c r="AH215" i="25" s="1"/>
  <c r="AF216" i="25"/>
  <c r="AG216" i="25" s="1"/>
  <c r="AH216" i="25" s="1"/>
  <c r="AF217" i="25"/>
  <c r="AG217" i="25" s="1"/>
  <c r="AH217" i="25" s="1"/>
  <c r="AF218" i="25"/>
  <c r="AG218" i="25" s="1"/>
  <c r="AH218" i="25" s="1"/>
  <c r="AF219" i="25"/>
  <c r="AG219" i="25" s="1"/>
  <c r="AH219" i="25" s="1"/>
  <c r="AF220" i="25"/>
  <c r="AG220" i="25" s="1"/>
  <c r="AH220" i="25" s="1"/>
  <c r="AF221" i="25"/>
  <c r="AG221" i="25" s="1"/>
  <c r="AH221" i="25" s="1"/>
  <c r="AF222" i="25"/>
  <c r="AG222" i="25" s="1"/>
  <c r="AH222" i="25" s="1"/>
  <c r="AF223" i="25"/>
  <c r="AG223" i="25" s="1"/>
  <c r="AH223" i="25" s="1"/>
  <c r="AF224" i="25"/>
  <c r="AG224" i="25" s="1"/>
  <c r="AH224" i="25" s="1"/>
  <c r="AF225" i="25"/>
  <c r="AG225" i="25" s="1"/>
  <c r="AH225" i="25" s="1"/>
  <c r="AF226" i="25"/>
  <c r="AG226" i="25" s="1"/>
  <c r="AH226" i="25" s="1"/>
  <c r="AF227" i="25"/>
  <c r="AG227" i="25" s="1"/>
  <c r="AH227" i="25" s="1"/>
  <c r="AF228" i="25"/>
  <c r="AG228" i="25" s="1"/>
  <c r="AH228" i="25" s="1"/>
  <c r="AF229" i="25"/>
  <c r="AF230" i="25"/>
  <c r="AG230" i="25" s="1"/>
  <c r="AH230" i="25" s="1"/>
  <c r="AF231" i="25"/>
  <c r="AG231" i="25" s="1"/>
  <c r="AH231" i="25" s="1"/>
  <c r="AF232" i="25"/>
  <c r="AG232" i="25" s="1"/>
  <c r="AH232" i="25" s="1"/>
  <c r="AF233" i="25"/>
  <c r="AG233" i="25" s="1"/>
  <c r="AH233" i="25" s="1"/>
  <c r="AF234" i="25"/>
  <c r="AG234" i="25" s="1"/>
  <c r="AH234" i="25" s="1"/>
  <c r="AF235" i="25"/>
  <c r="AG235" i="25" s="1"/>
  <c r="AH235" i="25" s="1"/>
  <c r="AF236" i="25"/>
  <c r="AG236" i="25" s="1"/>
  <c r="AH236" i="25" s="1"/>
  <c r="AF237" i="25"/>
  <c r="AG237" i="25" s="1"/>
  <c r="AH237" i="25" s="1"/>
  <c r="AF238" i="25"/>
  <c r="AG238" i="25" s="1"/>
  <c r="AH238" i="25" s="1"/>
  <c r="AF239" i="25"/>
  <c r="AG239" i="25" s="1"/>
  <c r="AH239" i="25" s="1"/>
  <c r="AF240" i="25"/>
  <c r="AG240" i="25" s="1"/>
  <c r="AH240" i="25" s="1"/>
  <c r="AF241" i="25"/>
  <c r="AF242" i="25"/>
  <c r="AG242" i="25" s="1"/>
  <c r="AH242" i="25" s="1"/>
  <c r="AF243" i="25"/>
  <c r="AG243" i="25" s="1"/>
  <c r="AH243" i="25" s="1"/>
  <c r="AF244" i="25"/>
  <c r="AG244" i="25" s="1"/>
  <c r="AH244" i="25" s="1"/>
  <c r="AF155" i="25"/>
  <c r="N51" i="1" l="1"/>
  <c r="E173" i="41"/>
  <c r="E174" i="41" s="1"/>
  <c r="G230" i="41"/>
  <c r="W238" i="41"/>
  <c r="E189" i="41"/>
  <c r="E190" i="41" s="1"/>
  <c r="E191" i="41" s="1"/>
  <c r="T191" i="41" s="1"/>
  <c r="S189" i="41"/>
  <c r="G195" i="41"/>
  <c r="S218" i="41"/>
  <c r="G184" i="41"/>
  <c r="W178" i="41"/>
  <c r="W216" i="41"/>
  <c r="G225" i="41"/>
  <c r="L173" i="41"/>
  <c r="S182" i="41"/>
  <c r="T182" i="41" s="1"/>
  <c r="S191" i="41"/>
  <c r="G194" i="41"/>
  <c r="I122" i="30"/>
  <c r="M122" i="30"/>
  <c r="N122" i="30" s="1"/>
  <c r="P122" i="30" s="1"/>
  <c r="S242" i="41"/>
  <c r="S229" i="41"/>
  <c r="G238" i="41"/>
  <c r="W242" i="41"/>
  <c r="G218" i="41"/>
  <c r="S240" i="41"/>
  <c r="E159" i="41"/>
  <c r="E160" i="41" s="1"/>
  <c r="E161" i="41" s="1"/>
  <c r="W194" i="41"/>
  <c r="W240" i="41"/>
  <c r="S169" i="41"/>
  <c r="G167" i="41"/>
  <c r="G166" i="41"/>
  <c r="J122" i="30"/>
  <c r="G123" i="30"/>
  <c r="M123" i="30" s="1"/>
  <c r="N123" i="30" s="1"/>
  <c r="P123" i="30" s="1"/>
  <c r="H125" i="30"/>
  <c r="K124" i="30"/>
  <c r="G160" i="41"/>
  <c r="G165" i="41"/>
  <c r="S160" i="41"/>
  <c r="G156" i="41"/>
  <c r="G172" i="41"/>
  <c r="E177" i="41"/>
  <c r="E178" i="41" s="1"/>
  <c r="E179" i="41" s="1"/>
  <c r="W160" i="41"/>
  <c r="G159" i="41"/>
  <c r="L189" i="41"/>
  <c r="M189" i="41" s="1"/>
  <c r="L201" i="41"/>
  <c r="M201" i="41" s="1"/>
  <c r="E196" i="41"/>
  <c r="E229" i="41"/>
  <c r="T229" i="41" s="1"/>
  <c r="G161" i="41"/>
  <c r="E227" i="41"/>
  <c r="E228" i="41" s="1"/>
  <c r="L159" i="41"/>
  <c r="M159" i="41" s="1"/>
  <c r="V159" i="41" s="1"/>
  <c r="G155" i="41"/>
  <c r="T210" i="41"/>
  <c r="W218" i="41"/>
  <c r="S205" i="41"/>
  <c r="L194" i="41"/>
  <c r="M194" i="41" s="1"/>
  <c r="V194" i="41" s="1"/>
  <c r="G158" i="41"/>
  <c r="G176" i="41"/>
  <c r="G236" i="41"/>
  <c r="S163" i="41"/>
  <c r="T163" i="41" s="1"/>
  <c r="S179" i="41"/>
  <c r="T195" i="41"/>
  <c r="W206" i="41"/>
  <c r="G198" i="41"/>
  <c r="G201" i="41"/>
  <c r="S239" i="41"/>
  <c r="T239" i="41" s="1"/>
  <c r="I179" i="41"/>
  <c r="L184" i="41"/>
  <c r="M184" i="41" s="1"/>
  <c r="L185" i="41" s="1"/>
  <c r="M185" i="41" s="1"/>
  <c r="I239" i="41"/>
  <c r="S184" i="41"/>
  <c r="L195" i="41"/>
  <c r="M195" i="41" s="1"/>
  <c r="I236" i="41"/>
  <c r="S236" i="41"/>
  <c r="G210" i="41"/>
  <c r="G232" i="41"/>
  <c r="S223" i="41"/>
  <c r="T223" i="41" s="1"/>
  <c r="S171" i="41"/>
  <c r="T171" i="41" s="1"/>
  <c r="W175" i="41"/>
  <c r="S232" i="41"/>
  <c r="S234" i="41"/>
  <c r="T234" i="41" s="1"/>
  <c r="I237" i="41"/>
  <c r="S159" i="41"/>
  <c r="W165" i="41"/>
  <c r="S167" i="41"/>
  <c r="G170" i="41"/>
  <c r="W171" i="41"/>
  <c r="G182" i="41"/>
  <c r="I195" i="41"/>
  <c r="S221" i="41"/>
  <c r="T221" i="41" s="1"/>
  <c r="W225" i="41"/>
  <c r="W230" i="41"/>
  <c r="W232" i="41"/>
  <c r="W234" i="41"/>
  <c r="I175" i="41"/>
  <c r="S204" i="41"/>
  <c r="S175" i="41"/>
  <c r="T175" i="41" s="1"/>
  <c r="S230" i="41"/>
  <c r="W167" i="41"/>
  <c r="L163" i="41"/>
  <c r="M163" i="41" s="1"/>
  <c r="N163" i="41" s="1"/>
  <c r="R163" i="41" s="1"/>
  <c r="I170" i="41"/>
  <c r="I155" i="41"/>
  <c r="S170" i="41"/>
  <c r="T184" i="41"/>
  <c r="S215" i="41"/>
  <c r="I172" i="41"/>
  <c r="W184" i="41"/>
  <c r="L155" i="41"/>
  <c r="U155" i="41" s="1"/>
  <c r="S172" i="41"/>
  <c r="T172" i="41" s="1"/>
  <c r="W195" i="41"/>
  <c r="I231" i="41"/>
  <c r="S174" i="41"/>
  <c r="T174" i="41" s="1"/>
  <c r="W176" i="41"/>
  <c r="I206" i="41"/>
  <c r="S231" i="41"/>
  <c r="S155" i="41"/>
  <c r="W174" i="41"/>
  <c r="G185" i="41"/>
  <c r="S206" i="41"/>
  <c r="S213" i="41"/>
  <c r="T213" i="41" s="1"/>
  <c r="G216" i="41"/>
  <c r="S156" i="41"/>
  <c r="S173" i="41"/>
  <c r="T173" i="41" s="1"/>
  <c r="S214" i="41"/>
  <c r="L167" i="41"/>
  <c r="M167" i="41" s="1"/>
  <c r="N167" i="41" s="1"/>
  <c r="R167" i="41" s="1"/>
  <c r="W177" i="41"/>
  <c r="W204" i="41"/>
  <c r="I219" i="41"/>
  <c r="L221" i="41"/>
  <c r="U221" i="41" s="1"/>
  <c r="W159" i="41"/>
  <c r="S166" i="41"/>
  <c r="L206" i="41"/>
  <c r="U206" i="41" s="1"/>
  <c r="S208" i="41"/>
  <c r="T208" i="41" s="1"/>
  <c r="S220" i="41"/>
  <c r="T220" i="41" s="1"/>
  <c r="AD166" i="41"/>
  <c r="AD167" i="41" s="1"/>
  <c r="G169" i="41"/>
  <c r="G177" i="41"/>
  <c r="W208" i="41"/>
  <c r="L224" i="41"/>
  <c r="M224" i="41" s="1"/>
  <c r="N224" i="41" s="1"/>
  <c r="R224" i="41" s="1"/>
  <c r="U189" i="41"/>
  <c r="K8" i="41"/>
  <c r="K9" i="41" s="1"/>
  <c r="L7" i="41"/>
  <c r="E170" i="41"/>
  <c r="B252" i="41" s="1"/>
  <c r="W212" i="41"/>
  <c r="L212" i="41"/>
  <c r="M212" i="41" s="1"/>
  <c r="I212" i="41"/>
  <c r="S212" i="41"/>
  <c r="T212" i="41" s="1"/>
  <c r="W227" i="41"/>
  <c r="S227" i="41"/>
  <c r="I227" i="41"/>
  <c r="G233" i="41"/>
  <c r="W233" i="41"/>
  <c r="L236" i="41"/>
  <c r="M236" i="41" s="1"/>
  <c r="M173" i="41"/>
  <c r="I233" i="41"/>
  <c r="G157" i="41"/>
  <c r="W157" i="41"/>
  <c r="S161" i="41"/>
  <c r="E216" i="41"/>
  <c r="L214" i="41"/>
  <c r="I214" i="41"/>
  <c r="W214" i="41"/>
  <c r="G214" i="41"/>
  <c r="I169" i="41"/>
  <c r="W181" i="41"/>
  <c r="G181" i="41"/>
  <c r="G211" i="41"/>
  <c r="W211" i="41"/>
  <c r="S235" i="41"/>
  <c r="L6" i="41"/>
  <c r="G244" i="41"/>
  <c r="W244" i="41"/>
  <c r="S158" i="41"/>
  <c r="W161" i="41"/>
  <c r="L169" i="41"/>
  <c r="I244" i="41"/>
  <c r="W169" i="41"/>
  <c r="W180" i="41"/>
  <c r="S180" i="41"/>
  <c r="T180" i="41" s="1"/>
  <c r="I180" i="41"/>
  <c r="M180" i="41"/>
  <c r="I198" i="41"/>
  <c r="S202" i="41"/>
  <c r="T202" i="41" s="1"/>
  <c r="S198" i="41"/>
  <c r="I210" i="41"/>
  <c r="W210" i="41"/>
  <c r="E240" i="41"/>
  <c r="T240" i="41" s="1"/>
  <c r="I241" i="41"/>
  <c r="J31" i="41"/>
  <c r="A1" i="41" s="1"/>
  <c r="AD163" i="41"/>
  <c r="S165" i="41"/>
  <c r="W188" i="41"/>
  <c r="I188" i="41"/>
  <c r="S188" i="41"/>
  <c r="W197" i="41"/>
  <c r="G197" i="41"/>
  <c r="I228" i="41"/>
  <c r="L234" i="41"/>
  <c r="M234" i="41" s="1"/>
  <c r="L3" i="41"/>
  <c r="E167" i="41"/>
  <c r="E235" i="41"/>
  <c r="S164" i="41"/>
  <c r="I197" i="41"/>
  <c r="E155" i="41"/>
  <c r="E156" i="41" s="1"/>
  <c r="E236" i="41"/>
  <c r="E237" i="41" s="1"/>
  <c r="E214" i="41"/>
  <c r="E215" i="41" s="1"/>
  <c r="G173" i="41"/>
  <c r="W173" i="41"/>
  <c r="I193" i="41"/>
  <c r="G193" i="41"/>
  <c r="W193" i="41"/>
  <c r="S197" i="41"/>
  <c r="L210" i="41"/>
  <c r="M210" i="41" s="1"/>
  <c r="G203" i="41"/>
  <c r="L203" i="41"/>
  <c r="W203" i="41"/>
  <c r="W205" i="41"/>
  <c r="G205" i="41"/>
  <c r="W187" i="41"/>
  <c r="G187" i="41"/>
  <c r="S187" i="41"/>
  <c r="I203" i="41"/>
  <c r="G209" i="41"/>
  <c r="W209" i="41"/>
  <c r="I187" i="41"/>
  <c r="I190" i="41"/>
  <c r="W190" i="41"/>
  <c r="S203" i="41"/>
  <c r="T203" i="41" s="1"/>
  <c r="S233" i="41"/>
  <c r="T233" i="41" s="1"/>
  <c r="I157" i="41"/>
  <c r="S190" i="41"/>
  <c r="S209" i="41"/>
  <c r="T209" i="41" s="1"/>
  <c r="W235" i="41"/>
  <c r="G235" i="41"/>
  <c r="L5" i="41"/>
  <c r="AG245" i="41"/>
  <c r="AH155" i="41"/>
  <c r="AH245" i="41" s="1"/>
  <c r="AI245" i="41" s="1"/>
  <c r="S157" i="41"/>
  <c r="T169" i="41"/>
  <c r="L172" i="41"/>
  <c r="M172" i="41" s="1"/>
  <c r="H246" i="41"/>
  <c r="W156" i="41"/>
  <c r="W168" i="41"/>
  <c r="G168" i="41"/>
  <c r="S168" i="41"/>
  <c r="I192" i="41"/>
  <c r="W192" i="41"/>
  <c r="L208" i="41"/>
  <c r="M208" i="41" s="1"/>
  <c r="I211" i="41"/>
  <c r="E186" i="41"/>
  <c r="E187" i="41" s="1"/>
  <c r="E188" i="41" s="1"/>
  <c r="S192" i="41"/>
  <c r="T192" i="41" s="1"/>
  <c r="I186" i="41"/>
  <c r="G186" i="41"/>
  <c r="W186" i="41"/>
  <c r="L192" i="41"/>
  <c r="I202" i="41"/>
  <c r="W202" i="41"/>
  <c r="L211" i="41"/>
  <c r="G149" i="41"/>
  <c r="W158" i="41"/>
  <c r="G164" i="41"/>
  <c r="W164" i="41"/>
  <c r="G163" i="41"/>
  <c r="W163" i="41"/>
  <c r="G212" i="41"/>
  <c r="G227" i="41"/>
  <c r="W241" i="41"/>
  <c r="W243" i="41"/>
  <c r="S243" i="41"/>
  <c r="I243" i="41"/>
  <c r="L165" i="41"/>
  <c r="L175" i="41"/>
  <c r="M175" i="41" s="1"/>
  <c r="I178" i="41"/>
  <c r="I201" i="41"/>
  <c r="W217" i="41"/>
  <c r="I217" i="41"/>
  <c r="S217" i="41"/>
  <c r="I220" i="41"/>
  <c r="G220" i="41"/>
  <c r="L239" i="41"/>
  <c r="M239" i="41" s="1"/>
  <c r="W183" i="41"/>
  <c r="G183" i="41"/>
  <c r="S185" i="41"/>
  <c r="T185" i="41" s="1"/>
  <c r="I183" i="41"/>
  <c r="S186" i="41"/>
  <c r="I222" i="41"/>
  <c r="W222" i="41"/>
  <c r="I226" i="41"/>
  <c r="W226" i="41"/>
  <c r="S228" i="41"/>
  <c r="I166" i="41"/>
  <c r="I185" i="41"/>
  <c r="S201" i="41"/>
  <c r="T201" i="41" s="1"/>
  <c r="L222" i="41"/>
  <c r="M222" i="41" s="1"/>
  <c r="M226" i="41"/>
  <c r="S238" i="41"/>
  <c r="T238" i="41" s="1"/>
  <c r="E164" i="41"/>
  <c r="B249" i="41" s="1"/>
  <c r="S176" i="41"/>
  <c r="T176" i="41" s="1"/>
  <c r="S183" i="41"/>
  <c r="T183" i="41" s="1"/>
  <c r="W215" i="41"/>
  <c r="G215" i="41"/>
  <c r="S216" i="41"/>
  <c r="L220" i="41"/>
  <c r="M220" i="41" s="1"/>
  <c r="L238" i="41"/>
  <c r="M238" i="41" s="1"/>
  <c r="E165" i="41"/>
  <c r="L171" i="41"/>
  <c r="W207" i="41"/>
  <c r="G207" i="41"/>
  <c r="I207" i="41"/>
  <c r="I215" i="41"/>
  <c r="S222" i="41"/>
  <c r="T222" i="41" s="1"/>
  <c r="S241" i="41"/>
  <c r="S244" i="41"/>
  <c r="W162" i="41"/>
  <c r="G162" i="41"/>
  <c r="S177" i="41"/>
  <c r="W199" i="41"/>
  <c r="G199" i="41"/>
  <c r="I199" i="41"/>
  <c r="S207" i="41"/>
  <c r="I224" i="41"/>
  <c r="W224" i="41"/>
  <c r="I162" i="41"/>
  <c r="S194" i="41"/>
  <c r="T194" i="41" s="1"/>
  <c r="I200" i="41"/>
  <c r="W200" i="41"/>
  <c r="G200" i="41"/>
  <c r="W213" i="41"/>
  <c r="G213" i="41"/>
  <c r="S224" i="41"/>
  <c r="T224" i="41" s="1"/>
  <c r="E206" i="41"/>
  <c r="H245" i="41"/>
  <c r="I213" i="41"/>
  <c r="L182" i="41"/>
  <c r="W182" i="41"/>
  <c r="S199" i="41"/>
  <c r="S211" i="41"/>
  <c r="T211" i="41" s="1"/>
  <c r="W229" i="41"/>
  <c r="G229" i="41"/>
  <c r="I229" i="41"/>
  <c r="E204" i="41"/>
  <c r="E205" i="41" s="1"/>
  <c r="I182" i="41"/>
  <c r="I204" i="41"/>
  <c r="W219" i="41"/>
  <c r="G219" i="41"/>
  <c r="L233" i="41"/>
  <c r="M233" i="41" s="1"/>
  <c r="S181" i="41"/>
  <c r="T181" i="41" s="1"/>
  <c r="S226" i="41"/>
  <c r="T226" i="41" s="1"/>
  <c r="W237" i="41"/>
  <c r="G237" i="41"/>
  <c r="W191" i="41"/>
  <c r="G191" i="41"/>
  <c r="W223" i="41"/>
  <c r="G223" i="41"/>
  <c r="W189" i="41"/>
  <c r="G189" i="41"/>
  <c r="S193" i="41"/>
  <c r="T193" i="41" s="1"/>
  <c r="W221" i="41"/>
  <c r="G221" i="41"/>
  <c r="S225" i="41"/>
  <c r="T225" i="41" s="1"/>
  <c r="G231" i="41"/>
  <c r="G239" i="41"/>
  <c r="AH172" i="25"/>
  <c r="AH245" i="25" s="1"/>
  <c r="AI245" i="25" s="1"/>
  <c r="AG245" i="25"/>
  <c r="F3" i="38"/>
  <c r="G3" i="38"/>
  <c r="F4" i="38"/>
  <c r="G4" i="38"/>
  <c r="F5" i="38"/>
  <c r="G5" i="38" s="1"/>
  <c r="F6" i="38"/>
  <c r="G6" i="38" s="1"/>
  <c r="F7" i="38"/>
  <c r="G7" i="38"/>
  <c r="F8" i="38"/>
  <c r="G8" i="38"/>
  <c r="F9" i="38"/>
  <c r="G9" i="38"/>
  <c r="F10" i="38"/>
  <c r="G10" i="38" s="1"/>
  <c r="F11" i="38"/>
  <c r="G11" i="38"/>
  <c r="F12" i="38"/>
  <c r="G12" i="38" s="1"/>
  <c r="F13" i="38"/>
  <c r="G13" i="38" s="1"/>
  <c r="F14" i="38"/>
  <c r="G14" i="38" s="1"/>
  <c r="F15" i="38"/>
  <c r="G15" i="38"/>
  <c r="F16" i="38"/>
  <c r="G16" i="38"/>
  <c r="F17" i="38"/>
  <c r="G17" i="38"/>
  <c r="F18" i="38"/>
  <c r="G18" i="38" s="1"/>
  <c r="F19" i="38"/>
  <c r="G19" i="38"/>
  <c r="F20" i="38"/>
  <c r="G20" i="38" s="1"/>
  <c r="F21" i="38"/>
  <c r="G21" i="38" s="1"/>
  <c r="F22" i="38"/>
  <c r="G22" i="38" s="1"/>
  <c r="F23" i="38"/>
  <c r="G23" i="38"/>
  <c r="F24" i="38"/>
  <c r="G24" i="38"/>
  <c r="F25" i="38"/>
  <c r="G25" i="38"/>
  <c r="F26" i="38"/>
  <c r="G26" i="38" s="1"/>
  <c r="F27" i="38"/>
  <c r="G27" i="38"/>
  <c r="F28" i="38"/>
  <c r="G28" i="38" s="1"/>
  <c r="F29" i="38"/>
  <c r="G29" i="38" s="1"/>
  <c r="G2" i="38"/>
  <c r="F2" i="38"/>
  <c r="T159" i="41" l="1"/>
  <c r="T161" i="41"/>
  <c r="E197" i="41"/>
  <c r="E198" i="41" s="1"/>
  <c r="E199" i="41" s="1"/>
  <c r="E200" i="41" s="1"/>
  <c r="T200" i="41" s="1"/>
  <c r="T189" i="41"/>
  <c r="T190" i="41"/>
  <c r="T160" i="41"/>
  <c r="L160" i="41"/>
  <c r="U160" i="41" s="1"/>
  <c r="N159" i="41"/>
  <c r="R159" i="41" s="1"/>
  <c r="U159" i="41"/>
  <c r="Z159" i="41" s="1"/>
  <c r="L168" i="41"/>
  <c r="M168" i="41" s="1"/>
  <c r="V168" i="41" s="1"/>
  <c r="T177" i="41"/>
  <c r="E230" i="41"/>
  <c r="E231" i="41" s="1"/>
  <c r="I123" i="30"/>
  <c r="G124" i="30"/>
  <c r="M124" i="30" s="1"/>
  <c r="N124" i="30" s="1"/>
  <c r="P124" i="30" s="1"/>
  <c r="J123" i="30"/>
  <c r="H126" i="30"/>
  <c r="K125" i="30"/>
  <c r="U194" i="41"/>
  <c r="U201" i="41"/>
  <c r="V163" i="41"/>
  <c r="T228" i="41"/>
  <c r="M155" i="41"/>
  <c r="V155" i="41" s="1"/>
  <c r="Z155" i="41" s="1"/>
  <c r="T196" i="41"/>
  <c r="T197" i="41"/>
  <c r="L196" i="41"/>
  <c r="M196" i="41" s="1"/>
  <c r="L202" i="41"/>
  <c r="M202" i="41" s="1"/>
  <c r="V202" i="41" s="1"/>
  <c r="V201" i="41"/>
  <c r="N201" i="41"/>
  <c r="R201" i="41" s="1"/>
  <c r="V189" i="41"/>
  <c r="Z189" i="41" s="1"/>
  <c r="N189" i="41"/>
  <c r="R189" i="41" s="1"/>
  <c r="L190" i="41"/>
  <c r="M190" i="41" s="1"/>
  <c r="L191" i="41" s="1"/>
  <c r="U163" i="41"/>
  <c r="U195" i="41"/>
  <c r="M206" i="41"/>
  <c r="L207" i="41" s="1"/>
  <c r="U167" i="41"/>
  <c r="T227" i="41"/>
  <c r="T165" i="41"/>
  <c r="T214" i="41"/>
  <c r="U184" i="41"/>
  <c r="N184" i="41"/>
  <c r="P184" i="41" s="1"/>
  <c r="Q184" i="41" s="1"/>
  <c r="T170" i="41"/>
  <c r="P167" i="41"/>
  <c r="Q167" i="41" s="1"/>
  <c r="E241" i="41"/>
  <c r="T241" i="41" s="1"/>
  <c r="N194" i="41"/>
  <c r="R194" i="41" s="1"/>
  <c r="T155" i="41"/>
  <c r="V184" i="41"/>
  <c r="T178" i="41"/>
  <c r="M221" i="41"/>
  <c r="N221" i="41" s="1"/>
  <c r="T215" i="41"/>
  <c r="T156" i="41"/>
  <c r="E157" i="41"/>
  <c r="E158" i="41" s="1"/>
  <c r="E162" i="41" s="1"/>
  <c r="B248" i="41" s="1"/>
  <c r="L164" i="41"/>
  <c r="M164" i="41" s="1"/>
  <c r="V167" i="41"/>
  <c r="G246" i="41"/>
  <c r="T198" i="41"/>
  <c r="AA189" i="41"/>
  <c r="AE189" i="41" s="1"/>
  <c r="U172" i="41"/>
  <c r="U210" i="41"/>
  <c r="U208" i="41"/>
  <c r="U173" i="41"/>
  <c r="P159" i="41"/>
  <c r="Q159" i="41" s="1"/>
  <c r="U233" i="41"/>
  <c r="P163" i="41"/>
  <c r="Q163" i="41" s="1"/>
  <c r="L225" i="41"/>
  <c r="V224" i="41"/>
  <c r="U224" i="41"/>
  <c r="U220" i="41"/>
  <c r="U185" i="41"/>
  <c r="U226" i="41"/>
  <c r="U238" i="41"/>
  <c r="N195" i="41"/>
  <c r="V195" i="41"/>
  <c r="B256" i="41"/>
  <c r="T205" i="41"/>
  <c r="T179" i="41"/>
  <c r="B253" i="41"/>
  <c r="V222" i="41"/>
  <c r="L223" i="41"/>
  <c r="M223" i="41" s="1"/>
  <c r="N222" i="41"/>
  <c r="W245" i="41"/>
  <c r="T188" i="41"/>
  <c r="V180" i="41"/>
  <c r="N180" i="41"/>
  <c r="V175" i="41"/>
  <c r="N175" i="41"/>
  <c r="L176" i="41"/>
  <c r="K10" i="41"/>
  <c r="L9" i="41"/>
  <c r="V173" i="41"/>
  <c r="N173" i="41"/>
  <c r="L174" i="41"/>
  <c r="M174" i="41" s="1"/>
  <c r="U180" i="41"/>
  <c r="T164" i="41"/>
  <c r="G245" i="41"/>
  <c r="M171" i="41"/>
  <c r="U171" i="41"/>
  <c r="AA201" i="41"/>
  <c r="AE201" i="41" s="1"/>
  <c r="Z201" i="41"/>
  <c r="Y201" i="41"/>
  <c r="E207" i="41"/>
  <c r="E217" i="41" s="1"/>
  <c r="E218" i="41" s="1"/>
  <c r="T218" i="41" s="1"/>
  <c r="T206" i="41"/>
  <c r="T204" i="41"/>
  <c r="E166" i="41"/>
  <c r="T166" i="41" s="1"/>
  <c r="L8" i="41"/>
  <c r="T236" i="41"/>
  <c r="M192" i="41"/>
  <c r="U192" i="41"/>
  <c r="V234" i="41"/>
  <c r="N234" i="41"/>
  <c r="L235" i="41"/>
  <c r="U234" i="41"/>
  <c r="P224" i="41"/>
  <c r="Q224" i="41" s="1"/>
  <c r="U236" i="41"/>
  <c r="N220" i="41"/>
  <c r="V220" i="41"/>
  <c r="V210" i="41"/>
  <c r="N210" i="41"/>
  <c r="M214" i="41"/>
  <c r="U214" i="41"/>
  <c r="T216" i="41"/>
  <c r="U239" i="41"/>
  <c r="T187" i="41"/>
  <c r="U222" i="41"/>
  <c r="M181" i="41"/>
  <c r="L186" i="41" s="1"/>
  <c r="U181" i="41"/>
  <c r="M182" i="41"/>
  <c r="U182" i="41"/>
  <c r="M165" i="41"/>
  <c r="U165" i="41"/>
  <c r="M211" i="41"/>
  <c r="L216" i="41" s="1"/>
  <c r="U211" i="41"/>
  <c r="M169" i="41"/>
  <c r="U169" i="41"/>
  <c r="Y194" i="41"/>
  <c r="X194" i="41"/>
  <c r="AA194" i="41"/>
  <c r="AE194" i="41" s="1"/>
  <c r="Z194" i="41"/>
  <c r="U175" i="41"/>
  <c r="B254" i="41"/>
  <c r="M203" i="41"/>
  <c r="U203" i="41"/>
  <c r="V212" i="41"/>
  <c r="L213" i="41"/>
  <c r="N212" i="41"/>
  <c r="E168" i="41"/>
  <c r="B251" i="41" s="1"/>
  <c r="V185" i="41"/>
  <c r="N185" i="41"/>
  <c r="N208" i="41"/>
  <c r="V208" i="41"/>
  <c r="L209" i="41"/>
  <c r="T167" i="41"/>
  <c r="N238" i="41"/>
  <c r="V238" i="41"/>
  <c r="T237" i="41"/>
  <c r="V172" i="41"/>
  <c r="N172" i="41"/>
  <c r="T235" i="41"/>
  <c r="L237" i="41"/>
  <c r="V236" i="41"/>
  <c r="N236" i="41"/>
  <c r="U212" i="41"/>
  <c r="V233" i="41"/>
  <c r="N233" i="41"/>
  <c r="N226" i="41"/>
  <c r="L227" i="41"/>
  <c r="V226" i="41"/>
  <c r="T186" i="41"/>
  <c r="L240" i="41"/>
  <c r="V239" i="41"/>
  <c r="N239" i="41"/>
  <c r="T21" i="30"/>
  <c r="X159" i="41" l="1"/>
  <c r="AA159" i="41"/>
  <c r="AE159" i="41" s="1"/>
  <c r="Y159" i="41"/>
  <c r="T199" i="41"/>
  <c r="B255" i="41"/>
  <c r="U168" i="41"/>
  <c r="X168" i="41" s="1"/>
  <c r="X201" i="41"/>
  <c r="D251" i="41"/>
  <c r="N168" i="41"/>
  <c r="P168" i="41" s="1"/>
  <c r="Q168" i="41" s="1"/>
  <c r="M160" i="41"/>
  <c r="V160" i="41" s="1"/>
  <c r="AA160" i="41" s="1"/>
  <c r="AE160" i="41" s="1"/>
  <c r="T230" i="41"/>
  <c r="U202" i="41"/>
  <c r="X202" i="41" s="1"/>
  <c r="AA163" i="41"/>
  <c r="AE163" i="41" s="1"/>
  <c r="N155" i="41"/>
  <c r="R155" i="41" s="1"/>
  <c r="L156" i="41"/>
  <c r="M156" i="41" s="1"/>
  <c r="V156" i="41" s="1"/>
  <c r="J124" i="30"/>
  <c r="I124" i="30"/>
  <c r="G125" i="30"/>
  <c r="K126" i="30"/>
  <c r="H127" i="30"/>
  <c r="R184" i="41"/>
  <c r="P189" i="41"/>
  <c r="Q189" i="41" s="1"/>
  <c r="Y189" i="41"/>
  <c r="U196" i="41"/>
  <c r="P201" i="41"/>
  <c r="Q201" i="41" s="1"/>
  <c r="N202" i="41"/>
  <c r="R202" i="41" s="1"/>
  <c r="X189" i="41"/>
  <c r="R168" i="41"/>
  <c r="Y155" i="41"/>
  <c r="V190" i="41"/>
  <c r="X155" i="41"/>
  <c r="X163" i="41"/>
  <c r="Y163" i="41"/>
  <c r="N190" i="41"/>
  <c r="R190" i="41" s="1"/>
  <c r="AA155" i="41"/>
  <c r="AE155" i="41" s="1"/>
  <c r="Z163" i="41"/>
  <c r="V196" i="41"/>
  <c r="N196" i="41"/>
  <c r="R196" i="41" s="1"/>
  <c r="Y184" i="41"/>
  <c r="L229" i="41"/>
  <c r="U229" i="41" s="1"/>
  <c r="U190" i="41"/>
  <c r="V206" i="41"/>
  <c r="Y206" i="41" s="1"/>
  <c r="N206" i="41"/>
  <c r="X167" i="41"/>
  <c r="V164" i="41"/>
  <c r="D249" i="41"/>
  <c r="AA184" i="41"/>
  <c r="AE184" i="41" s="1"/>
  <c r="X184" i="41"/>
  <c r="P194" i="41"/>
  <c r="Q194" i="41" s="1"/>
  <c r="V221" i="41"/>
  <c r="X221" i="41" s="1"/>
  <c r="T158" i="41"/>
  <c r="E242" i="41"/>
  <c r="Z184" i="41"/>
  <c r="T217" i="41"/>
  <c r="T157" i="41"/>
  <c r="AA167" i="41"/>
  <c r="AE167" i="41" s="1"/>
  <c r="T168" i="41"/>
  <c r="Y167" i="41"/>
  <c r="T162" i="41"/>
  <c r="T207" i="41"/>
  <c r="N164" i="41"/>
  <c r="R164" i="41" s="1"/>
  <c r="U164" i="41"/>
  <c r="Z167" i="41"/>
  <c r="Y202" i="41"/>
  <c r="AA185" i="41"/>
  <c r="AE185" i="41" s="1"/>
  <c r="Y238" i="41"/>
  <c r="Z173" i="41"/>
  <c r="AA226" i="41"/>
  <c r="AE226" i="41" s="1"/>
  <c r="Z172" i="41"/>
  <c r="X185" i="41"/>
  <c r="Y226" i="41"/>
  <c r="Y210" i="41"/>
  <c r="Z208" i="41"/>
  <c r="AA233" i="41"/>
  <c r="AE233" i="41" s="1"/>
  <c r="X238" i="41"/>
  <c r="AA173" i="41"/>
  <c r="AE173" i="41" s="1"/>
  <c r="AA238" i="41"/>
  <c r="AE238" i="41" s="1"/>
  <c r="X226" i="41"/>
  <c r="X173" i="41"/>
  <c r="Z238" i="41"/>
  <c r="Y185" i="41"/>
  <c r="Z185" i="41"/>
  <c r="X220" i="41"/>
  <c r="M225" i="41"/>
  <c r="U225" i="41"/>
  <c r="Y208" i="41"/>
  <c r="Z226" i="41"/>
  <c r="Y195" i="41"/>
  <c r="X195" i="41"/>
  <c r="AA195" i="41"/>
  <c r="AE195" i="41" s="1"/>
  <c r="Z195" i="41"/>
  <c r="AA208" i="41"/>
  <c r="AE208" i="41" s="1"/>
  <c r="R195" i="41"/>
  <c r="P195" i="41"/>
  <c r="Q195" i="41" s="1"/>
  <c r="Y173" i="41"/>
  <c r="X224" i="41"/>
  <c r="AA224" i="41"/>
  <c r="AE224" i="41" s="1"/>
  <c r="Z224" i="41"/>
  <c r="Y224" i="41"/>
  <c r="M186" i="41"/>
  <c r="U186" i="41"/>
  <c r="R233" i="41"/>
  <c r="P233" i="41"/>
  <c r="Q233" i="41" s="1"/>
  <c r="R208" i="41"/>
  <c r="P208" i="41"/>
  <c r="Q208" i="41" s="1"/>
  <c r="M207" i="41"/>
  <c r="U207" i="41"/>
  <c r="R172" i="41"/>
  <c r="P172" i="41"/>
  <c r="Q172" i="41" s="1"/>
  <c r="X233" i="41"/>
  <c r="R210" i="41"/>
  <c r="P210" i="41"/>
  <c r="Q210" i="41" s="1"/>
  <c r="B250" i="41"/>
  <c r="M216" i="41"/>
  <c r="U216" i="41"/>
  <c r="Y212" i="41"/>
  <c r="X212" i="41"/>
  <c r="AA212" i="41"/>
  <c r="AE212" i="41" s="1"/>
  <c r="Z212" i="41"/>
  <c r="AA172" i="41"/>
  <c r="AE172" i="41" s="1"/>
  <c r="P236" i="41"/>
  <c r="Q236" i="41" s="1"/>
  <c r="R236" i="41"/>
  <c r="P221" i="41"/>
  <c r="Q221" i="41" s="1"/>
  <c r="R221" i="41"/>
  <c r="X172" i="41"/>
  <c r="R222" i="41"/>
  <c r="P222" i="41"/>
  <c r="Q222" i="41" s="1"/>
  <c r="R212" i="41"/>
  <c r="P212" i="41"/>
  <c r="Q212" i="41" s="1"/>
  <c r="X239" i="41"/>
  <c r="Y239" i="41"/>
  <c r="AA239" i="41"/>
  <c r="AE239" i="41" s="1"/>
  <c r="Z239" i="41"/>
  <c r="Y172" i="41"/>
  <c r="M237" i="41"/>
  <c r="U237" i="41"/>
  <c r="R238" i="41"/>
  <c r="P238" i="41"/>
  <c r="Q238" i="41" s="1"/>
  <c r="T231" i="41"/>
  <c r="E232" i="41"/>
  <c r="R239" i="41"/>
  <c r="P239" i="41"/>
  <c r="Q239" i="41" s="1"/>
  <c r="N169" i="41"/>
  <c r="V169" i="41"/>
  <c r="Y169" i="41" s="1"/>
  <c r="L170" i="41"/>
  <c r="R175" i="41"/>
  <c r="P175" i="41"/>
  <c r="Q175" i="41" s="1"/>
  <c r="M240" i="41"/>
  <c r="U240" i="41"/>
  <c r="Y220" i="41"/>
  <c r="U174" i="41"/>
  <c r="Z220" i="41"/>
  <c r="AA210" i="41"/>
  <c r="AE210" i="41" s="1"/>
  <c r="U235" i="41"/>
  <c r="M235" i="41"/>
  <c r="R173" i="41"/>
  <c r="P173" i="41"/>
  <c r="Q173" i="41" s="1"/>
  <c r="R180" i="41"/>
  <c r="P180" i="41"/>
  <c r="Q180" i="41" s="1"/>
  <c r="U227" i="41"/>
  <c r="M227" i="41"/>
  <c r="AA220" i="41"/>
  <c r="AE220" i="41" s="1"/>
  <c r="Z210" i="41"/>
  <c r="N214" i="41"/>
  <c r="V214" i="41"/>
  <c r="Z214" i="41" s="1"/>
  <c r="L215" i="41"/>
  <c r="Y236" i="41"/>
  <c r="X236" i="41"/>
  <c r="AA236" i="41"/>
  <c r="AE236" i="41" s="1"/>
  <c r="Z236" i="41"/>
  <c r="R234" i="41"/>
  <c r="P234" i="41"/>
  <c r="Q234" i="41" s="1"/>
  <c r="R226" i="41"/>
  <c r="P226" i="41"/>
  <c r="Q226" i="41" s="1"/>
  <c r="E219" i="41"/>
  <c r="T219" i="41" s="1"/>
  <c r="N182" i="41"/>
  <c r="V182" i="41"/>
  <c r="Y182" i="41" s="1"/>
  <c r="L183" i="41"/>
  <c r="X210" i="41"/>
  <c r="M209" i="41"/>
  <c r="U209" i="41"/>
  <c r="X208" i="41"/>
  <c r="M191" i="41"/>
  <c r="U191" i="41"/>
  <c r="N181" i="41"/>
  <c r="V181" i="41"/>
  <c r="AA181" i="41" s="1"/>
  <c r="AE181" i="41" s="1"/>
  <c r="L177" i="41"/>
  <c r="M177" i="41" s="1"/>
  <c r="N171" i="41"/>
  <c r="V171" i="41"/>
  <c r="AA171" i="41" s="1"/>
  <c r="AE171" i="41" s="1"/>
  <c r="Y233" i="41"/>
  <c r="AA222" i="41"/>
  <c r="AE222" i="41" s="1"/>
  <c r="Z222" i="41"/>
  <c r="Y222" i="41"/>
  <c r="X222" i="41"/>
  <c r="Z233" i="41"/>
  <c r="N211" i="41"/>
  <c r="V211" i="41"/>
  <c r="AA211" i="41" s="1"/>
  <c r="AE211" i="41" s="1"/>
  <c r="U223" i="41"/>
  <c r="U213" i="41"/>
  <c r="M213" i="41"/>
  <c r="R220" i="41"/>
  <c r="P220" i="41"/>
  <c r="Q220" i="41" s="1"/>
  <c r="M176" i="41"/>
  <c r="U176" i="41"/>
  <c r="R185" i="41"/>
  <c r="P185" i="41"/>
  <c r="Q185" i="41" s="1"/>
  <c r="Z234" i="41"/>
  <c r="Y234" i="41"/>
  <c r="AA234" i="41"/>
  <c r="AE234" i="41" s="1"/>
  <c r="X234" i="41"/>
  <c r="N203" i="41"/>
  <c r="V203" i="41"/>
  <c r="AA203" i="41" s="1"/>
  <c r="AE203" i="41" s="1"/>
  <c r="L204" i="41"/>
  <c r="L166" i="41"/>
  <c r="V165" i="41"/>
  <c r="X165" i="41" s="1"/>
  <c r="N165" i="41"/>
  <c r="Z180" i="41"/>
  <c r="Y180" i="41"/>
  <c r="X180" i="41"/>
  <c r="AA180" i="41"/>
  <c r="AE180" i="41" s="1"/>
  <c r="X175" i="41"/>
  <c r="Y175" i="41"/>
  <c r="AA175" i="41"/>
  <c r="AE175" i="41" s="1"/>
  <c r="Z175" i="41"/>
  <c r="R206" i="41"/>
  <c r="P206" i="41"/>
  <c r="Q206" i="41" s="1"/>
  <c r="L193" i="41"/>
  <c r="N192" i="41"/>
  <c r="V192" i="41"/>
  <c r="Y192" i="41" s="1"/>
  <c r="K11" i="41"/>
  <c r="L10" i="41"/>
  <c r="D197" i="37"/>
  <c r="D178" i="37"/>
  <c r="D180" i="37" s="1"/>
  <c r="D160" i="37"/>
  <c r="D162" i="37"/>
  <c r="D140" i="37"/>
  <c r="D142" i="37" s="1"/>
  <c r="D118" i="37"/>
  <c r="D121" i="37"/>
  <c r="D123" i="37" s="1"/>
  <c r="D93" i="37"/>
  <c r="D95" i="37" s="1"/>
  <c r="D68" i="37"/>
  <c r="D70" i="37" s="1"/>
  <c r="D69" i="37"/>
  <c r="D41" i="37"/>
  <c r="D43" i="37" s="1"/>
  <c r="D17" i="37"/>
  <c r="D19" i="37" s="1"/>
  <c r="AA202" i="41" l="1"/>
  <c r="AE202" i="41" s="1"/>
  <c r="Z168" i="41"/>
  <c r="AA168" i="41"/>
  <c r="AE168" i="41" s="1"/>
  <c r="L161" i="41"/>
  <c r="Y168" i="41"/>
  <c r="P155" i="41"/>
  <c r="Q155" i="41" s="1"/>
  <c r="Z202" i="41"/>
  <c r="N160" i="41"/>
  <c r="I125" i="30"/>
  <c r="M125" i="30"/>
  <c r="N125" i="30" s="1"/>
  <c r="P125" i="30" s="1"/>
  <c r="U156" i="41"/>
  <c r="Z156" i="41" s="1"/>
  <c r="N156" i="41"/>
  <c r="P156" i="41" s="1"/>
  <c r="Q156" i="41" s="1"/>
  <c r="L157" i="41"/>
  <c r="M157" i="41" s="1"/>
  <c r="L158" i="41" s="1"/>
  <c r="G126" i="30"/>
  <c r="M126" i="30" s="1"/>
  <c r="N126" i="30" s="1"/>
  <c r="P126" i="30" s="1"/>
  <c r="J125" i="30"/>
  <c r="H128" i="30"/>
  <c r="K127" i="30"/>
  <c r="X190" i="41"/>
  <c r="P202" i="41"/>
  <c r="Q202" i="41" s="1"/>
  <c r="AA196" i="41"/>
  <c r="AE196" i="41" s="1"/>
  <c r="Z221" i="41"/>
  <c r="P190" i="41"/>
  <c r="Q190" i="41" s="1"/>
  <c r="M229" i="41"/>
  <c r="N229" i="41" s="1"/>
  <c r="Z196" i="41"/>
  <c r="P196" i="41"/>
  <c r="Q196" i="41" s="1"/>
  <c r="X196" i="41"/>
  <c r="Y196" i="41"/>
  <c r="AA190" i="41"/>
  <c r="AE190" i="41" s="1"/>
  <c r="Z190" i="41"/>
  <c r="Y190" i="41"/>
  <c r="AA206" i="41"/>
  <c r="AE206" i="41" s="1"/>
  <c r="Z206" i="41"/>
  <c r="X206" i="41"/>
  <c r="Y221" i="41"/>
  <c r="AA221" i="41"/>
  <c r="AE221" i="41" s="1"/>
  <c r="X164" i="41"/>
  <c r="Z164" i="41"/>
  <c r="AA164" i="41"/>
  <c r="AE164" i="41" s="1"/>
  <c r="T242" i="41"/>
  <c r="E243" i="41"/>
  <c r="P164" i="41"/>
  <c r="Q164" i="41" s="1"/>
  <c r="Y164" i="41"/>
  <c r="AA156" i="41"/>
  <c r="AE156" i="41" s="1"/>
  <c r="X156" i="41"/>
  <c r="R156" i="41"/>
  <c r="Y156" i="41"/>
  <c r="X169" i="41"/>
  <c r="Y203" i="41"/>
  <c r="Z203" i="41"/>
  <c r="Z169" i="41"/>
  <c r="X203" i="41"/>
  <c r="AA169" i="41"/>
  <c r="AE169" i="41" s="1"/>
  <c r="Y171" i="41"/>
  <c r="AA165" i="41"/>
  <c r="AE165" i="41" s="1"/>
  <c r="Y165" i="41"/>
  <c r="Z165" i="41"/>
  <c r="Z182" i="41"/>
  <c r="AA182" i="41"/>
  <c r="AE182" i="41" s="1"/>
  <c r="N225" i="41"/>
  <c r="V225" i="41"/>
  <c r="AA225" i="41" s="1"/>
  <c r="AE225" i="41" s="1"/>
  <c r="R169" i="41"/>
  <c r="P169" i="41"/>
  <c r="Q169" i="41" s="1"/>
  <c r="N186" i="41"/>
  <c r="V186" i="41"/>
  <c r="Y186" i="41" s="1"/>
  <c r="N176" i="41"/>
  <c r="V176" i="41"/>
  <c r="AA176" i="41" s="1"/>
  <c r="AE176" i="41" s="1"/>
  <c r="R171" i="41"/>
  <c r="P171" i="41"/>
  <c r="Q171" i="41" s="1"/>
  <c r="N174" i="41"/>
  <c r="V174" i="41"/>
  <c r="Z174" i="41" s="1"/>
  <c r="N216" i="41"/>
  <c r="V216" i="41"/>
  <c r="Y216" i="41" s="1"/>
  <c r="R192" i="41"/>
  <c r="P192" i="41"/>
  <c r="Q192" i="41" s="1"/>
  <c r="U177" i="41"/>
  <c r="M193" i="41"/>
  <c r="U193" i="41"/>
  <c r="L197" i="41"/>
  <c r="V191" i="41"/>
  <c r="X191" i="41" s="1"/>
  <c r="N191" i="41"/>
  <c r="L228" i="41"/>
  <c r="V227" i="41"/>
  <c r="AA227" i="41" s="1"/>
  <c r="AE227" i="41" s="1"/>
  <c r="N227" i="41"/>
  <c r="T232" i="41"/>
  <c r="B258" i="41"/>
  <c r="R181" i="41"/>
  <c r="P181" i="41"/>
  <c r="Q181" i="41" s="1"/>
  <c r="R211" i="41"/>
  <c r="P211" i="41"/>
  <c r="Q211" i="41" s="1"/>
  <c r="X160" i="41"/>
  <c r="N240" i="41"/>
  <c r="V240" i="41"/>
  <c r="Z240" i="41" s="1"/>
  <c r="L241" i="41"/>
  <c r="Y181" i="41"/>
  <c r="Y160" i="41"/>
  <c r="V209" i="41"/>
  <c r="Z209" i="41" s="1"/>
  <c r="N209" i="41"/>
  <c r="Z181" i="41"/>
  <c r="Z160" i="41"/>
  <c r="B257" i="41"/>
  <c r="X181" i="41"/>
  <c r="V237" i="41"/>
  <c r="Z237" i="41" s="1"/>
  <c r="N237" i="41"/>
  <c r="R165" i="41"/>
  <c r="P165" i="41"/>
  <c r="Q165" i="41" s="1"/>
  <c r="V235" i="41"/>
  <c r="AA235" i="41" s="1"/>
  <c r="AE235" i="41" s="1"/>
  <c r="N235" i="41"/>
  <c r="N207" i="41"/>
  <c r="L217" i="41"/>
  <c r="V207" i="41"/>
  <c r="AA207" i="41" s="1"/>
  <c r="AE207" i="41" s="1"/>
  <c r="X192" i="41"/>
  <c r="M215" i="41"/>
  <c r="U215" i="41"/>
  <c r="M166" i="41"/>
  <c r="D250" i="41" s="1"/>
  <c r="U166" i="41"/>
  <c r="X211" i="41"/>
  <c r="Z192" i="41"/>
  <c r="AA214" i="41"/>
  <c r="AE214" i="41" s="1"/>
  <c r="K12" i="41"/>
  <c r="L11" i="41"/>
  <c r="M204" i="41"/>
  <c r="U204" i="41"/>
  <c r="V213" i="41"/>
  <c r="X213" i="41" s="1"/>
  <c r="N213" i="41"/>
  <c r="Y211" i="41"/>
  <c r="AA192" i="41"/>
  <c r="AE192" i="41" s="1"/>
  <c r="R214" i="41"/>
  <c r="P214" i="41"/>
  <c r="Q214" i="41" s="1"/>
  <c r="X214" i="41"/>
  <c r="X171" i="41"/>
  <c r="Z211" i="41"/>
  <c r="M183" i="41"/>
  <c r="U183" i="41"/>
  <c r="Y214" i="41"/>
  <c r="Z171" i="41"/>
  <c r="R160" i="41"/>
  <c r="P160" i="41"/>
  <c r="Q160" i="41" s="1"/>
  <c r="R203" i="41"/>
  <c r="P203" i="41"/>
  <c r="Q203" i="41" s="1"/>
  <c r="X182" i="41"/>
  <c r="M170" i="41"/>
  <c r="D252" i="41" s="1"/>
  <c r="U170" i="41"/>
  <c r="M161" i="41"/>
  <c r="U161" i="41"/>
  <c r="V223" i="41"/>
  <c r="AA223" i="41" s="1"/>
  <c r="AE223" i="41" s="1"/>
  <c r="N223" i="41"/>
  <c r="R182" i="41"/>
  <c r="P182" i="41"/>
  <c r="Q182" i="41" s="1"/>
  <c r="N157" i="41" l="1"/>
  <c r="V157" i="41"/>
  <c r="U157" i="41"/>
  <c r="J126" i="30"/>
  <c r="I126" i="30"/>
  <c r="G127" i="30"/>
  <c r="H129" i="30"/>
  <c r="K128" i="30"/>
  <c r="V229" i="41"/>
  <c r="Y229" i="41" s="1"/>
  <c r="L230" i="41"/>
  <c r="M230" i="41" s="1"/>
  <c r="E244" i="41"/>
  <c r="T244" i="41" s="1"/>
  <c r="T243" i="41"/>
  <c r="Y157" i="41"/>
  <c r="AA229" i="41"/>
  <c r="AE229" i="41" s="1"/>
  <c r="X157" i="41"/>
  <c r="Y191" i="41"/>
  <c r="AA240" i="41"/>
  <c r="AE240" i="41" s="1"/>
  <c r="Z191" i="41"/>
  <c r="X216" i="41"/>
  <c r="Z157" i="41"/>
  <c r="X240" i="41"/>
  <c r="AA191" i="41"/>
  <c r="AE191" i="41" s="1"/>
  <c r="Z216" i="41"/>
  <c r="AA157" i="41"/>
  <c r="AE157" i="41" s="1"/>
  <c r="Y240" i="41"/>
  <c r="AA216" i="41"/>
  <c r="AE216" i="41" s="1"/>
  <c r="P225" i="41"/>
  <c r="Q225" i="41" s="1"/>
  <c r="R225" i="41"/>
  <c r="Y209" i="41"/>
  <c r="AA209" i="41"/>
  <c r="AE209" i="41" s="1"/>
  <c r="Z225" i="41"/>
  <c r="X237" i="41"/>
  <c r="Y213" i="41"/>
  <c r="Y237" i="41"/>
  <c r="AA237" i="41"/>
  <c r="AE237" i="41" s="1"/>
  <c r="Y225" i="41"/>
  <c r="Z213" i="41"/>
  <c r="AA213" i="41"/>
  <c r="AE213" i="41" s="1"/>
  <c r="X209" i="41"/>
  <c r="X225" i="41"/>
  <c r="AA174" i="41"/>
  <c r="AE174" i="41" s="1"/>
  <c r="R240" i="41"/>
  <c r="P240" i="41"/>
  <c r="Q240" i="41" s="1"/>
  <c r="V204" i="41"/>
  <c r="Y204" i="41" s="1"/>
  <c r="N204" i="41"/>
  <c r="L205" i="41"/>
  <c r="R223" i="41"/>
  <c r="P223" i="41"/>
  <c r="Q223" i="41" s="1"/>
  <c r="M217" i="41"/>
  <c r="U217" i="41"/>
  <c r="R176" i="41"/>
  <c r="P176" i="41"/>
  <c r="Q176" i="41" s="1"/>
  <c r="K13" i="41"/>
  <c r="L12" i="41"/>
  <c r="R207" i="41"/>
  <c r="P207" i="41"/>
  <c r="Q207" i="41" s="1"/>
  <c r="R157" i="41"/>
  <c r="P157" i="41"/>
  <c r="Q157" i="41" s="1"/>
  <c r="P235" i="41"/>
  <c r="Q235" i="41" s="1"/>
  <c r="R235" i="41"/>
  <c r="R227" i="41"/>
  <c r="P227" i="41"/>
  <c r="Q227" i="41" s="1"/>
  <c r="P186" i="41"/>
  <c r="Q186" i="41" s="1"/>
  <c r="R186" i="41"/>
  <c r="M158" i="41"/>
  <c r="U158" i="41"/>
  <c r="M228" i="41"/>
  <c r="U228" i="41"/>
  <c r="V177" i="41"/>
  <c r="Y177" i="41" s="1"/>
  <c r="N177" i="41"/>
  <c r="R191" i="41"/>
  <c r="P191" i="41"/>
  <c r="Q191" i="41" s="1"/>
  <c r="N161" i="41"/>
  <c r="V161" i="41"/>
  <c r="AA161" i="41" s="1"/>
  <c r="AE161" i="41" s="1"/>
  <c r="R229" i="41"/>
  <c r="P229" i="41"/>
  <c r="Q229" i="41" s="1"/>
  <c r="V166" i="41"/>
  <c r="AA166" i="41" s="1"/>
  <c r="AE166" i="41" s="1"/>
  <c r="N166" i="41"/>
  <c r="X207" i="41"/>
  <c r="U197" i="41"/>
  <c r="M197" i="41"/>
  <c r="L198" i="41" s="1"/>
  <c r="V170" i="41"/>
  <c r="Y170" i="41" s="1"/>
  <c r="N170" i="41"/>
  <c r="X235" i="41"/>
  <c r="Y207" i="41"/>
  <c r="R209" i="41"/>
  <c r="P209" i="41"/>
  <c r="Q209" i="41" s="1"/>
  <c r="P216" i="41"/>
  <c r="Q216" i="41" s="1"/>
  <c r="R216" i="41"/>
  <c r="X186" i="41"/>
  <c r="Y235" i="41"/>
  <c r="Z207" i="41"/>
  <c r="N193" i="41"/>
  <c r="V193" i="41"/>
  <c r="AA193" i="41" s="1"/>
  <c r="AE193" i="41" s="1"/>
  <c r="X176" i="41"/>
  <c r="Z186" i="41"/>
  <c r="X223" i="41"/>
  <c r="Z235" i="41"/>
  <c r="X227" i="41"/>
  <c r="R174" i="41"/>
  <c r="P174" i="41"/>
  <c r="Q174" i="41" s="1"/>
  <c r="Y176" i="41"/>
  <c r="AA186" i="41"/>
  <c r="AE186" i="41" s="1"/>
  <c r="Y223" i="41"/>
  <c r="V183" i="41"/>
  <c r="Y183" i="41" s="1"/>
  <c r="N183" i="41"/>
  <c r="L187" i="41"/>
  <c r="P213" i="41"/>
  <c r="Q213" i="41" s="1"/>
  <c r="R213" i="41"/>
  <c r="R237" i="41"/>
  <c r="P237" i="41"/>
  <c r="Q237" i="41" s="1"/>
  <c r="Y227" i="41"/>
  <c r="X174" i="41"/>
  <c r="L178" i="41"/>
  <c r="Z176" i="41"/>
  <c r="Z223" i="41"/>
  <c r="M241" i="41"/>
  <c r="U241" i="41"/>
  <c r="Z227" i="41"/>
  <c r="Y174" i="41"/>
  <c r="V215" i="41"/>
  <c r="AA215" i="41" s="1"/>
  <c r="AE215" i="41" s="1"/>
  <c r="N215" i="41"/>
  <c r="I127" i="30" l="1"/>
  <c r="M127" i="30"/>
  <c r="N127" i="30" s="1"/>
  <c r="P127" i="30" s="1"/>
  <c r="J127" i="30"/>
  <c r="X229" i="41"/>
  <c r="Z229" i="41"/>
  <c r="G128" i="30"/>
  <c r="H130" i="30"/>
  <c r="K129" i="30"/>
  <c r="U230" i="41"/>
  <c r="L231" i="41"/>
  <c r="B259" i="41"/>
  <c r="B260" i="41" s="1"/>
  <c r="Z215" i="41"/>
  <c r="Z177" i="41"/>
  <c r="Y193" i="41"/>
  <c r="AA177" i="41"/>
  <c r="AE177" i="41" s="1"/>
  <c r="Y215" i="41"/>
  <c r="X215" i="41"/>
  <c r="X193" i="41"/>
  <c r="Z193" i="41"/>
  <c r="N241" i="41"/>
  <c r="V241" i="41"/>
  <c r="X241" i="41" s="1"/>
  <c r="L242" i="41"/>
  <c r="M198" i="41"/>
  <c r="U198" i="41"/>
  <c r="R193" i="41"/>
  <c r="P193" i="41"/>
  <c r="Q193" i="41" s="1"/>
  <c r="V197" i="41"/>
  <c r="AA197" i="41" s="1"/>
  <c r="AE197" i="41" s="1"/>
  <c r="N197" i="41"/>
  <c r="R161" i="41"/>
  <c r="P161" i="41"/>
  <c r="Q161" i="41" s="1"/>
  <c r="V217" i="41"/>
  <c r="Y217" i="41" s="1"/>
  <c r="N217" i="41"/>
  <c r="L218" i="41"/>
  <c r="R166" i="41"/>
  <c r="P166" i="41"/>
  <c r="Q166" i="41" s="1"/>
  <c r="X161" i="41"/>
  <c r="M205" i="41"/>
  <c r="D256" i="41" s="1"/>
  <c r="U205" i="41"/>
  <c r="Y161" i="41"/>
  <c r="R204" i="41"/>
  <c r="P204" i="41"/>
  <c r="Q204" i="41" s="1"/>
  <c r="Z161" i="41"/>
  <c r="M178" i="41"/>
  <c r="U178" i="41"/>
  <c r="Z183" i="41"/>
  <c r="X170" i="41"/>
  <c r="R177" i="41"/>
  <c r="P177" i="41"/>
  <c r="Q177" i="41" s="1"/>
  <c r="N230" i="41"/>
  <c r="V230" i="41"/>
  <c r="AA183" i="41"/>
  <c r="AE183" i="41" s="1"/>
  <c r="AA170" i="41"/>
  <c r="AE170" i="41" s="1"/>
  <c r="R215" i="41"/>
  <c r="P215" i="41"/>
  <c r="Q215" i="41" s="1"/>
  <c r="X183" i="41"/>
  <c r="Z170" i="41"/>
  <c r="N228" i="41"/>
  <c r="V228" i="41"/>
  <c r="X228" i="41" s="1"/>
  <c r="Z204" i="41"/>
  <c r="X166" i="41"/>
  <c r="AA204" i="41"/>
  <c r="AE204" i="41" s="1"/>
  <c r="Z166" i="41"/>
  <c r="L162" i="41"/>
  <c r="N158" i="41"/>
  <c r="V158" i="41"/>
  <c r="AA158" i="41" s="1"/>
  <c r="K14" i="41"/>
  <c r="L13" i="41"/>
  <c r="X204" i="41"/>
  <c r="M187" i="41"/>
  <c r="U187" i="41"/>
  <c r="Y166" i="41"/>
  <c r="X177" i="41"/>
  <c r="R183" i="41"/>
  <c r="P183" i="41"/>
  <c r="Q183" i="41" s="1"/>
  <c r="R170" i="41"/>
  <c r="P170" i="41"/>
  <c r="Q170" i="41" s="1"/>
  <c r="J99" i="30"/>
  <c r="S92" i="30"/>
  <c r="R92" i="30"/>
  <c r="J128" i="30" l="1"/>
  <c r="M128" i="30"/>
  <c r="N128" i="30" s="1"/>
  <c r="P128" i="30" s="1"/>
  <c r="I128" i="30"/>
  <c r="G129" i="30"/>
  <c r="H131" i="30"/>
  <c r="K130" i="30"/>
  <c r="Y230" i="41"/>
  <c r="Y241" i="41"/>
  <c r="Z241" i="41"/>
  <c r="X158" i="41"/>
  <c r="AA241" i="41"/>
  <c r="AE241" i="41" s="1"/>
  <c r="Y158" i="41"/>
  <c r="Z158" i="41"/>
  <c r="N178" i="41"/>
  <c r="V178" i="41"/>
  <c r="AA178" i="41" s="1"/>
  <c r="AE178" i="41" s="1"/>
  <c r="L179" i="41"/>
  <c r="R197" i="41"/>
  <c r="P197" i="41"/>
  <c r="Q197" i="41" s="1"/>
  <c r="AE158" i="41"/>
  <c r="R230" i="41"/>
  <c r="P230" i="41"/>
  <c r="Q230" i="41" s="1"/>
  <c r="V205" i="41"/>
  <c r="AA205" i="41" s="1"/>
  <c r="AE205" i="41" s="1"/>
  <c r="N205" i="41"/>
  <c r="Z217" i="41"/>
  <c r="U231" i="41"/>
  <c r="M231" i="41"/>
  <c r="X217" i="41"/>
  <c r="V187" i="41"/>
  <c r="AA187" i="41" s="1"/>
  <c r="AE187" i="41" s="1"/>
  <c r="N187" i="41"/>
  <c r="L188" i="41"/>
  <c r="AA217" i="41"/>
  <c r="AE217" i="41" s="1"/>
  <c r="R228" i="41"/>
  <c r="P228" i="41"/>
  <c r="Q228" i="41" s="1"/>
  <c r="Y197" i="41"/>
  <c r="Y228" i="41"/>
  <c r="Z230" i="41"/>
  <c r="Z197" i="41"/>
  <c r="K15" i="41"/>
  <c r="L14" i="41"/>
  <c r="Z228" i="41"/>
  <c r="AA230" i="41"/>
  <c r="AE230" i="41" s="1"/>
  <c r="X197" i="41"/>
  <c r="V198" i="41"/>
  <c r="Z198" i="41" s="1"/>
  <c r="L199" i="41"/>
  <c r="N198" i="41"/>
  <c r="AA228" i="41"/>
  <c r="AE228" i="41" s="1"/>
  <c r="X230" i="41"/>
  <c r="M242" i="41"/>
  <c r="U242" i="41"/>
  <c r="R158" i="41"/>
  <c r="P158" i="41"/>
  <c r="Q158" i="41" s="1"/>
  <c r="M218" i="41"/>
  <c r="U218" i="41"/>
  <c r="M162" i="41"/>
  <c r="D248" i="41" s="1"/>
  <c r="U162" i="41"/>
  <c r="P217" i="41"/>
  <c r="Q217" i="41" s="1"/>
  <c r="R217" i="41"/>
  <c r="R241" i="41"/>
  <c r="P241" i="41"/>
  <c r="Q241" i="41" s="1"/>
  <c r="H155" i="25"/>
  <c r="I129" i="30" l="1"/>
  <c r="M129" i="30"/>
  <c r="N129" i="30" s="1"/>
  <c r="P129" i="30" s="1"/>
  <c r="J129" i="30"/>
  <c r="G130" i="30"/>
  <c r="H132" i="30"/>
  <c r="K131" i="30"/>
  <c r="X178" i="41"/>
  <c r="Y178" i="41"/>
  <c r="Z178" i="41"/>
  <c r="V242" i="41"/>
  <c r="Z242" i="41" s="1"/>
  <c r="N242" i="41"/>
  <c r="L243" i="41"/>
  <c r="R205" i="41"/>
  <c r="P205" i="41"/>
  <c r="Q205" i="41" s="1"/>
  <c r="P198" i="41"/>
  <c r="Q198" i="41" s="1"/>
  <c r="R198" i="41"/>
  <c r="M199" i="41"/>
  <c r="U199" i="41"/>
  <c r="Z205" i="41"/>
  <c r="M188" i="41"/>
  <c r="D254" i="41" s="1"/>
  <c r="U188" i="41"/>
  <c r="Y205" i="41"/>
  <c r="P187" i="41"/>
  <c r="Q187" i="41" s="1"/>
  <c r="R187" i="41"/>
  <c r="X205" i="41"/>
  <c r="V162" i="41"/>
  <c r="AA162" i="41" s="1"/>
  <c r="N162" i="41"/>
  <c r="K16" i="41"/>
  <c r="L15" i="41"/>
  <c r="V231" i="41"/>
  <c r="X231" i="41" s="1"/>
  <c r="N231" i="41"/>
  <c r="L232" i="41"/>
  <c r="X198" i="41"/>
  <c r="N218" i="41"/>
  <c r="V218" i="41"/>
  <c r="Z218" i="41" s="1"/>
  <c r="L219" i="41"/>
  <c r="Y198" i="41"/>
  <c r="Z187" i="41"/>
  <c r="AA198" i="41"/>
  <c r="AE198" i="41" s="1"/>
  <c r="X187" i="41"/>
  <c r="U179" i="41"/>
  <c r="M179" i="41"/>
  <c r="D253" i="41" s="1"/>
  <c r="Y187" i="41"/>
  <c r="P178" i="41"/>
  <c r="Q178" i="41" s="1"/>
  <c r="R178" i="41"/>
  <c r="D63" i="31"/>
  <c r="C63" i="31"/>
  <c r="D62" i="31"/>
  <c r="C62" i="31"/>
  <c r="D61" i="31"/>
  <c r="C61" i="31"/>
  <c r="D60" i="31"/>
  <c r="C60" i="31"/>
  <c r="D59" i="31"/>
  <c r="C59" i="31"/>
  <c r="D58" i="31"/>
  <c r="C58" i="31"/>
  <c r="D57" i="31"/>
  <c r="C57" i="31"/>
  <c r="D56" i="31"/>
  <c r="C56" i="31"/>
  <c r="D55" i="31"/>
  <c r="C55" i="31"/>
  <c r="D54" i="31"/>
  <c r="C54" i="31"/>
  <c r="D53" i="31"/>
  <c r="C53" i="31"/>
  <c r="D52" i="31"/>
  <c r="C52" i="31"/>
  <c r="D51" i="31"/>
  <c r="C51" i="31"/>
  <c r="D50" i="31"/>
  <c r="C50" i="31"/>
  <c r="D49" i="31"/>
  <c r="C49" i="31"/>
  <c r="D48" i="31"/>
  <c r="C48" i="31"/>
  <c r="D47" i="31"/>
  <c r="C47" i="31"/>
  <c r="D46" i="31"/>
  <c r="C46" i="31"/>
  <c r="D45" i="31"/>
  <c r="C45" i="31"/>
  <c r="D44" i="31"/>
  <c r="C44" i="31"/>
  <c r="D43" i="31"/>
  <c r="C43" i="31"/>
  <c r="D42" i="31"/>
  <c r="C42" i="31"/>
  <c r="D41" i="31"/>
  <c r="C41" i="31"/>
  <c r="D40" i="31"/>
  <c r="C40" i="31"/>
  <c r="D39" i="31"/>
  <c r="C39" i="31"/>
  <c r="D38" i="31"/>
  <c r="C38" i="31"/>
  <c r="D37" i="31"/>
  <c r="C37" i="31"/>
  <c r="D36" i="31"/>
  <c r="C36" i="31"/>
  <c r="D35" i="31"/>
  <c r="C35" i="31"/>
  <c r="D34" i="31"/>
  <c r="C34" i="31"/>
  <c r="D33" i="31"/>
  <c r="C33" i="31"/>
  <c r="D32" i="31"/>
  <c r="C32" i="31"/>
  <c r="D31" i="31"/>
  <c r="C31" i="31"/>
  <c r="D30" i="31"/>
  <c r="C30" i="31"/>
  <c r="D29" i="31"/>
  <c r="C29" i="31"/>
  <c r="D28" i="31"/>
  <c r="C28" i="31"/>
  <c r="D27" i="31"/>
  <c r="C27" i="31"/>
  <c r="D26" i="31"/>
  <c r="C26" i="31"/>
  <c r="D25" i="31"/>
  <c r="C25" i="31"/>
  <c r="D24" i="31"/>
  <c r="C24" i="31"/>
  <c r="D23" i="31"/>
  <c r="C23" i="31"/>
  <c r="D22" i="31"/>
  <c r="C22" i="31"/>
  <c r="D21" i="31"/>
  <c r="C21" i="31"/>
  <c r="D20" i="31"/>
  <c r="C20" i="31"/>
  <c r="D19" i="31"/>
  <c r="C19" i="31"/>
  <c r="D18" i="31"/>
  <c r="C18" i="31"/>
  <c r="D17" i="31"/>
  <c r="C17" i="31"/>
  <c r="D16" i="31"/>
  <c r="C16" i="31"/>
  <c r="D15" i="31"/>
  <c r="C15" i="31"/>
  <c r="D14" i="31"/>
  <c r="C14" i="31"/>
  <c r="D13" i="31"/>
  <c r="C13" i="31"/>
  <c r="D12" i="31"/>
  <c r="C12" i="31"/>
  <c r="D11" i="31"/>
  <c r="C11" i="31"/>
  <c r="D10" i="31"/>
  <c r="C10" i="31"/>
  <c r="D9" i="31"/>
  <c r="C9" i="31"/>
  <c r="D8" i="31"/>
  <c r="C8" i="31"/>
  <c r="D7" i="31"/>
  <c r="C7" i="31"/>
  <c r="D6" i="31"/>
  <c r="C6" i="31"/>
  <c r="D5" i="31"/>
  <c r="C5" i="31"/>
  <c r="D4" i="31"/>
  <c r="C4" i="31"/>
  <c r="D3" i="31"/>
  <c r="C3" i="31"/>
  <c r="D2" i="31"/>
  <c r="C2" i="31"/>
  <c r="D79" i="31"/>
  <c r="C79" i="31"/>
  <c r="D78" i="31"/>
  <c r="C78" i="31"/>
  <c r="D77" i="31"/>
  <c r="C77" i="31"/>
  <c r="D76" i="31"/>
  <c r="C76" i="31"/>
  <c r="D75" i="31"/>
  <c r="C75" i="31"/>
  <c r="D74" i="31"/>
  <c r="C74" i="31"/>
  <c r="D73" i="31"/>
  <c r="C73" i="31"/>
  <c r="D72" i="31"/>
  <c r="C72" i="31"/>
  <c r="D71" i="31"/>
  <c r="C71" i="31"/>
  <c r="D70" i="31"/>
  <c r="C70" i="31"/>
  <c r="D69" i="31"/>
  <c r="C69" i="31"/>
  <c r="D68" i="31"/>
  <c r="C68" i="31"/>
  <c r="D67" i="31"/>
  <c r="C67" i="31"/>
  <c r="D66" i="31"/>
  <c r="C66" i="31"/>
  <c r="D65" i="31"/>
  <c r="C65" i="31"/>
  <c r="D64" i="31"/>
  <c r="C64" i="31"/>
  <c r="J165" i="25"/>
  <c r="J164" i="25"/>
  <c r="J163" i="25"/>
  <c r="J162" i="25"/>
  <c r="J161" i="25"/>
  <c r="J160" i="25"/>
  <c r="J159" i="25"/>
  <c r="J157" i="25"/>
  <c r="J156" i="25"/>
  <c r="J155" i="25"/>
  <c r="O155" i="25"/>
  <c r="J158" i="25"/>
  <c r="Z271" i="26"/>
  <c r="Z270" i="26" s="1"/>
  <c r="Z269" i="26" s="1"/>
  <c r="O156" i="25"/>
  <c r="O157" i="25"/>
  <c r="O158" i="25"/>
  <c r="O159" i="25"/>
  <c r="O160" i="25"/>
  <c r="O161" i="25"/>
  <c r="O162" i="25"/>
  <c r="O163" i="25"/>
  <c r="O164" i="25"/>
  <c r="O165" i="25"/>
  <c r="O166" i="25"/>
  <c r="O167" i="25"/>
  <c r="O168" i="25"/>
  <c r="O169" i="25"/>
  <c r="O170" i="25"/>
  <c r="O171" i="25"/>
  <c r="O172" i="25"/>
  <c r="O173" i="25"/>
  <c r="O174" i="25"/>
  <c r="O175" i="25"/>
  <c r="O176" i="25"/>
  <c r="O177" i="25"/>
  <c r="O178" i="25"/>
  <c r="O179" i="25"/>
  <c r="O180" i="25"/>
  <c r="O181" i="25"/>
  <c r="O182" i="25"/>
  <c r="O183" i="25"/>
  <c r="O184" i="25"/>
  <c r="O185" i="25"/>
  <c r="O186" i="25"/>
  <c r="O187" i="25"/>
  <c r="O188" i="25"/>
  <c r="O189" i="25"/>
  <c r="O190" i="25"/>
  <c r="O191" i="25"/>
  <c r="O192" i="25"/>
  <c r="O193" i="25"/>
  <c r="O194" i="25"/>
  <c r="O195" i="25"/>
  <c r="O196" i="25"/>
  <c r="O197" i="25"/>
  <c r="O198" i="25"/>
  <c r="O199" i="25"/>
  <c r="O200" i="25"/>
  <c r="O201" i="25"/>
  <c r="O202" i="25"/>
  <c r="O203" i="25"/>
  <c r="O204" i="25"/>
  <c r="O205" i="25"/>
  <c r="O206" i="25"/>
  <c r="O207" i="25"/>
  <c r="O208" i="25"/>
  <c r="O209" i="25"/>
  <c r="O210" i="25"/>
  <c r="O211" i="25"/>
  <c r="O212" i="25"/>
  <c r="O213" i="25"/>
  <c r="O214" i="25"/>
  <c r="O215" i="25"/>
  <c r="O216" i="25"/>
  <c r="O217" i="25"/>
  <c r="O218" i="25"/>
  <c r="O219" i="25"/>
  <c r="O220" i="25"/>
  <c r="O221" i="25"/>
  <c r="O222" i="25"/>
  <c r="O223" i="25"/>
  <c r="O224" i="25"/>
  <c r="O225" i="25"/>
  <c r="O226" i="25"/>
  <c r="O227" i="25"/>
  <c r="O228" i="25"/>
  <c r="O229" i="25"/>
  <c r="O230" i="25"/>
  <c r="O231" i="25"/>
  <c r="O232" i="25"/>
  <c r="O233" i="25"/>
  <c r="O234" i="25"/>
  <c r="O235" i="25"/>
  <c r="O236" i="25"/>
  <c r="O237" i="25"/>
  <c r="O238" i="25"/>
  <c r="O239" i="25"/>
  <c r="O240" i="25"/>
  <c r="O241" i="25"/>
  <c r="O242" i="25"/>
  <c r="O243" i="25"/>
  <c r="O244" i="25"/>
  <c r="K156" i="25"/>
  <c r="K157" i="25"/>
  <c r="K158" i="25"/>
  <c r="K159" i="25"/>
  <c r="K160" i="25"/>
  <c r="K161" i="25"/>
  <c r="K162" i="25"/>
  <c r="K163" i="25"/>
  <c r="K164" i="25"/>
  <c r="K165" i="25"/>
  <c r="K166" i="25"/>
  <c r="K167" i="25"/>
  <c r="K168" i="25"/>
  <c r="K169" i="25"/>
  <c r="K170" i="25"/>
  <c r="K171" i="25"/>
  <c r="K172" i="25"/>
  <c r="K173" i="25"/>
  <c r="K174" i="25"/>
  <c r="K175" i="25"/>
  <c r="K176" i="25"/>
  <c r="K177" i="25"/>
  <c r="K178" i="25"/>
  <c r="K179" i="25"/>
  <c r="K180" i="25"/>
  <c r="K181" i="25"/>
  <c r="K182" i="25"/>
  <c r="K183" i="25"/>
  <c r="K184" i="25"/>
  <c r="K185" i="25"/>
  <c r="K186" i="25"/>
  <c r="K187" i="25"/>
  <c r="K188" i="25"/>
  <c r="K189" i="25"/>
  <c r="K190" i="25"/>
  <c r="K191" i="25"/>
  <c r="K192" i="25"/>
  <c r="K193" i="25"/>
  <c r="K194" i="25"/>
  <c r="K195" i="25"/>
  <c r="K196" i="25"/>
  <c r="K197" i="25"/>
  <c r="K198" i="25"/>
  <c r="K199" i="25"/>
  <c r="K200" i="25"/>
  <c r="K201" i="25"/>
  <c r="K202" i="25"/>
  <c r="K203" i="25"/>
  <c r="K204" i="25"/>
  <c r="K205" i="25"/>
  <c r="K206" i="25"/>
  <c r="K207" i="25"/>
  <c r="K208" i="25"/>
  <c r="K209" i="25"/>
  <c r="K210" i="25"/>
  <c r="K211" i="25"/>
  <c r="K212" i="25"/>
  <c r="K213" i="25"/>
  <c r="K214" i="25"/>
  <c r="K215" i="25"/>
  <c r="K216" i="25"/>
  <c r="K217" i="25"/>
  <c r="K218" i="25"/>
  <c r="K219" i="25"/>
  <c r="K220" i="25"/>
  <c r="K221" i="25"/>
  <c r="K222" i="25"/>
  <c r="K223" i="25"/>
  <c r="K224" i="25"/>
  <c r="K225" i="25"/>
  <c r="K226" i="25"/>
  <c r="K227" i="25"/>
  <c r="K228" i="25"/>
  <c r="K229" i="25"/>
  <c r="K230" i="25"/>
  <c r="K231" i="25"/>
  <c r="K232" i="25"/>
  <c r="K233" i="25"/>
  <c r="K234" i="25"/>
  <c r="K235" i="25"/>
  <c r="K236" i="25"/>
  <c r="K237" i="25"/>
  <c r="K238" i="25"/>
  <c r="K239" i="25"/>
  <c r="K240" i="25"/>
  <c r="K241" i="25"/>
  <c r="K242" i="25"/>
  <c r="K243" i="25"/>
  <c r="K244" i="25"/>
  <c r="K155" i="25"/>
  <c r="J244" i="25"/>
  <c r="H244" i="25"/>
  <c r="J243" i="25"/>
  <c r="H243" i="25"/>
  <c r="G243" i="25" s="1"/>
  <c r="J242" i="25"/>
  <c r="H242" i="25"/>
  <c r="G242" i="25" s="1"/>
  <c r="J241" i="25"/>
  <c r="H241" i="25"/>
  <c r="J240" i="25"/>
  <c r="H240" i="25"/>
  <c r="J239" i="25"/>
  <c r="H239" i="25"/>
  <c r="G239" i="25" s="1"/>
  <c r="J238" i="25"/>
  <c r="H238" i="25"/>
  <c r="G238" i="25" s="1"/>
  <c r="J237" i="25"/>
  <c r="H237" i="25"/>
  <c r="G237" i="25" s="1"/>
  <c r="J236" i="25"/>
  <c r="H236" i="25"/>
  <c r="G236" i="25" s="1"/>
  <c r="J235" i="25"/>
  <c r="H235" i="25"/>
  <c r="G235" i="25" s="1"/>
  <c r="J234" i="25"/>
  <c r="H234" i="25"/>
  <c r="J233" i="25"/>
  <c r="H233" i="25"/>
  <c r="J232" i="25"/>
  <c r="H232" i="25"/>
  <c r="J231" i="25"/>
  <c r="H231" i="25"/>
  <c r="G231" i="25" s="1"/>
  <c r="J230" i="25"/>
  <c r="H230" i="25"/>
  <c r="J229" i="25"/>
  <c r="H229" i="25"/>
  <c r="J228" i="25"/>
  <c r="H228" i="25"/>
  <c r="J227" i="25"/>
  <c r="H227" i="25"/>
  <c r="G227" i="25" s="1"/>
  <c r="J226" i="25"/>
  <c r="H226" i="25"/>
  <c r="J225" i="25"/>
  <c r="H225" i="25"/>
  <c r="J224" i="25"/>
  <c r="H224" i="25"/>
  <c r="G224" i="25" s="1"/>
  <c r="J223" i="25"/>
  <c r="H223" i="25"/>
  <c r="J222" i="25"/>
  <c r="H222" i="25"/>
  <c r="G222" i="25" s="1"/>
  <c r="J221" i="25"/>
  <c r="H221" i="25"/>
  <c r="J220" i="25"/>
  <c r="H220" i="25"/>
  <c r="J219" i="25"/>
  <c r="H219" i="25"/>
  <c r="J218" i="25"/>
  <c r="H218" i="25"/>
  <c r="J217" i="25"/>
  <c r="H217" i="25"/>
  <c r="J216" i="25"/>
  <c r="H216" i="25"/>
  <c r="J215" i="25"/>
  <c r="H215" i="25"/>
  <c r="J214" i="25"/>
  <c r="H214" i="25"/>
  <c r="G214" i="25" s="1"/>
  <c r="J213" i="25"/>
  <c r="H213" i="25"/>
  <c r="G213" i="25" s="1"/>
  <c r="J212" i="25"/>
  <c r="H212" i="25"/>
  <c r="G212" i="25" s="1"/>
  <c r="J211" i="25"/>
  <c r="H211" i="25"/>
  <c r="J210" i="25"/>
  <c r="H210" i="25"/>
  <c r="G210" i="25" s="1"/>
  <c r="J209" i="25"/>
  <c r="H209" i="25"/>
  <c r="J208" i="25"/>
  <c r="H208" i="25"/>
  <c r="J207" i="25"/>
  <c r="H207" i="25"/>
  <c r="G207" i="25" s="1"/>
  <c r="J206" i="25"/>
  <c r="H206" i="25"/>
  <c r="J205" i="25"/>
  <c r="H205" i="25"/>
  <c r="G205" i="25" s="1"/>
  <c r="J204" i="25"/>
  <c r="H204" i="25"/>
  <c r="J203" i="25"/>
  <c r="H203" i="25"/>
  <c r="G203" i="25" s="1"/>
  <c r="J202" i="25"/>
  <c r="H202" i="25"/>
  <c r="G202" i="25" s="1"/>
  <c r="J201" i="25"/>
  <c r="H201" i="25"/>
  <c r="J200" i="25"/>
  <c r="H200" i="25"/>
  <c r="J199" i="25"/>
  <c r="H199" i="25"/>
  <c r="J198" i="25"/>
  <c r="H198" i="25"/>
  <c r="J197" i="25"/>
  <c r="H197" i="25"/>
  <c r="J196" i="25"/>
  <c r="H196" i="25"/>
  <c r="G196" i="25" s="1"/>
  <c r="J195" i="25"/>
  <c r="H195" i="25"/>
  <c r="G195" i="25" s="1"/>
  <c r="J194" i="25"/>
  <c r="H194" i="25"/>
  <c r="J193" i="25"/>
  <c r="H193" i="25"/>
  <c r="J192" i="25"/>
  <c r="H192" i="25"/>
  <c r="J191" i="25"/>
  <c r="H191" i="25"/>
  <c r="J190" i="25"/>
  <c r="H190" i="25"/>
  <c r="J189" i="25"/>
  <c r="H189" i="25"/>
  <c r="J188" i="25"/>
  <c r="H188" i="25"/>
  <c r="J187" i="25"/>
  <c r="H187" i="25"/>
  <c r="J186" i="25"/>
  <c r="H186" i="25"/>
  <c r="J185" i="25"/>
  <c r="H185" i="25"/>
  <c r="J184" i="25"/>
  <c r="H184" i="25"/>
  <c r="G184" i="25" s="1"/>
  <c r="J183" i="25"/>
  <c r="H183" i="25"/>
  <c r="J182" i="25"/>
  <c r="H182" i="25"/>
  <c r="J181" i="25"/>
  <c r="H181" i="25"/>
  <c r="J180" i="25"/>
  <c r="H180" i="25"/>
  <c r="G180" i="25" s="1"/>
  <c r="J179" i="25"/>
  <c r="H179" i="25"/>
  <c r="G179" i="25" s="1"/>
  <c r="J178" i="25"/>
  <c r="H178" i="25"/>
  <c r="J177" i="25"/>
  <c r="H177" i="25"/>
  <c r="J176" i="25"/>
  <c r="H176" i="25"/>
  <c r="G176" i="25" s="1"/>
  <c r="J175" i="25"/>
  <c r="H175" i="25"/>
  <c r="G175" i="25" s="1"/>
  <c r="J174" i="25"/>
  <c r="H174" i="25"/>
  <c r="J173" i="25"/>
  <c r="H173" i="25"/>
  <c r="J172" i="25"/>
  <c r="H172" i="25"/>
  <c r="J171" i="25"/>
  <c r="H171" i="25"/>
  <c r="J170" i="25"/>
  <c r="H170" i="25"/>
  <c r="J169" i="25"/>
  <c r="H169" i="25"/>
  <c r="J168" i="25"/>
  <c r="H168" i="25"/>
  <c r="G168" i="25" s="1"/>
  <c r="J167" i="25"/>
  <c r="H167" i="25"/>
  <c r="G167" i="25" s="1"/>
  <c r="J166" i="25"/>
  <c r="H166" i="25"/>
  <c r="H165" i="25"/>
  <c r="G165" i="25" s="1"/>
  <c r="H164" i="25"/>
  <c r="G164" i="25" s="1"/>
  <c r="H163" i="25"/>
  <c r="H162" i="25"/>
  <c r="H161" i="25"/>
  <c r="G161" i="25" s="1"/>
  <c r="H160" i="25"/>
  <c r="G160" i="25" s="1"/>
  <c r="H159" i="25"/>
  <c r="H158" i="25"/>
  <c r="H157" i="25"/>
  <c r="G157" i="25" s="1"/>
  <c r="H156" i="25"/>
  <c r="G44" i="25"/>
  <c r="G54" i="25"/>
  <c r="G57" i="25"/>
  <c r="G60" i="25"/>
  <c r="G59" i="25"/>
  <c r="G61" i="25"/>
  <c r="G56" i="25"/>
  <c r="G64" i="25"/>
  <c r="G51" i="25"/>
  <c r="G48" i="25"/>
  <c r="G52" i="25"/>
  <c r="G148" i="25"/>
  <c r="G63" i="25"/>
  <c r="G65" i="25"/>
  <c r="G50" i="25"/>
  <c r="G67" i="25"/>
  <c r="G68" i="25"/>
  <c r="G101" i="25"/>
  <c r="G102" i="25"/>
  <c r="G98" i="25"/>
  <c r="E175" i="25" s="1"/>
  <c r="E176" i="25" s="1"/>
  <c r="G104" i="25"/>
  <c r="G106" i="25"/>
  <c r="G114" i="25"/>
  <c r="E184" i="25" s="1"/>
  <c r="E185" i="25" s="1"/>
  <c r="G112" i="25"/>
  <c r="G118" i="25"/>
  <c r="G108" i="25"/>
  <c r="G110" i="25"/>
  <c r="G73" i="25"/>
  <c r="G78" i="25"/>
  <c r="G81" i="25"/>
  <c r="G80" i="25"/>
  <c r="G89" i="25"/>
  <c r="G95" i="25"/>
  <c r="G88" i="25"/>
  <c r="G77" i="25"/>
  <c r="G75" i="25"/>
  <c r="G87" i="25"/>
  <c r="G92" i="25"/>
  <c r="G91" i="25"/>
  <c r="G120" i="25"/>
  <c r="G123" i="25"/>
  <c r="G122" i="25"/>
  <c r="G116" i="25"/>
  <c r="G133" i="25"/>
  <c r="G136" i="25"/>
  <c r="G140" i="25"/>
  <c r="G135" i="25"/>
  <c r="G129" i="25"/>
  <c r="E195" i="25" s="1"/>
  <c r="G130" i="25"/>
  <c r="G138" i="25"/>
  <c r="G137" i="25"/>
  <c r="G145" i="25"/>
  <c r="G141" i="25"/>
  <c r="G143" i="25"/>
  <c r="G147" i="25"/>
  <c r="G146" i="25"/>
  <c r="G144" i="25"/>
  <c r="G128" i="25"/>
  <c r="G124" i="25"/>
  <c r="G126" i="25"/>
  <c r="G93" i="25"/>
  <c r="G96" i="25"/>
  <c r="G83" i="25"/>
  <c r="G70" i="25"/>
  <c r="G71" i="25"/>
  <c r="G72" i="25"/>
  <c r="G100" i="25"/>
  <c r="G113" i="25"/>
  <c r="G131" i="25"/>
  <c r="G142" i="25"/>
  <c r="G139" i="25"/>
  <c r="G134" i="25"/>
  <c r="G132" i="25"/>
  <c r="G127" i="25"/>
  <c r="G121" i="25"/>
  <c r="G125" i="25"/>
  <c r="G119" i="25"/>
  <c r="G90" i="25"/>
  <c r="G97" i="25"/>
  <c r="G94" i="25"/>
  <c r="G86" i="25"/>
  <c r="G82" i="25"/>
  <c r="G79" i="25"/>
  <c r="G115" i="25"/>
  <c r="G117" i="25"/>
  <c r="G109" i="25"/>
  <c r="G107" i="25"/>
  <c r="G85" i="25"/>
  <c r="E221" i="25" s="1"/>
  <c r="G84" i="25"/>
  <c r="E220" i="25" s="1"/>
  <c r="G105" i="25"/>
  <c r="E172" i="25" s="1"/>
  <c r="G103" i="25"/>
  <c r="G76" i="25"/>
  <c r="G74" i="25"/>
  <c r="G111" i="25"/>
  <c r="G99" i="25"/>
  <c r="G69" i="25"/>
  <c r="G66" i="25"/>
  <c r="G49" i="25"/>
  <c r="G62" i="25"/>
  <c r="G45" i="25"/>
  <c r="G47" i="25"/>
  <c r="G53" i="25"/>
  <c r="G55" i="25"/>
  <c r="G58" i="25"/>
  <c r="G46" i="25"/>
  <c r="C80" i="31" l="1"/>
  <c r="D80" i="31"/>
  <c r="E210" i="25"/>
  <c r="I130" i="30"/>
  <c r="M130" i="30"/>
  <c r="N130" i="30" s="1"/>
  <c r="P130" i="30" s="1"/>
  <c r="J130" i="30"/>
  <c r="G131" i="30"/>
  <c r="K132" i="30"/>
  <c r="H133" i="30"/>
  <c r="Y242" i="41"/>
  <c r="X242" i="41"/>
  <c r="AA242" i="41"/>
  <c r="AE242" i="41" s="1"/>
  <c r="AA218" i="41"/>
  <c r="AE218" i="41" s="1"/>
  <c r="X218" i="41"/>
  <c r="Y218" i="41"/>
  <c r="AE162" i="41"/>
  <c r="N179" i="41"/>
  <c r="V179" i="41"/>
  <c r="Y179" i="41" s="1"/>
  <c r="M232" i="41"/>
  <c r="D258" i="41" s="1"/>
  <c r="U232" i="41"/>
  <c r="N188" i="41"/>
  <c r="V188" i="41"/>
  <c r="X188" i="41" s="1"/>
  <c r="P231" i="41"/>
  <c r="Q231" i="41" s="1"/>
  <c r="R231" i="41"/>
  <c r="N199" i="41"/>
  <c r="V199" i="41"/>
  <c r="AA199" i="41" s="1"/>
  <c r="AE199" i="41" s="1"/>
  <c r="L200" i="41"/>
  <c r="M219" i="41"/>
  <c r="D257" i="41" s="1"/>
  <c r="U219" i="41"/>
  <c r="K17" i="41"/>
  <c r="L16" i="41"/>
  <c r="R162" i="41"/>
  <c r="P162" i="41"/>
  <c r="Q162" i="41" s="1"/>
  <c r="P218" i="41"/>
  <c r="Q218" i="41" s="1"/>
  <c r="R218" i="41"/>
  <c r="AA231" i="41"/>
  <c r="AE231" i="41" s="1"/>
  <c r="X162" i="41"/>
  <c r="Y231" i="41"/>
  <c r="Y162" i="41"/>
  <c r="M243" i="41"/>
  <c r="U243" i="41"/>
  <c r="Z231" i="41"/>
  <c r="Z162" i="41"/>
  <c r="R242" i="41"/>
  <c r="P242" i="41"/>
  <c r="Q242" i="41" s="1"/>
  <c r="G156" i="25"/>
  <c r="H245" i="25"/>
  <c r="H246" i="25"/>
  <c r="E212" i="25"/>
  <c r="E213" i="25" s="1"/>
  <c r="E211" i="25"/>
  <c r="E216" i="25" s="1"/>
  <c r="E214" i="25"/>
  <c r="E215" i="25" s="1"/>
  <c r="E163" i="25"/>
  <c r="E164" i="25" s="1"/>
  <c r="W221" i="25"/>
  <c r="G221" i="25"/>
  <c r="I229" i="25"/>
  <c r="G229" i="25"/>
  <c r="I171" i="25"/>
  <c r="G171" i="25"/>
  <c r="I187" i="25"/>
  <c r="G187" i="25"/>
  <c r="I211" i="25"/>
  <c r="G211" i="25"/>
  <c r="E206" i="25"/>
  <c r="E207" i="25" s="1"/>
  <c r="W162" i="25"/>
  <c r="G162" i="25"/>
  <c r="W172" i="25"/>
  <c r="G172" i="25"/>
  <c r="I188" i="25"/>
  <c r="G188" i="25"/>
  <c r="I204" i="25"/>
  <c r="G204" i="25"/>
  <c r="W163" i="25"/>
  <c r="G163" i="25"/>
  <c r="W220" i="25"/>
  <c r="G220" i="25"/>
  <c r="E182" i="25"/>
  <c r="E183" i="25" s="1"/>
  <c r="I173" i="25"/>
  <c r="G173" i="25"/>
  <c r="I181" i="25"/>
  <c r="G181" i="25"/>
  <c r="W189" i="25"/>
  <c r="G189" i="25"/>
  <c r="I197" i="25"/>
  <c r="G197" i="25"/>
  <c r="E203" i="25"/>
  <c r="E204" i="25" s="1"/>
  <c r="I166" i="25"/>
  <c r="G166" i="25"/>
  <c r="I174" i="25"/>
  <c r="G174" i="25"/>
  <c r="I182" i="25"/>
  <c r="G182" i="25"/>
  <c r="W190" i="25"/>
  <c r="G190" i="25"/>
  <c r="W198" i="25"/>
  <c r="G198" i="25"/>
  <c r="W206" i="25"/>
  <c r="G206" i="25"/>
  <c r="W230" i="25"/>
  <c r="G230" i="25"/>
  <c r="I183" i="25"/>
  <c r="G183" i="25"/>
  <c r="I191" i="25"/>
  <c r="G191" i="25"/>
  <c r="I199" i="25"/>
  <c r="G199" i="25"/>
  <c r="I215" i="25"/>
  <c r="G215" i="25"/>
  <c r="I223" i="25"/>
  <c r="G223" i="25"/>
  <c r="I192" i="25"/>
  <c r="G192" i="25"/>
  <c r="I200" i="25"/>
  <c r="G200" i="25"/>
  <c r="W208" i="25"/>
  <c r="G208" i="25"/>
  <c r="W216" i="25"/>
  <c r="G216" i="25"/>
  <c r="I240" i="25"/>
  <c r="G240" i="25"/>
  <c r="E239" i="25"/>
  <c r="E240" i="25" s="1"/>
  <c r="I169" i="25"/>
  <c r="G169" i="25"/>
  <c r="W177" i="25"/>
  <c r="G177" i="25"/>
  <c r="W185" i="25"/>
  <c r="G185" i="25"/>
  <c r="W193" i="25"/>
  <c r="G193" i="25"/>
  <c r="I201" i="25"/>
  <c r="G201" i="25"/>
  <c r="W209" i="25"/>
  <c r="G209" i="25"/>
  <c r="W217" i="25"/>
  <c r="G217" i="25"/>
  <c r="W225" i="25"/>
  <c r="G225" i="25"/>
  <c r="W233" i="25"/>
  <c r="G233" i="25"/>
  <c r="W241" i="25"/>
  <c r="G241" i="25"/>
  <c r="I158" i="25"/>
  <c r="G158" i="25"/>
  <c r="I170" i="25"/>
  <c r="G170" i="25"/>
  <c r="I178" i="25"/>
  <c r="G178" i="25"/>
  <c r="I186" i="25"/>
  <c r="G186" i="25"/>
  <c r="I194" i="25"/>
  <c r="G194" i="25"/>
  <c r="I218" i="25"/>
  <c r="G218" i="25"/>
  <c r="W226" i="25"/>
  <c r="G226" i="25"/>
  <c r="I234" i="25"/>
  <c r="G234" i="25"/>
  <c r="W232" i="25"/>
  <c r="G232" i="25"/>
  <c r="W219" i="25"/>
  <c r="G219" i="25"/>
  <c r="I155" i="25"/>
  <c r="G155" i="25"/>
  <c r="I159" i="25"/>
  <c r="G159" i="25"/>
  <c r="W228" i="25"/>
  <c r="G228" i="25"/>
  <c r="W244" i="25"/>
  <c r="G244" i="25"/>
  <c r="C889" i="31"/>
  <c r="D889" i="31"/>
  <c r="L224" i="25"/>
  <c r="M224" i="25" s="1"/>
  <c r="L225" i="25" s="1"/>
  <c r="M225" i="25" s="1"/>
  <c r="N225" i="25" s="1"/>
  <c r="P225" i="25" s="1"/>
  <c r="L159" i="25"/>
  <c r="U159" i="25" s="1"/>
  <c r="L222" i="25"/>
  <c r="U222" i="25" s="1"/>
  <c r="L221" i="25"/>
  <c r="U221" i="25" s="1"/>
  <c r="L169" i="25"/>
  <c r="M169" i="25" s="1"/>
  <c r="L184" i="25"/>
  <c r="M184" i="25" s="1"/>
  <c r="L167" i="25"/>
  <c r="U167" i="25" s="1"/>
  <c r="L182" i="25"/>
  <c r="U182" i="25" s="1"/>
  <c r="L236" i="25"/>
  <c r="U236" i="25" s="1"/>
  <c r="L212" i="25"/>
  <c r="U212" i="25" s="1"/>
  <c r="S225" i="25"/>
  <c r="L211" i="25"/>
  <c r="M211" i="25" s="1"/>
  <c r="N211" i="25" s="1"/>
  <c r="P211" i="25" s="1"/>
  <c r="L195" i="25"/>
  <c r="M195" i="25" s="1"/>
  <c r="L226" i="25"/>
  <c r="M226" i="25" s="1"/>
  <c r="N226" i="25" s="1"/>
  <c r="P226" i="25" s="1"/>
  <c r="L210" i="25"/>
  <c r="U210" i="25" s="1"/>
  <c r="L194" i="25"/>
  <c r="U194" i="25" s="1"/>
  <c r="L181" i="25"/>
  <c r="U181" i="25" s="1"/>
  <c r="L239" i="25"/>
  <c r="U239" i="25" s="1"/>
  <c r="L175" i="25"/>
  <c r="U175" i="25" s="1"/>
  <c r="L180" i="25"/>
  <c r="U180" i="25" s="1"/>
  <c r="L208" i="25"/>
  <c r="U208" i="25" s="1"/>
  <c r="L238" i="25"/>
  <c r="M238" i="25" s="1"/>
  <c r="L206" i="25"/>
  <c r="U206" i="25" s="1"/>
  <c r="L189" i="25"/>
  <c r="U189" i="25" s="1"/>
  <c r="L173" i="25"/>
  <c r="U173" i="25" s="1"/>
  <c r="L171" i="25"/>
  <c r="U171" i="25" s="1"/>
  <c r="L214" i="25"/>
  <c r="U214" i="25" s="1"/>
  <c r="L220" i="25"/>
  <c r="M220" i="25" s="1"/>
  <c r="V220" i="25" s="1"/>
  <c r="L172" i="25"/>
  <c r="U172" i="25" s="1"/>
  <c r="S184" i="25"/>
  <c r="T184" i="25" s="1"/>
  <c r="L192" i="25"/>
  <c r="U192" i="25" s="1"/>
  <c r="L155" i="25"/>
  <c r="M155" i="25" s="1"/>
  <c r="L201" i="25"/>
  <c r="U201" i="25" s="1"/>
  <c r="L233" i="25"/>
  <c r="U233" i="25" s="1"/>
  <c r="L234" i="25"/>
  <c r="M234" i="25" s="1"/>
  <c r="L163" i="25"/>
  <c r="U163" i="25" s="1"/>
  <c r="L203" i="25"/>
  <c r="M203" i="25" s="1"/>
  <c r="L165" i="25"/>
  <c r="M165" i="25" s="1"/>
  <c r="W242" i="25"/>
  <c r="S169" i="25"/>
  <c r="S211" i="25"/>
  <c r="E167" i="25"/>
  <c r="E168" i="25" s="1"/>
  <c r="B251" i="25" s="1"/>
  <c r="S172" i="25"/>
  <c r="T172" i="25" s="1"/>
  <c r="S201" i="25"/>
  <c r="S166" i="25"/>
  <c r="E208" i="25"/>
  <c r="E209" i="25" s="1"/>
  <c r="E201" i="25"/>
  <c r="E202" i="25" s="1"/>
  <c r="E155" i="25"/>
  <c r="E156" i="25" s="1"/>
  <c r="E157" i="25" s="1"/>
  <c r="E158" i="25" s="1"/>
  <c r="S188" i="25"/>
  <c r="S231" i="25"/>
  <c r="S157" i="25"/>
  <c r="E180" i="25"/>
  <c r="S187" i="25"/>
  <c r="W169" i="25"/>
  <c r="W194" i="25"/>
  <c r="S208" i="25"/>
  <c r="S160" i="25"/>
  <c r="S212" i="25"/>
  <c r="S240" i="25"/>
  <c r="E165" i="25"/>
  <c r="E166" i="25" s="1"/>
  <c r="S176" i="25"/>
  <c r="T176" i="25" s="1"/>
  <c r="S183" i="25"/>
  <c r="S220" i="25"/>
  <c r="T220" i="25" s="1"/>
  <c r="W167" i="25"/>
  <c r="I165" i="25"/>
  <c r="W173" i="25"/>
  <c r="W176" i="25"/>
  <c r="S244" i="25"/>
  <c r="E226" i="25"/>
  <c r="E227" i="25" s="1"/>
  <c r="E228" i="25" s="1"/>
  <c r="E222" i="25"/>
  <c r="E223" i="25" s="1"/>
  <c r="S234" i="25"/>
  <c r="E224" i="25"/>
  <c r="E225" i="25" s="1"/>
  <c r="E189" i="25"/>
  <c r="E190" i="25" s="1"/>
  <c r="E191" i="25" s="1"/>
  <c r="W171" i="25"/>
  <c r="W187" i="25"/>
  <c r="W234" i="25"/>
  <c r="I167" i="25"/>
  <c r="S167" i="25"/>
  <c r="I176" i="25"/>
  <c r="W157" i="25"/>
  <c r="S213" i="25"/>
  <c r="E169" i="25"/>
  <c r="S224" i="25"/>
  <c r="E238" i="25"/>
  <c r="E159" i="25"/>
  <c r="E160" i="25" s="1"/>
  <c r="E161" i="25" s="1"/>
  <c r="E194" i="25"/>
  <c r="S221" i="25"/>
  <c r="T221" i="25" s="1"/>
  <c r="E192" i="25"/>
  <c r="E193" i="25" s="1"/>
  <c r="W165" i="25"/>
  <c r="W200" i="25"/>
  <c r="S228" i="25"/>
  <c r="E234" i="25"/>
  <c r="E235" i="25" s="1"/>
  <c r="E171" i="25"/>
  <c r="E177" i="25" s="1"/>
  <c r="E181" i="25"/>
  <c r="S156" i="25"/>
  <c r="S159" i="25"/>
  <c r="S197" i="25"/>
  <c r="S235" i="25"/>
  <c r="S199" i="25"/>
  <c r="W240" i="25"/>
  <c r="S165" i="25"/>
  <c r="S217" i="25"/>
  <c r="E173" i="25"/>
  <c r="E174" i="25" s="1"/>
  <c r="E236" i="25"/>
  <c r="E237" i="25" s="1"/>
  <c r="S200" i="25"/>
  <c r="E233" i="25"/>
  <c r="S207" i="25"/>
  <c r="S175" i="25"/>
  <c r="T175" i="25" s="1"/>
  <c r="E196" i="25"/>
  <c r="S192" i="25"/>
  <c r="I203" i="25"/>
  <c r="I190" i="25"/>
  <c r="S190" i="25"/>
  <c r="S198" i="25"/>
  <c r="I226" i="25"/>
  <c r="W160" i="25"/>
  <c r="W174" i="25"/>
  <c r="I214" i="25"/>
  <c r="S226" i="25"/>
  <c r="I241" i="25"/>
  <c r="I217" i="25"/>
  <c r="S241" i="25"/>
  <c r="I244" i="25"/>
  <c r="S191" i="25"/>
  <c r="S203" i="25"/>
  <c r="S177" i="25"/>
  <c r="I161" i="25"/>
  <c r="S161" i="25"/>
  <c r="W188" i="25"/>
  <c r="S193" i="25"/>
  <c r="W156" i="25"/>
  <c r="W168" i="25"/>
  <c r="W183" i="25"/>
  <c r="S204" i="25"/>
  <c r="S222" i="25"/>
  <c r="S236" i="25"/>
  <c r="S239" i="25"/>
  <c r="S181" i="25"/>
  <c r="I242" i="25"/>
  <c r="W161" i="25"/>
  <c r="S173" i="25"/>
  <c r="W175" i="25"/>
  <c r="I189" i="25"/>
  <c r="W199" i="25"/>
  <c r="I225" i="25"/>
  <c r="S242" i="25"/>
  <c r="S171" i="25"/>
  <c r="S189" i="25"/>
  <c r="W191" i="25"/>
  <c r="W204" i="25"/>
  <c r="W239" i="25"/>
  <c r="I160" i="25"/>
  <c r="I243" i="25"/>
  <c r="I172" i="25"/>
  <c r="W192" i="25"/>
  <c r="W243" i="25"/>
  <c r="S170" i="25"/>
  <c r="W203" i="25"/>
  <c r="S214" i="25"/>
  <c r="I193" i="25"/>
  <c r="S209" i="25"/>
  <c r="W214" i="25"/>
  <c r="I222" i="25"/>
  <c r="I239" i="25"/>
  <c r="I157" i="25"/>
  <c r="W166" i="25"/>
  <c r="S178" i="25"/>
  <c r="W207" i="25"/>
  <c r="W222" i="25"/>
  <c r="S210" i="25"/>
  <c r="T210" i="25" s="1"/>
  <c r="I180" i="25"/>
  <c r="S163" i="25"/>
  <c r="I185" i="25"/>
  <c r="S216" i="25"/>
  <c r="S237" i="25"/>
  <c r="I162" i="25"/>
  <c r="W195" i="25"/>
  <c r="I184" i="25"/>
  <c r="W184" i="25"/>
  <c r="I195" i="25"/>
  <c r="I164" i="25"/>
  <c r="W223" i="25"/>
  <c r="I163" i="25"/>
  <c r="I168" i="25"/>
  <c r="I179" i="25"/>
  <c r="W182" i="25"/>
  <c r="W205" i="25"/>
  <c r="S205" i="25"/>
  <c r="S174" i="25"/>
  <c r="I205" i="25"/>
  <c r="W213" i="25"/>
  <c r="I213" i="25"/>
  <c r="W227" i="25"/>
  <c r="W237" i="25"/>
  <c r="I237" i="25"/>
  <c r="W186" i="25"/>
  <c r="W180" i="25"/>
  <c r="S158" i="25"/>
  <c r="W178" i="25"/>
  <c r="I227" i="25"/>
  <c r="I196" i="25"/>
  <c r="W196" i="25"/>
  <c r="S196" i="25"/>
  <c r="S223" i="25"/>
  <c r="S195" i="25"/>
  <c r="T195" i="25" s="1"/>
  <c r="W229" i="25"/>
  <c r="I156" i="25"/>
  <c r="W158" i="25"/>
  <c r="S168" i="25"/>
  <c r="S179" i="25"/>
  <c r="S227" i="25"/>
  <c r="S180" i="25"/>
  <c r="W235" i="25"/>
  <c r="S164" i="25"/>
  <c r="W179" i="25"/>
  <c r="W210" i="25"/>
  <c r="I231" i="25"/>
  <c r="W231" i="25"/>
  <c r="I206" i="25"/>
  <c r="I216" i="25"/>
  <c r="I235" i="25"/>
  <c r="W164" i="25"/>
  <c r="S162" i="25"/>
  <c r="W181" i="25"/>
  <c r="I210" i="25"/>
  <c r="W215" i="25"/>
  <c r="W218" i="25"/>
  <c r="S229" i="25"/>
  <c r="I236" i="25"/>
  <c r="W236" i="25"/>
  <c r="E229" i="25"/>
  <c r="W159" i="25"/>
  <c r="W170" i="25"/>
  <c r="I175" i="25"/>
  <c r="I230" i="25"/>
  <c r="S215" i="25"/>
  <c r="S219" i="25"/>
  <c r="I219" i="25"/>
  <c r="S230" i="25"/>
  <c r="I202" i="25"/>
  <c r="W202" i="25"/>
  <c r="I224" i="25"/>
  <c r="W224" i="25"/>
  <c r="S185" i="25"/>
  <c r="T185" i="25" s="1"/>
  <c r="S186" i="25"/>
  <c r="W201" i="25"/>
  <c r="I212" i="25"/>
  <c r="W212" i="25"/>
  <c r="S218" i="25"/>
  <c r="I238" i="25"/>
  <c r="W238" i="25"/>
  <c r="S243" i="25"/>
  <c r="W197" i="25"/>
  <c r="I198" i="25"/>
  <c r="W211" i="25"/>
  <c r="I228" i="25"/>
  <c r="S206" i="25"/>
  <c r="I220" i="25"/>
  <c r="I233" i="25"/>
  <c r="I232" i="25"/>
  <c r="S182" i="25"/>
  <c r="I207" i="25"/>
  <c r="I208" i="25"/>
  <c r="I221" i="25"/>
  <c r="I177" i="25"/>
  <c r="S194" i="25"/>
  <c r="I209" i="25"/>
  <c r="S232" i="25"/>
  <c r="S202" i="25"/>
  <c r="S233" i="25"/>
  <c r="S238" i="25"/>
  <c r="AB766" i="26"/>
  <c r="AB765" i="26"/>
  <c r="AB764" i="26"/>
  <c r="AB763" i="26"/>
  <c r="AB762" i="26"/>
  <c r="AB761" i="26"/>
  <c r="AB760" i="26"/>
  <c r="AB759" i="26"/>
  <c r="AB755" i="26"/>
  <c r="AB754" i="26"/>
  <c r="AB753" i="26"/>
  <c r="AB752" i="26"/>
  <c r="AB721" i="26"/>
  <c r="AB722" i="26"/>
  <c r="AB723" i="26"/>
  <c r="AB724" i="26"/>
  <c r="AB725" i="26"/>
  <c r="AB726" i="26"/>
  <c r="AB727" i="26"/>
  <c r="AB728" i="26"/>
  <c r="AB729" i="26"/>
  <c r="AB730" i="26"/>
  <c r="AB731" i="26"/>
  <c r="AB732" i="26"/>
  <c r="AB733" i="26"/>
  <c r="AB734" i="26"/>
  <c r="AB735" i="26"/>
  <c r="AB736" i="26"/>
  <c r="AB737" i="26"/>
  <c r="AB738" i="26"/>
  <c r="AB739" i="26"/>
  <c r="AB720" i="26"/>
  <c r="AB701" i="26"/>
  <c r="AB702" i="26"/>
  <c r="AB703" i="26"/>
  <c r="AB704" i="26"/>
  <c r="AB705" i="26"/>
  <c r="AB706" i="26"/>
  <c r="AB707" i="26"/>
  <c r="AB708" i="26"/>
  <c r="AB709" i="26"/>
  <c r="AB710" i="26"/>
  <c r="AB711" i="26"/>
  <c r="AB700" i="26"/>
  <c r="AB675" i="26"/>
  <c r="AB676" i="26"/>
  <c r="AB677" i="26"/>
  <c r="AB678" i="26"/>
  <c r="AB679" i="26"/>
  <c r="AB680" i="26"/>
  <c r="AB681" i="26"/>
  <c r="AB682" i="26"/>
  <c r="AB683" i="26"/>
  <c r="AB684" i="26"/>
  <c r="AB685" i="26"/>
  <c r="AB686" i="26"/>
  <c r="AB687" i="26"/>
  <c r="AB688" i="26"/>
  <c r="AB689" i="26"/>
  <c r="AB690" i="26"/>
  <c r="AB648" i="26"/>
  <c r="AB649" i="26"/>
  <c r="AB650" i="26"/>
  <c r="AB651" i="26"/>
  <c r="AB652" i="26"/>
  <c r="AB653" i="26"/>
  <c r="AB654" i="26"/>
  <c r="AB655" i="26"/>
  <c r="AB656" i="26"/>
  <c r="AB657" i="26"/>
  <c r="AB658" i="26"/>
  <c r="AB659" i="26"/>
  <c r="AB660" i="26"/>
  <c r="AB661" i="26"/>
  <c r="AB662" i="26"/>
  <c r="AB663" i="26"/>
  <c r="AB639" i="26"/>
  <c r="AB638" i="26"/>
  <c r="AB637" i="26"/>
  <c r="AB636" i="26"/>
  <c r="AB635" i="26"/>
  <c r="AB634" i="26"/>
  <c r="AB633" i="26"/>
  <c r="AB632" i="26"/>
  <c r="AB631" i="26"/>
  <c r="AB630" i="26"/>
  <c r="AB629" i="26"/>
  <c r="AB628" i="26"/>
  <c r="AB627" i="26"/>
  <c r="AB626" i="26"/>
  <c r="AB625" i="26"/>
  <c r="AB598" i="26"/>
  <c r="AB597" i="26"/>
  <c r="AB522" i="26"/>
  <c r="AB523" i="26"/>
  <c r="AB524" i="26"/>
  <c r="AB525" i="26"/>
  <c r="AB526" i="26"/>
  <c r="AB527" i="26"/>
  <c r="AB528" i="26"/>
  <c r="AB529" i="26"/>
  <c r="AB530" i="26"/>
  <c r="AB531" i="26"/>
  <c r="AB532" i="26"/>
  <c r="AB533" i="26"/>
  <c r="AB534" i="26"/>
  <c r="AB535" i="26"/>
  <c r="AB536" i="26"/>
  <c r="AB537" i="26"/>
  <c r="AB538" i="26"/>
  <c r="AB539" i="26"/>
  <c r="AB540" i="26"/>
  <c r="AB541" i="26"/>
  <c r="AB521" i="26"/>
  <c r="AB507" i="26"/>
  <c r="AB508" i="26"/>
  <c r="AB509" i="26"/>
  <c r="AB510" i="26"/>
  <c r="AB511" i="26"/>
  <c r="AB512" i="26"/>
  <c r="AB513" i="26"/>
  <c r="AB514" i="26"/>
  <c r="AB515" i="26"/>
  <c r="AB516" i="26"/>
  <c r="AB517" i="26"/>
  <c r="AB506" i="26"/>
  <c r="AB498" i="26"/>
  <c r="AB497" i="26"/>
  <c r="AB486" i="26"/>
  <c r="AB487" i="26"/>
  <c r="AB488" i="26"/>
  <c r="AB489" i="26"/>
  <c r="AB490" i="26"/>
  <c r="AB491" i="26"/>
  <c r="AB492" i="26"/>
  <c r="AB493" i="26"/>
  <c r="AB466" i="26"/>
  <c r="AB467" i="26"/>
  <c r="AB456" i="26"/>
  <c r="AB457" i="26"/>
  <c r="AB458" i="26"/>
  <c r="AB459" i="26"/>
  <c r="AB460" i="26"/>
  <c r="AB461" i="26"/>
  <c r="AB462" i="26"/>
  <c r="AB455" i="26"/>
  <c r="AB472" i="26"/>
  <c r="AB473" i="26"/>
  <c r="AB474" i="26"/>
  <c r="AB475" i="26"/>
  <c r="AB476" i="26"/>
  <c r="AB477" i="26"/>
  <c r="AB478" i="26"/>
  <c r="AB471" i="26"/>
  <c r="AB444" i="26"/>
  <c r="AB445" i="26"/>
  <c r="AB446" i="26"/>
  <c r="AB447" i="26"/>
  <c r="AB448" i="26"/>
  <c r="AB449" i="26"/>
  <c r="AB450" i="26"/>
  <c r="AB451" i="26"/>
  <c r="AB443" i="26"/>
  <c r="AB435" i="26"/>
  <c r="AB436" i="26"/>
  <c r="AB437" i="26"/>
  <c r="AB438" i="26"/>
  <c r="AB439" i="26"/>
  <c r="AB434" i="26"/>
  <c r="AB430" i="26"/>
  <c r="AB431" i="26"/>
  <c r="AB429" i="26"/>
  <c r="AB423" i="26"/>
  <c r="AB424" i="26"/>
  <c r="AB425" i="26"/>
  <c r="AB422" i="26"/>
  <c r="AB416" i="26"/>
  <c r="AB417" i="26"/>
  <c r="AB418" i="26"/>
  <c r="AB415" i="26"/>
  <c r="AB394" i="26"/>
  <c r="AB395" i="26"/>
  <c r="AB396" i="26"/>
  <c r="AB397" i="26"/>
  <c r="AB398" i="26"/>
  <c r="AB399" i="26"/>
  <c r="AB400" i="26"/>
  <c r="AB401" i="26"/>
  <c r="AB402" i="26"/>
  <c r="AB403" i="26"/>
  <c r="AB404" i="26"/>
  <c r="AB405" i="26"/>
  <c r="AB406" i="26"/>
  <c r="AB407" i="26"/>
  <c r="AB393" i="26"/>
  <c r="P40" i="27"/>
  <c r="V43" i="27"/>
  <c r="D1168" i="26"/>
  <c r="E1168" i="26" s="1"/>
  <c r="F1168" i="26"/>
  <c r="L41" i="27"/>
  <c r="M41" i="27"/>
  <c r="N41" i="27"/>
  <c r="O41" i="27"/>
  <c r="K41" i="27"/>
  <c r="I42" i="27"/>
  <c r="J42" i="27"/>
  <c r="K42" i="27"/>
  <c r="L42" i="27"/>
  <c r="M42" i="27"/>
  <c r="N42" i="27"/>
  <c r="O42" i="27"/>
  <c r="H42" i="27"/>
  <c r="E43" i="27"/>
  <c r="F43" i="27"/>
  <c r="G43" i="27"/>
  <c r="H43" i="27"/>
  <c r="I43" i="27"/>
  <c r="J43" i="27"/>
  <c r="K43" i="27"/>
  <c r="L43" i="27"/>
  <c r="M43" i="27"/>
  <c r="N43" i="27"/>
  <c r="O43" i="27"/>
  <c r="P41" i="27"/>
  <c r="Q41" i="27"/>
  <c r="R41" i="27"/>
  <c r="S41" i="27"/>
  <c r="T41" i="27"/>
  <c r="U41" i="27"/>
  <c r="P42" i="27"/>
  <c r="Q42" i="27"/>
  <c r="R42" i="27"/>
  <c r="S42" i="27"/>
  <c r="T42" i="27"/>
  <c r="U42" i="27"/>
  <c r="P43" i="27"/>
  <c r="Q43" i="27"/>
  <c r="R43" i="27"/>
  <c r="S43" i="27"/>
  <c r="T43" i="27"/>
  <c r="U43" i="27"/>
  <c r="Q40" i="27"/>
  <c r="R40" i="27"/>
  <c r="S40" i="27"/>
  <c r="T40" i="27"/>
  <c r="U40" i="27"/>
  <c r="AB272" i="26"/>
  <c r="F10" i="30"/>
  <c r="K91" i="30" s="1"/>
  <c r="L91" i="30" s="1"/>
  <c r="X46" i="30"/>
  <c r="W46" i="30"/>
  <c r="T46" i="30"/>
  <c r="S46" i="30"/>
  <c r="R46" i="30"/>
  <c r="P46" i="30"/>
  <c r="M46" i="30"/>
  <c r="L46" i="30"/>
  <c r="X45" i="30"/>
  <c r="W45" i="30"/>
  <c r="T45" i="30"/>
  <c r="S45" i="30"/>
  <c r="R45" i="30"/>
  <c r="P45" i="30"/>
  <c r="M45" i="30"/>
  <c r="L45" i="30"/>
  <c r="X44" i="30"/>
  <c r="W44" i="30"/>
  <c r="T44" i="30"/>
  <c r="S44" i="30"/>
  <c r="R44" i="30"/>
  <c r="P44" i="30"/>
  <c r="M44" i="30"/>
  <c r="L44" i="30"/>
  <c r="X43" i="30"/>
  <c r="W43" i="30"/>
  <c r="T43" i="30"/>
  <c r="S43" i="30"/>
  <c r="R43" i="30"/>
  <c r="P43" i="30"/>
  <c r="M43" i="30"/>
  <c r="L43" i="30"/>
  <c r="X42" i="30"/>
  <c r="W42" i="30"/>
  <c r="T42" i="30"/>
  <c r="S42" i="30"/>
  <c r="R42" i="30"/>
  <c r="P42" i="30"/>
  <c r="M42" i="30"/>
  <c r="L42" i="30"/>
  <c r="X41" i="30"/>
  <c r="W41" i="30"/>
  <c r="T41" i="30"/>
  <c r="S41" i="30"/>
  <c r="R41" i="30"/>
  <c r="P41" i="30"/>
  <c r="M41" i="30"/>
  <c r="L41" i="30"/>
  <c r="X40" i="30"/>
  <c r="W40" i="30"/>
  <c r="T40" i="30"/>
  <c r="S40" i="30"/>
  <c r="R40" i="30"/>
  <c r="P40" i="30"/>
  <c r="M40" i="30"/>
  <c r="L40" i="30"/>
  <c r="X39" i="30"/>
  <c r="W39" i="30"/>
  <c r="T39" i="30"/>
  <c r="S39" i="30"/>
  <c r="R39" i="30"/>
  <c r="P39" i="30"/>
  <c r="M39" i="30"/>
  <c r="L39" i="30"/>
  <c r="X38" i="30"/>
  <c r="W38" i="30"/>
  <c r="T38" i="30"/>
  <c r="S38" i="30"/>
  <c r="R38" i="30"/>
  <c r="P38" i="30"/>
  <c r="M38" i="30"/>
  <c r="L38" i="30"/>
  <c r="X37" i="30"/>
  <c r="W37" i="30"/>
  <c r="T37" i="30"/>
  <c r="S37" i="30"/>
  <c r="R37" i="30"/>
  <c r="P37" i="30"/>
  <c r="M37" i="30"/>
  <c r="L37" i="30"/>
  <c r="X36" i="30"/>
  <c r="W36" i="30"/>
  <c r="T36" i="30"/>
  <c r="S36" i="30"/>
  <c r="R36" i="30"/>
  <c r="P36" i="30"/>
  <c r="M36" i="30"/>
  <c r="L36" i="30"/>
  <c r="X35" i="30"/>
  <c r="W35" i="30"/>
  <c r="T35" i="30"/>
  <c r="S35" i="30"/>
  <c r="R35" i="30"/>
  <c r="P35" i="30"/>
  <c r="M35" i="30"/>
  <c r="L35" i="30"/>
  <c r="X34" i="30"/>
  <c r="W34" i="30"/>
  <c r="T34" i="30"/>
  <c r="S34" i="30"/>
  <c r="R34" i="30"/>
  <c r="P34" i="30"/>
  <c r="M34" i="30"/>
  <c r="L34" i="30"/>
  <c r="X33" i="30"/>
  <c r="W33" i="30"/>
  <c r="T33" i="30"/>
  <c r="S33" i="30"/>
  <c r="R33" i="30"/>
  <c r="P33" i="30"/>
  <c r="M33" i="30"/>
  <c r="L33" i="30"/>
  <c r="X32" i="30"/>
  <c r="W32" i="30"/>
  <c r="T32" i="30"/>
  <c r="S32" i="30"/>
  <c r="R32" i="30"/>
  <c r="P32" i="30"/>
  <c r="M32" i="30"/>
  <c r="L32" i="30"/>
  <c r="X31" i="30"/>
  <c r="W31" i="30"/>
  <c r="T31" i="30"/>
  <c r="S31" i="30"/>
  <c r="R31" i="30"/>
  <c r="P31" i="30"/>
  <c r="M31" i="30"/>
  <c r="L31" i="30"/>
  <c r="X30" i="30"/>
  <c r="W30" i="30"/>
  <c r="T30" i="30"/>
  <c r="S30" i="30"/>
  <c r="R30" i="30"/>
  <c r="P30" i="30"/>
  <c r="M30" i="30"/>
  <c r="L30" i="30"/>
  <c r="X29" i="30"/>
  <c r="W29" i="30"/>
  <c r="T29" i="30"/>
  <c r="S29" i="30"/>
  <c r="R29" i="30"/>
  <c r="P29" i="30"/>
  <c r="M29" i="30"/>
  <c r="L29" i="30"/>
  <c r="X28" i="30"/>
  <c r="W28" i="30"/>
  <c r="T28" i="30"/>
  <c r="S28" i="30"/>
  <c r="R28" i="30"/>
  <c r="P28" i="30"/>
  <c r="M28" i="30"/>
  <c r="L28" i="30"/>
  <c r="X27" i="30"/>
  <c r="W27" i="30"/>
  <c r="T27" i="30"/>
  <c r="S27" i="30"/>
  <c r="R27" i="30"/>
  <c r="P27" i="30"/>
  <c r="M27" i="30"/>
  <c r="L27" i="30"/>
  <c r="X26" i="30"/>
  <c r="W26" i="30"/>
  <c r="T26" i="30"/>
  <c r="S26" i="30"/>
  <c r="R26" i="30"/>
  <c r="P26" i="30"/>
  <c r="M26" i="30"/>
  <c r="L26" i="30"/>
  <c r="X25" i="30"/>
  <c r="W25" i="30"/>
  <c r="T25" i="30"/>
  <c r="S25" i="30"/>
  <c r="R25" i="30"/>
  <c r="P25" i="30"/>
  <c r="M25" i="30"/>
  <c r="L25" i="30"/>
  <c r="X24" i="30"/>
  <c r="W24" i="30"/>
  <c r="T24" i="30"/>
  <c r="S24" i="30"/>
  <c r="R24" i="30"/>
  <c r="P24" i="30"/>
  <c r="M24" i="30"/>
  <c r="L24" i="30"/>
  <c r="X23" i="30"/>
  <c r="W23" i="30"/>
  <c r="T23" i="30"/>
  <c r="S23" i="30"/>
  <c r="R23" i="30"/>
  <c r="P23" i="30"/>
  <c r="M23" i="30"/>
  <c r="L23" i="30"/>
  <c r="X22" i="30"/>
  <c r="W22" i="30"/>
  <c r="T22" i="30"/>
  <c r="S22" i="30"/>
  <c r="R22" i="30"/>
  <c r="P22" i="30"/>
  <c r="M22" i="30"/>
  <c r="L22" i="30"/>
  <c r="X21" i="30"/>
  <c r="W21" i="30"/>
  <c r="M21" i="30"/>
  <c r="L21" i="30"/>
  <c r="Q114" i="30"/>
  <c r="O114" i="30"/>
  <c r="L114" i="30"/>
  <c r="G114" i="30"/>
  <c r="C114" i="30"/>
  <c r="Q113" i="30"/>
  <c r="O113" i="30"/>
  <c r="L113" i="30"/>
  <c r="G113" i="30"/>
  <c r="C113" i="30"/>
  <c r="Q112" i="30"/>
  <c r="O112" i="30"/>
  <c r="L112" i="30"/>
  <c r="G112" i="30"/>
  <c r="C112" i="30"/>
  <c r="Q111" i="30"/>
  <c r="O111" i="30"/>
  <c r="L111" i="30"/>
  <c r="G111" i="30"/>
  <c r="C111" i="30"/>
  <c r="Q110" i="30"/>
  <c r="O110" i="30"/>
  <c r="L110" i="30"/>
  <c r="G110" i="30"/>
  <c r="C110" i="30"/>
  <c r="Q109" i="30"/>
  <c r="O109" i="30"/>
  <c r="L109" i="30"/>
  <c r="G109" i="30"/>
  <c r="C109" i="30"/>
  <c r="Q108" i="30"/>
  <c r="O108" i="30"/>
  <c r="L108" i="30"/>
  <c r="G108" i="30"/>
  <c r="C108" i="30"/>
  <c r="Q107" i="30"/>
  <c r="O107" i="30"/>
  <c r="L107" i="30"/>
  <c r="G107" i="30"/>
  <c r="C107" i="30"/>
  <c r="Q106" i="30"/>
  <c r="O106" i="30"/>
  <c r="L106" i="30"/>
  <c r="G106" i="30"/>
  <c r="C106" i="30"/>
  <c r="Q105" i="30"/>
  <c r="O105" i="30"/>
  <c r="L105" i="30"/>
  <c r="G105" i="30"/>
  <c r="C105" i="30"/>
  <c r="Q104" i="30"/>
  <c r="O104" i="30"/>
  <c r="L104" i="30"/>
  <c r="G104" i="30"/>
  <c r="C104" i="30"/>
  <c r="Q103" i="30"/>
  <c r="O103" i="30"/>
  <c r="L103" i="30"/>
  <c r="G103" i="30"/>
  <c r="C103" i="30"/>
  <c r="Q102" i="30"/>
  <c r="O102" i="30"/>
  <c r="L102" i="30"/>
  <c r="G102" i="30"/>
  <c r="C102" i="30"/>
  <c r="Q101" i="30"/>
  <c r="O101" i="30"/>
  <c r="L101" i="30"/>
  <c r="G101" i="30"/>
  <c r="C101" i="30"/>
  <c r="Q100" i="30"/>
  <c r="O100" i="30"/>
  <c r="L100" i="30"/>
  <c r="J100" i="30"/>
  <c r="G100" i="30"/>
  <c r="C100" i="30"/>
  <c r="Q99" i="30"/>
  <c r="O99" i="30"/>
  <c r="L99" i="30"/>
  <c r="G99" i="30"/>
  <c r="C99" i="30"/>
  <c r="J92" i="30"/>
  <c r="I92" i="30"/>
  <c r="H92" i="30"/>
  <c r="E92" i="30" a="1"/>
  <c r="E92" i="30" s="1"/>
  <c r="D92" i="30" a="1"/>
  <c r="D92" i="30" s="1"/>
  <c r="M92" i="30" s="1"/>
  <c r="C92" i="30" a="1"/>
  <c r="C92" i="30" s="1"/>
  <c r="E91" i="30" a="1"/>
  <c r="E91" i="30" s="1"/>
  <c r="D91" i="30" a="1"/>
  <c r="D91" i="30" s="1"/>
  <c r="M91" i="30" s="1"/>
  <c r="C91" i="30" a="1"/>
  <c r="C91" i="30" s="1"/>
  <c r="E90" i="30" a="1"/>
  <c r="E90" i="30" s="1"/>
  <c r="D90" i="30" a="1"/>
  <c r="D90" i="30" s="1"/>
  <c r="M90" i="30" s="1"/>
  <c r="C90" i="30" a="1"/>
  <c r="C90" i="30" s="1"/>
  <c r="D89" i="30" a="1"/>
  <c r="D89" i="30" s="1"/>
  <c r="M89" i="30" s="1"/>
  <c r="E88" i="30" a="1"/>
  <c r="E88" i="30" s="1"/>
  <c r="D88" i="30" a="1"/>
  <c r="D88" i="30" s="1"/>
  <c r="M88" i="30" s="1"/>
  <c r="C88" i="30" a="1"/>
  <c r="C88" i="30" s="1"/>
  <c r="C83" i="30"/>
  <c r="K46" i="30"/>
  <c r="H79" i="30" s="1"/>
  <c r="J46" i="30"/>
  <c r="D46" i="30"/>
  <c r="E46" i="30" s="1"/>
  <c r="AP46" i="30" s="1"/>
  <c r="K45" i="30"/>
  <c r="J45" i="30"/>
  <c r="D45" i="30"/>
  <c r="G78" i="30" s="1"/>
  <c r="K44" i="30"/>
  <c r="H77" i="30" s="1"/>
  <c r="J44" i="30"/>
  <c r="D44" i="30"/>
  <c r="E44" i="30" s="1"/>
  <c r="AP44" i="30" s="1"/>
  <c r="K43" i="30"/>
  <c r="J43" i="30"/>
  <c r="D43" i="30"/>
  <c r="E43" i="30" s="1"/>
  <c r="AP43" i="30" s="1"/>
  <c r="K42" i="30"/>
  <c r="H75" i="30" s="1"/>
  <c r="J42" i="30"/>
  <c r="D42" i="30"/>
  <c r="E42" i="30" s="1"/>
  <c r="AP42" i="30" s="1"/>
  <c r="K41" i="30"/>
  <c r="J41" i="30"/>
  <c r="D41" i="30"/>
  <c r="G74" i="30" s="1"/>
  <c r="K40" i="30"/>
  <c r="J40" i="30"/>
  <c r="D40" i="30"/>
  <c r="G73" i="30" s="1"/>
  <c r="K39" i="30"/>
  <c r="J39" i="30"/>
  <c r="D39" i="30"/>
  <c r="E39" i="30" s="1"/>
  <c r="AP39" i="30" s="1"/>
  <c r="K38" i="30"/>
  <c r="H71" i="30" s="1"/>
  <c r="J38" i="30"/>
  <c r="D38" i="30"/>
  <c r="E38" i="30" s="1"/>
  <c r="AP38" i="30" s="1"/>
  <c r="K37" i="30"/>
  <c r="J37" i="30"/>
  <c r="D37" i="30"/>
  <c r="G70" i="30" s="1"/>
  <c r="K36" i="30"/>
  <c r="H69" i="30" s="1"/>
  <c r="J36" i="30"/>
  <c r="D36" i="30"/>
  <c r="E36" i="30" s="1"/>
  <c r="AP36" i="30" s="1"/>
  <c r="K35" i="30"/>
  <c r="J35" i="30"/>
  <c r="D35" i="30"/>
  <c r="G68" i="30" s="1"/>
  <c r="K34" i="30"/>
  <c r="H67" i="30" s="1"/>
  <c r="J34" i="30"/>
  <c r="D34" i="30"/>
  <c r="E34" i="30" s="1"/>
  <c r="AP34" i="30" s="1"/>
  <c r="K33" i="30"/>
  <c r="J33" i="30"/>
  <c r="D33" i="30"/>
  <c r="G66" i="30" s="1"/>
  <c r="K32" i="30"/>
  <c r="H65" i="30" s="1"/>
  <c r="J32" i="30"/>
  <c r="D32" i="30"/>
  <c r="E32" i="30" s="1"/>
  <c r="AP32" i="30" s="1"/>
  <c r="K31" i="30"/>
  <c r="J31" i="30"/>
  <c r="D31" i="30"/>
  <c r="G64" i="30" s="1"/>
  <c r="K30" i="30"/>
  <c r="H63" i="30" s="1"/>
  <c r="J30" i="30"/>
  <c r="D30" i="30"/>
  <c r="E30" i="30" s="1"/>
  <c r="AP30" i="30" s="1"/>
  <c r="K29" i="30"/>
  <c r="J29" i="30"/>
  <c r="D29" i="30"/>
  <c r="E29" i="30" s="1"/>
  <c r="AP29" i="30" s="1"/>
  <c r="K28" i="30"/>
  <c r="H61" i="30" s="1"/>
  <c r="J28" i="30"/>
  <c r="D28" i="30"/>
  <c r="G61" i="30" s="1"/>
  <c r="K27" i="30"/>
  <c r="J27" i="30"/>
  <c r="D27" i="30"/>
  <c r="E27" i="30" s="1"/>
  <c r="AP27" i="30" s="1"/>
  <c r="K26" i="30"/>
  <c r="H59" i="30" s="1"/>
  <c r="J26" i="30"/>
  <c r="D26" i="30"/>
  <c r="E26" i="30" s="1"/>
  <c r="AP26" i="30" s="1"/>
  <c r="K25" i="30"/>
  <c r="J25" i="30"/>
  <c r="D25" i="30"/>
  <c r="G58" i="30" s="1"/>
  <c r="K24" i="30"/>
  <c r="J24" i="30"/>
  <c r="D24" i="30"/>
  <c r="G57" i="30" s="1"/>
  <c r="K23" i="30"/>
  <c r="J23" i="30"/>
  <c r="D23" i="30"/>
  <c r="E23" i="30" s="1"/>
  <c r="AP23" i="30" s="1"/>
  <c r="K22" i="30"/>
  <c r="J22" i="30"/>
  <c r="D22" i="30"/>
  <c r="E22" i="30" s="1"/>
  <c r="A22" i="30"/>
  <c r="A23" i="30" s="1"/>
  <c r="A24" i="30" s="1"/>
  <c r="A25" i="30" s="1"/>
  <c r="A26" i="30" s="1"/>
  <c r="A27" i="30" s="1"/>
  <c r="A28" i="30" s="1"/>
  <c r="A29" i="30" s="1"/>
  <c r="A30" i="30" s="1"/>
  <c r="A31" i="30" s="1"/>
  <c r="A32" i="30" s="1"/>
  <c r="A33" i="30" s="1"/>
  <c r="A34" i="30" s="1"/>
  <c r="A35" i="30" s="1"/>
  <c r="A36" i="30" s="1"/>
  <c r="A37" i="30" s="1"/>
  <c r="A38" i="30" s="1"/>
  <c r="A39" i="30" s="1"/>
  <c r="A40" i="30" s="1"/>
  <c r="A41" i="30" s="1"/>
  <c r="A42" i="30" s="1"/>
  <c r="A43" i="30" s="1"/>
  <c r="A44" i="30" s="1"/>
  <c r="A45" i="30" s="1"/>
  <c r="A46" i="30" s="1"/>
  <c r="S21" i="30"/>
  <c r="R21" i="30"/>
  <c r="P21" i="30"/>
  <c r="K3" i="36"/>
  <c r="D21" i="30"/>
  <c r="D149" i="25"/>
  <c r="B5" i="6"/>
  <c r="B7" i="6"/>
  <c r="D903" i="26"/>
  <c r="E903" i="26" s="1"/>
  <c r="F903" i="26" s="1"/>
  <c r="D904" i="26"/>
  <c r="D905" i="26"/>
  <c r="D906" i="26"/>
  <c r="E906" i="26" s="1"/>
  <c r="F906" i="26"/>
  <c r="D907" i="26"/>
  <c r="E907" i="26" s="1"/>
  <c r="F907" i="26"/>
  <c r="D908" i="26"/>
  <c r="D909" i="26"/>
  <c r="E909" i="26" s="1"/>
  <c r="F909" i="26"/>
  <c r="D910" i="26"/>
  <c r="E910" i="26" s="1"/>
  <c r="F910" i="26" s="1"/>
  <c r="D911" i="26"/>
  <c r="D912" i="26"/>
  <c r="E912" i="26" s="1"/>
  <c r="F912" i="26" s="1"/>
  <c r="D913" i="26"/>
  <c r="E913" i="26" s="1"/>
  <c r="F913" i="26" s="1"/>
  <c r="D914" i="26"/>
  <c r="D915" i="26"/>
  <c r="E915" i="26" s="1"/>
  <c r="F915" i="26" s="1"/>
  <c r="D916" i="26"/>
  <c r="E916" i="26" s="1"/>
  <c r="F916" i="26"/>
  <c r="D917" i="26"/>
  <c r="E917" i="26" s="1"/>
  <c r="F917" i="26"/>
  <c r="D918" i="26"/>
  <c r="E918" i="26" s="1"/>
  <c r="F918" i="26"/>
  <c r="D919" i="26"/>
  <c r="D920" i="26"/>
  <c r="D921" i="26"/>
  <c r="D922" i="26"/>
  <c r="E922" i="26" s="1"/>
  <c r="F922" i="26" s="1"/>
  <c r="D923" i="26"/>
  <c r="E923" i="26" s="1"/>
  <c r="F923" i="26" s="1"/>
  <c r="D924" i="26"/>
  <c r="D925" i="26"/>
  <c r="E925" i="26" s="1"/>
  <c r="F925" i="26" s="1"/>
  <c r="D926" i="26"/>
  <c r="E926" i="26" s="1"/>
  <c r="F926" i="26"/>
  <c r="D927" i="26"/>
  <c r="D928" i="26"/>
  <c r="E928" i="26" s="1"/>
  <c r="F928" i="26" s="1"/>
  <c r="D929" i="26"/>
  <c r="E929" i="26" s="1"/>
  <c r="F929" i="26"/>
  <c r="D930" i="26"/>
  <c r="D931" i="26"/>
  <c r="E931" i="26" s="1"/>
  <c r="F931" i="26"/>
  <c r="D932" i="26"/>
  <c r="E932" i="26" s="1"/>
  <c r="F932" i="26" s="1"/>
  <c r="D933" i="26"/>
  <c r="E933" i="26" s="1"/>
  <c r="F933" i="26"/>
  <c r="D934" i="26"/>
  <c r="E934" i="26" s="1"/>
  <c r="F934" i="26" s="1"/>
  <c r="D935" i="26"/>
  <c r="D936" i="26"/>
  <c r="D937" i="26"/>
  <c r="D938" i="26"/>
  <c r="E938" i="26" s="1"/>
  <c r="F938" i="26" s="1"/>
  <c r="D939" i="26"/>
  <c r="E939" i="26" s="1"/>
  <c r="F939" i="26"/>
  <c r="D940" i="26"/>
  <c r="D941" i="26"/>
  <c r="E941" i="26" s="1"/>
  <c r="F941" i="26"/>
  <c r="D942" i="26"/>
  <c r="E942" i="26" s="1"/>
  <c r="F942" i="26" s="1"/>
  <c r="D943" i="26"/>
  <c r="D944" i="26"/>
  <c r="E944" i="26" s="1"/>
  <c r="F944" i="26" s="1"/>
  <c r="D945" i="26"/>
  <c r="E945" i="26" s="1"/>
  <c r="F945" i="26"/>
  <c r="D946" i="26"/>
  <c r="D947" i="26"/>
  <c r="E947" i="26" s="1"/>
  <c r="F947" i="26"/>
  <c r="D948" i="26"/>
  <c r="E948" i="26" s="1"/>
  <c r="F948" i="26"/>
  <c r="D949" i="26"/>
  <c r="E949" i="26" s="1"/>
  <c r="F949" i="26" s="1"/>
  <c r="D950" i="26"/>
  <c r="E950" i="26" s="1"/>
  <c r="F950" i="26"/>
  <c r="D951" i="26"/>
  <c r="D952" i="26"/>
  <c r="D953" i="26"/>
  <c r="D954" i="26"/>
  <c r="E954" i="26" s="1"/>
  <c r="F954" i="26" s="1"/>
  <c r="D955" i="26"/>
  <c r="E955" i="26" s="1"/>
  <c r="F955" i="26"/>
  <c r="D956" i="26"/>
  <c r="D957" i="26"/>
  <c r="E957" i="26" s="1"/>
  <c r="F957" i="26"/>
  <c r="D958" i="26"/>
  <c r="E958" i="26" s="1"/>
  <c r="F958" i="26"/>
  <c r="D959" i="26"/>
  <c r="D960" i="26"/>
  <c r="E960" i="26" s="1"/>
  <c r="F960" i="26"/>
  <c r="D961" i="26"/>
  <c r="E961" i="26" s="1"/>
  <c r="F961" i="26" s="1"/>
  <c r="D962" i="26"/>
  <c r="D963" i="26"/>
  <c r="E963" i="26" s="1"/>
  <c r="F963" i="26"/>
  <c r="D964" i="26"/>
  <c r="E964" i="26" s="1"/>
  <c r="F964" i="26" s="1"/>
  <c r="D965" i="26"/>
  <c r="E965" i="26" s="1"/>
  <c r="F965" i="26"/>
  <c r="D966" i="26"/>
  <c r="E966" i="26" s="1"/>
  <c r="F966" i="26"/>
  <c r="D967" i="26"/>
  <c r="D968" i="26"/>
  <c r="D969" i="26"/>
  <c r="E969" i="26" s="1"/>
  <c r="F969" i="26" s="1"/>
  <c r="D970" i="26"/>
  <c r="E970" i="26" s="1"/>
  <c r="F970" i="26"/>
  <c r="D971" i="26"/>
  <c r="E971" i="26" s="1"/>
  <c r="F971" i="26" s="1"/>
  <c r="D972" i="26"/>
  <c r="D973" i="26"/>
  <c r="E973" i="26" s="1"/>
  <c r="F973" i="26" s="1"/>
  <c r="D974" i="26"/>
  <c r="E974" i="26" s="1"/>
  <c r="F974" i="26"/>
  <c r="D975" i="26"/>
  <c r="D976" i="26"/>
  <c r="E976" i="26" s="1"/>
  <c r="F976" i="26"/>
  <c r="D977" i="26"/>
  <c r="E977" i="26" s="1"/>
  <c r="F977" i="26"/>
  <c r="D978" i="26"/>
  <c r="D979" i="26"/>
  <c r="E979" i="26" s="1"/>
  <c r="F979" i="26"/>
  <c r="D980" i="26"/>
  <c r="E980" i="26" s="1"/>
  <c r="F980" i="26" s="1"/>
  <c r="D981" i="26"/>
  <c r="E981" i="26" s="1"/>
  <c r="F981" i="26" s="1"/>
  <c r="D982" i="26"/>
  <c r="E982" i="26" s="1"/>
  <c r="F982" i="26" s="1"/>
  <c r="D983" i="26"/>
  <c r="D984" i="26"/>
  <c r="D985" i="26"/>
  <c r="E985" i="26" s="1"/>
  <c r="F985" i="26"/>
  <c r="D986" i="26"/>
  <c r="E986" i="26" s="1"/>
  <c r="F986" i="26" s="1"/>
  <c r="D987" i="26"/>
  <c r="E987" i="26" s="1"/>
  <c r="F987" i="26"/>
  <c r="D988" i="26"/>
  <c r="D989" i="26"/>
  <c r="E989" i="26" s="1"/>
  <c r="F989" i="26"/>
  <c r="D990" i="26"/>
  <c r="E990" i="26" s="1"/>
  <c r="F990" i="26" s="1"/>
  <c r="D991" i="26"/>
  <c r="D992" i="26"/>
  <c r="E992" i="26" s="1"/>
  <c r="F992" i="26" s="1"/>
  <c r="D993" i="26"/>
  <c r="E993" i="26" s="1"/>
  <c r="F993" i="26"/>
  <c r="D994" i="26"/>
  <c r="D995" i="26"/>
  <c r="E995" i="26" s="1"/>
  <c r="F995" i="26"/>
  <c r="D996" i="26"/>
  <c r="E996" i="26" s="1"/>
  <c r="F996" i="26"/>
  <c r="D997" i="26"/>
  <c r="E997" i="26" s="1"/>
  <c r="F997" i="26" s="1"/>
  <c r="D998" i="26"/>
  <c r="E998" i="26" s="1"/>
  <c r="F998" i="26"/>
  <c r="D999" i="26"/>
  <c r="D1000" i="26"/>
  <c r="D1001" i="26"/>
  <c r="E1001" i="26" s="1"/>
  <c r="F1001" i="26"/>
  <c r="D1002" i="26"/>
  <c r="E1002" i="26" s="1"/>
  <c r="F1002" i="26" s="1"/>
  <c r="D1003" i="26"/>
  <c r="E1003" i="26" s="1"/>
  <c r="F1003" i="26"/>
  <c r="D1004" i="26"/>
  <c r="D1005" i="26"/>
  <c r="E1005" i="26" s="1"/>
  <c r="F1005" i="26" s="1"/>
  <c r="D1006" i="26"/>
  <c r="E1006" i="26" s="1"/>
  <c r="F1006" i="26"/>
  <c r="D1007" i="26"/>
  <c r="D1008" i="26"/>
  <c r="E1008" i="26" s="1"/>
  <c r="F1008" i="26"/>
  <c r="D1009" i="26"/>
  <c r="E1009" i="26" s="1"/>
  <c r="F1009" i="26" s="1"/>
  <c r="D1010" i="26"/>
  <c r="D1011" i="26"/>
  <c r="D1012" i="26"/>
  <c r="E1012" i="26" s="1"/>
  <c r="F1012" i="26" s="1"/>
  <c r="D1013" i="26"/>
  <c r="E1013" i="26" s="1"/>
  <c r="F1013" i="26"/>
  <c r="D1014" i="26"/>
  <c r="E1014" i="26" s="1"/>
  <c r="F1014" i="26"/>
  <c r="D1015" i="26"/>
  <c r="D1016" i="26"/>
  <c r="D1017" i="26"/>
  <c r="E1017" i="26" s="1"/>
  <c r="F1017" i="26" s="1"/>
  <c r="D1018" i="26"/>
  <c r="E1018" i="26" s="1"/>
  <c r="F1018" i="26"/>
  <c r="D1019" i="26"/>
  <c r="E1019" i="26" s="1"/>
  <c r="F1019" i="26" s="1"/>
  <c r="D1020" i="26"/>
  <c r="D1021" i="26"/>
  <c r="D1022" i="26"/>
  <c r="E1022" i="26" s="1"/>
  <c r="F1022" i="26" s="1"/>
  <c r="D1023" i="26"/>
  <c r="D1024" i="26"/>
  <c r="E1024" i="26" s="1"/>
  <c r="F1024" i="26"/>
  <c r="D1025" i="26"/>
  <c r="E1025" i="26" s="1"/>
  <c r="F1025" i="26" s="1"/>
  <c r="D1026" i="26"/>
  <c r="D1027" i="26"/>
  <c r="E1027" i="26" s="1"/>
  <c r="F1027" i="26" s="1"/>
  <c r="D1028" i="26"/>
  <c r="E1028" i="26" s="1"/>
  <c r="F1028" i="26"/>
  <c r="D1029" i="26"/>
  <c r="E1029" i="26" s="1"/>
  <c r="F1029" i="26" s="1"/>
  <c r="D1030" i="26"/>
  <c r="E1030" i="26" s="1"/>
  <c r="F1030" i="26"/>
  <c r="D1031" i="26"/>
  <c r="D1032" i="26"/>
  <c r="D1033" i="26"/>
  <c r="E1033" i="26" s="1"/>
  <c r="F1033" i="26"/>
  <c r="D1034" i="26"/>
  <c r="E1034" i="26" s="1"/>
  <c r="F1034" i="26"/>
  <c r="D1035" i="26"/>
  <c r="E1035" i="26" s="1"/>
  <c r="F1035" i="26"/>
  <c r="D1036" i="26"/>
  <c r="D1037" i="26"/>
  <c r="D1038" i="26"/>
  <c r="E1038" i="26" s="1"/>
  <c r="F1038" i="26"/>
  <c r="D1039" i="26"/>
  <c r="D1040" i="26"/>
  <c r="E1040" i="26" s="1"/>
  <c r="F1040" i="26" s="1"/>
  <c r="D1041" i="26"/>
  <c r="E1041" i="26" s="1"/>
  <c r="F1041" i="26" s="1"/>
  <c r="D1042" i="26"/>
  <c r="D1043" i="26"/>
  <c r="D1044" i="26"/>
  <c r="E1044" i="26" s="1"/>
  <c r="F1044" i="26"/>
  <c r="D1045" i="26"/>
  <c r="E1045" i="26" s="1"/>
  <c r="F1045" i="26" s="1"/>
  <c r="D1046" i="26"/>
  <c r="E1046" i="26" s="1"/>
  <c r="F1046" i="26"/>
  <c r="D1047" i="26"/>
  <c r="D1048" i="26"/>
  <c r="E1048" i="26" s="1"/>
  <c r="F1048" i="26"/>
  <c r="D1049" i="26"/>
  <c r="E1049" i="26" s="1"/>
  <c r="F1049" i="26" s="1"/>
  <c r="D1050" i="26"/>
  <c r="E1050" i="26" s="1"/>
  <c r="F1050" i="26"/>
  <c r="D1051" i="26"/>
  <c r="E1051" i="26" s="1"/>
  <c r="F1051" i="26" s="1"/>
  <c r="D1052" i="26"/>
  <c r="D1053" i="26"/>
  <c r="D1054" i="26"/>
  <c r="E1054" i="26" s="1"/>
  <c r="F1054" i="26"/>
  <c r="D1055" i="26"/>
  <c r="D1056" i="26"/>
  <c r="E1056" i="26" s="1"/>
  <c r="F1056" i="26"/>
  <c r="D1057" i="26"/>
  <c r="E1057" i="26" s="1"/>
  <c r="F1057" i="26"/>
  <c r="D1058" i="26"/>
  <c r="D1059" i="26"/>
  <c r="D1060" i="26"/>
  <c r="E1060" i="26" s="1"/>
  <c r="F1060" i="26" s="1"/>
  <c r="D1061" i="26"/>
  <c r="E1061" i="26" s="1"/>
  <c r="F1061" i="26" s="1"/>
  <c r="D1062" i="26"/>
  <c r="E1062" i="26" s="1"/>
  <c r="F1062" i="26"/>
  <c r="D1063" i="26"/>
  <c r="D1064" i="26"/>
  <c r="E1064" i="26" s="1"/>
  <c r="F1064" i="26"/>
  <c r="D1065" i="26"/>
  <c r="E1065" i="26" s="1"/>
  <c r="F1065" i="26"/>
  <c r="D1066" i="26"/>
  <c r="E1066" i="26" s="1"/>
  <c r="F1066" i="26" s="1"/>
  <c r="D1067" i="26"/>
  <c r="E1067" i="26" s="1"/>
  <c r="F1067" i="26"/>
  <c r="D1068" i="26"/>
  <c r="D1069" i="26"/>
  <c r="D1070" i="26"/>
  <c r="E1070" i="26" s="1"/>
  <c r="F1070" i="26"/>
  <c r="D1071" i="26"/>
  <c r="D1072" i="26"/>
  <c r="E1072" i="26" s="1"/>
  <c r="F1072" i="26"/>
  <c r="D1073" i="26"/>
  <c r="E1073" i="26" s="1"/>
  <c r="F1073" i="26"/>
  <c r="D1074" i="26"/>
  <c r="D1075" i="26"/>
  <c r="D1076" i="26"/>
  <c r="E1076" i="26" s="1"/>
  <c r="F1076" i="26"/>
  <c r="D1077" i="26"/>
  <c r="E1077" i="26" s="1"/>
  <c r="F1077" i="26"/>
  <c r="D1078" i="26"/>
  <c r="E1078" i="26" s="1"/>
  <c r="F1078" i="26" s="1"/>
  <c r="D1079" i="26"/>
  <c r="D1080" i="26"/>
  <c r="E1080" i="26" s="1"/>
  <c r="F1080" i="26"/>
  <c r="D1081" i="26"/>
  <c r="E1081" i="26" s="1"/>
  <c r="F1081" i="26" s="1"/>
  <c r="D1082" i="26"/>
  <c r="E1082" i="26" s="1"/>
  <c r="F1082" i="26"/>
  <c r="D1083" i="26"/>
  <c r="E1083" i="26" s="1"/>
  <c r="F1083" i="26"/>
  <c r="D1084" i="26"/>
  <c r="D1085" i="26"/>
  <c r="D1086" i="26"/>
  <c r="E1086" i="26" s="1"/>
  <c r="F1086" i="26" s="1"/>
  <c r="D1087" i="26"/>
  <c r="D1088" i="26"/>
  <c r="E1088" i="26" s="1"/>
  <c r="F1088" i="26" s="1"/>
  <c r="D1089" i="26"/>
  <c r="E1089" i="26" s="1"/>
  <c r="F1089" i="26" s="1"/>
  <c r="D1090" i="26"/>
  <c r="D1091" i="26"/>
  <c r="D1092" i="26"/>
  <c r="E1092" i="26" s="1"/>
  <c r="F1092" i="26"/>
  <c r="D1093" i="26"/>
  <c r="E1093" i="26" s="1"/>
  <c r="F1093" i="26"/>
  <c r="D1094" i="26"/>
  <c r="E1094" i="26" s="1"/>
  <c r="F1094" i="26" s="1"/>
  <c r="D1095" i="26"/>
  <c r="D1096" i="26"/>
  <c r="E1096" i="26" s="1"/>
  <c r="F1096" i="26" s="1"/>
  <c r="D1097" i="26"/>
  <c r="E1097" i="26" s="1"/>
  <c r="F1097" i="26"/>
  <c r="D1098" i="26"/>
  <c r="E1098" i="26" s="1"/>
  <c r="F1098" i="26" s="1"/>
  <c r="D1099" i="26"/>
  <c r="E1099" i="26" s="1"/>
  <c r="F1099" i="26"/>
  <c r="D1100" i="26"/>
  <c r="D1101" i="26"/>
  <c r="D1102" i="26"/>
  <c r="E1102" i="26" s="1"/>
  <c r="F1102" i="26"/>
  <c r="D1103" i="26"/>
  <c r="D1104" i="26"/>
  <c r="E1104" i="26" s="1"/>
  <c r="F1104" i="26" s="1"/>
  <c r="D1105" i="26"/>
  <c r="E1105" i="26" s="1"/>
  <c r="F1105" i="26"/>
  <c r="D1106" i="26"/>
  <c r="D1107" i="26"/>
  <c r="D1108" i="26"/>
  <c r="E1108" i="26" s="1"/>
  <c r="F1108" i="26" s="1"/>
  <c r="D1109" i="26"/>
  <c r="E1109" i="26" s="1"/>
  <c r="F1109" i="26" s="1"/>
  <c r="D1110" i="26"/>
  <c r="E1110" i="26" s="1"/>
  <c r="F1110" i="26" s="1"/>
  <c r="D1111" i="26"/>
  <c r="D1112" i="26"/>
  <c r="E1112" i="26" s="1"/>
  <c r="F1112" i="26"/>
  <c r="D1113" i="26"/>
  <c r="E1113" i="26" s="1"/>
  <c r="F1113" i="26"/>
  <c r="D1114" i="26"/>
  <c r="E1114" i="26" s="1"/>
  <c r="F1114" i="26"/>
  <c r="D1115" i="26"/>
  <c r="E1115" i="26" s="1"/>
  <c r="F1115" i="26" s="1"/>
  <c r="D1116" i="26"/>
  <c r="D1117" i="26"/>
  <c r="D1118" i="26"/>
  <c r="E1118" i="26" s="1"/>
  <c r="F1118" i="26" s="1"/>
  <c r="D1119" i="26"/>
  <c r="D1120" i="26"/>
  <c r="E1120" i="26" s="1"/>
  <c r="F1120" i="26" s="1"/>
  <c r="D1121" i="26"/>
  <c r="E1121" i="26" s="1"/>
  <c r="F1121" i="26"/>
  <c r="D1122" i="26"/>
  <c r="D1123" i="26"/>
  <c r="D1124" i="26"/>
  <c r="E1124" i="26" s="1"/>
  <c r="F1124" i="26" s="1"/>
  <c r="D1125" i="26"/>
  <c r="E1125" i="26" s="1"/>
  <c r="F1125" i="26"/>
  <c r="D1126" i="26"/>
  <c r="E1126" i="26" s="1"/>
  <c r="F1126" i="26"/>
  <c r="D1127" i="26"/>
  <c r="D1128" i="26"/>
  <c r="D1129" i="26"/>
  <c r="E1129" i="26" s="1"/>
  <c r="F1129" i="26" s="1"/>
  <c r="D1130" i="26"/>
  <c r="E1130" i="26" s="1"/>
  <c r="F1130" i="26" s="1"/>
  <c r="D1131" i="26"/>
  <c r="E1131" i="26" s="1"/>
  <c r="F1131" i="26"/>
  <c r="D1132" i="26"/>
  <c r="D1133" i="26"/>
  <c r="D1134" i="26"/>
  <c r="E1134" i="26" s="1"/>
  <c r="F1134" i="26" s="1"/>
  <c r="D1135" i="26"/>
  <c r="D1136" i="26"/>
  <c r="E1136" i="26" s="1"/>
  <c r="F1136" i="26" s="1"/>
  <c r="D1137" i="26"/>
  <c r="E1137" i="26" s="1"/>
  <c r="F1137" i="26"/>
  <c r="D1138" i="26"/>
  <c r="D1139" i="26"/>
  <c r="D1140" i="26"/>
  <c r="E1140" i="26" s="1"/>
  <c r="F1140" i="26"/>
  <c r="D1141" i="26"/>
  <c r="E1141" i="26" s="1"/>
  <c r="F1141" i="26" s="1"/>
  <c r="D1142" i="26"/>
  <c r="D1143" i="26"/>
  <c r="D1144" i="26"/>
  <c r="D1145" i="26"/>
  <c r="E1145" i="26" s="1"/>
  <c r="F1145" i="26" s="1"/>
  <c r="D1146" i="26"/>
  <c r="E1146" i="26" s="1"/>
  <c r="F1146" i="26"/>
  <c r="D1147" i="26"/>
  <c r="E1147" i="26" s="1"/>
  <c r="F1147" i="26"/>
  <c r="D1148" i="26"/>
  <c r="D1149" i="26"/>
  <c r="D1150" i="26"/>
  <c r="E1150" i="26" s="1"/>
  <c r="F1150" i="26" s="1"/>
  <c r="D1151" i="26"/>
  <c r="D1152" i="26"/>
  <c r="E1152" i="26" s="1"/>
  <c r="F1152" i="26" s="1"/>
  <c r="D1153" i="26"/>
  <c r="E1153" i="26" s="1"/>
  <c r="F1153" i="26"/>
  <c r="D1154" i="26"/>
  <c r="D1155" i="26"/>
  <c r="D1156" i="26"/>
  <c r="E1156" i="26" s="1"/>
  <c r="F1156" i="26"/>
  <c r="D1157" i="26"/>
  <c r="E1157" i="26" s="1"/>
  <c r="F1157" i="26" s="1"/>
  <c r="D1158" i="26"/>
  <c r="E1158" i="26" s="1"/>
  <c r="F1158" i="26"/>
  <c r="D1159" i="26"/>
  <c r="D1160" i="26"/>
  <c r="D1161" i="26"/>
  <c r="E1161" i="26" s="1"/>
  <c r="F1161" i="26"/>
  <c r="D1162" i="26"/>
  <c r="E1162" i="26" s="1"/>
  <c r="F1162" i="26" s="1"/>
  <c r="D1163" i="26"/>
  <c r="E1163" i="26" s="1"/>
  <c r="F1163" i="26"/>
  <c r="D1164" i="26"/>
  <c r="D1165" i="26"/>
  <c r="D1166" i="26"/>
  <c r="E1166" i="26" s="1"/>
  <c r="F1166" i="26"/>
  <c r="D1167" i="26"/>
  <c r="D1169" i="26"/>
  <c r="E1169" i="26" s="1"/>
  <c r="F1169" i="26"/>
  <c r="D1170" i="26"/>
  <c r="D1171" i="26"/>
  <c r="D1172" i="26"/>
  <c r="E1172" i="26" s="1"/>
  <c r="F1172" i="26" s="1"/>
  <c r="D1173" i="26"/>
  <c r="E1173" i="26" s="1"/>
  <c r="F1173" i="26" s="1"/>
  <c r="D1174" i="26"/>
  <c r="E1174" i="26" s="1"/>
  <c r="F1174" i="26"/>
  <c r="D1175" i="26"/>
  <c r="D1176" i="26"/>
  <c r="D1177" i="26"/>
  <c r="E1177" i="26" s="1"/>
  <c r="F1177" i="26" s="1"/>
  <c r="D1178" i="26"/>
  <c r="E1178" i="26" s="1"/>
  <c r="F1178" i="26"/>
  <c r="D1179" i="26"/>
  <c r="E1179" i="26" s="1"/>
  <c r="F1179" i="26"/>
  <c r="D1180" i="26"/>
  <c r="D1181" i="26"/>
  <c r="D1182" i="26"/>
  <c r="E1182" i="26" s="1"/>
  <c r="F1182" i="26" s="1"/>
  <c r="D1183" i="26"/>
  <c r="D1184" i="26"/>
  <c r="E1184" i="26" s="1"/>
  <c r="F1184" i="26" s="1"/>
  <c r="D1185" i="26"/>
  <c r="E1185" i="26" s="1"/>
  <c r="F1185" i="26"/>
  <c r="D1186" i="26"/>
  <c r="D1187" i="26"/>
  <c r="E1187" i="26" s="1"/>
  <c r="F1187" i="26" s="1"/>
  <c r="D1188" i="26"/>
  <c r="E1188" i="26" s="1"/>
  <c r="F1188" i="26"/>
  <c r="D1189" i="26"/>
  <c r="E1189" i="26" s="1"/>
  <c r="F1189" i="26"/>
  <c r="D1190" i="26"/>
  <c r="E1190" i="26" s="1"/>
  <c r="F1190" i="26" s="1"/>
  <c r="D1191" i="26"/>
  <c r="D1192" i="26"/>
  <c r="E1192" i="26" s="1"/>
  <c r="F1192" i="26"/>
  <c r="D1193" i="26"/>
  <c r="E1193" i="26" s="1"/>
  <c r="F1193" i="26" s="1"/>
  <c r="D1194" i="26"/>
  <c r="E1194" i="26" s="1"/>
  <c r="F1194" i="26"/>
  <c r="D1195" i="26"/>
  <c r="E1195" i="26" s="1"/>
  <c r="F1195" i="26"/>
  <c r="D1196" i="26"/>
  <c r="D1197" i="26"/>
  <c r="D1198" i="26"/>
  <c r="E1198" i="26" s="1"/>
  <c r="F1198" i="26" s="1"/>
  <c r="D1199" i="26"/>
  <c r="D1200" i="26"/>
  <c r="E1200" i="26" s="1"/>
  <c r="F1200" i="26" s="1"/>
  <c r="D1201" i="26"/>
  <c r="E1201" i="26" s="1"/>
  <c r="F1201" i="26" s="1"/>
  <c r="D1202" i="26"/>
  <c r="D1203" i="26"/>
  <c r="D1204" i="26"/>
  <c r="E1204" i="26" s="1"/>
  <c r="F1204" i="26"/>
  <c r="D1205" i="26"/>
  <c r="E1205" i="26" s="1"/>
  <c r="F1205" i="26"/>
  <c r="D1206" i="26"/>
  <c r="E1206" i="26" s="1"/>
  <c r="F1206" i="26" s="1"/>
  <c r="D1207" i="26"/>
  <c r="D1208" i="26"/>
  <c r="D1209" i="26"/>
  <c r="E1209" i="26" s="1"/>
  <c r="F1209" i="26"/>
  <c r="D1210" i="26"/>
  <c r="E1210" i="26" s="1"/>
  <c r="F1210" i="26" s="1"/>
  <c r="D1211" i="26"/>
  <c r="E1211" i="26" s="1"/>
  <c r="F1211" i="26" s="1"/>
  <c r="D1212" i="26"/>
  <c r="D1213" i="26"/>
  <c r="D1214" i="26"/>
  <c r="E1214" i="26" s="1"/>
  <c r="F1214" i="26"/>
  <c r="D1215" i="26"/>
  <c r="D1216" i="26"/>
  <c r="E1216" i="26" s="1"/>
  <c r="F1216" i="26"/>
  <c r="D1217" i="26"/>
  <c r="E1217" i="26" s="1"/>
  <c r="F1217" i="26"/>
  <c r="D1218" i="26"/>
  <c r="D1219" i="26"/>
  <c r="D1220" i="26"/>
  <c r="E1220" i="26" s="1"/>
  <c r="F1220" i="26"/>
  <c r="D1221" i="26"/>
  <c r="E1221" i="26" s="1"/>
  <c r="F1221" i="26" s="1"/>
  <c r="D1222" i="26"/>
  <c r="E1222" i="26" s="1"/>
  <c r="F1222" i="26"/>
  <c r="D1223" i="26"/>
  <c r="D1224" i="26"/>
  <c r="D1225" i="26"/>
  <c r="E1225" i="26" s="1"/>
  <c r="F1225" i="26"/>
  <c r="D1226" i="26"/>
  <c r="E1226" i="26" s="1"/>
  <c r="F1226" i="26"/>
  <c r="D1227" i="26"/>
  <c r="E1227" i="26" s="1"/>
  <c r="F1227" i="26"/>
  <c r="D1228" i="26"/>
  <c r="D1229" i="26"/>
  <c r="D1230" i="26"/>
  <c r="E1230" i="26" s="1"/>
  <c r="F1230" i="26"/>
  <c r="D1231" i="26"/>
  <c r="D1232" i="26"/>
  <c r="E1232" i="26" s="1"/>
  <c r="F1232" i="26" s="1"/>
  <c r="D1233" i="26"/>
  <c r="E1233" i="26" s="1"/>
  <c r="F1233" i="26" s="1"/>
  <c r="D1234" i="26"/>
  <c r="D1235" i="26"/>
  <c r="D1236" i="26"/>
  <c r="E1236" i="26" s="1"/>
  <c r="F1236" i="26"/>
  <c r="D1237" i="26"/>
  <c r="E1237" i="26" s="1"/>
  <c r="F1237" i="26" s="1"/>
  <c r="D1238" i="26"/>
  <c r="E1238" i="26" s="1"/>
  <c r="F1238" i="26"/>
  <c r="D1239" i="26"/>
  <c r="D1240" i="26"/>
  <c r="D1241" i="26"/>
  <c r="D1242" i="26"/>
  <c r="E1242" i="26" s="1"/>
  <c r="F1242" i="26" s="1"/>
  <c r="D1243" i="26"/>
  <c r="E1243" i="26" s="1"/>
  <c r="F1243" i="26"/>
  <c r="D1244" i="26"/>
  <c r="D1245" i="26"/>
  <c r="D1246" i="26"/>
  <c r="E1246" i="26" s="1"/>
  <c r="F1246" i="26"/>
  <c r="D1247" i="26"/>
  <c r="D1248" i="26"/>
  <c r="E1248" i="26" s="1"/>
  <c r="F1248" i="26" s="1"/>
  <c r="D1249" i="26"/>
  <c r="E1249" i="26" s="1"/>
  <c r="F1249" i="26"/>
  <c r="D1250" i="26"/>
  <c r="D1251" i="26"/>
  <c r="D1252" i="26"/>
  <c r="E1252" i="26" s="1"/>
  <c r="F1252" i="26" s="1"/>
  <c r="D1253" i="26"/>
  <c r="E1253" i="26" s="1"/>
  <c r="F1253" i="26" s="1"/>
  <c r="D1254" i="26"/>
  <c r="E1254" i="26" s="1"/>
  <c r="F1254" i="26" s="1"/>
  <c r="D1255" i="26"/>
  <c r="D1256" i="26"/>
  <c r="D1257" i="26"/>
  <c r="D1258" i="26"/>
  <c r="E1258" i="26" s="1"/>
  <c r="F1258" i="26"/>
  <c r="D1259" i="26"/>
  <c r="E1259" i="26" s="1"/>
  <c r="F1259" i="26"/>
  <c r="D1260" i="26"/>
  <c r="D1261" i="26"/>
  <c r="D1262" i="26"/>
  <c r="E1262" i="26" s="1"/>
  <c r="F1262" i="26"/>
  <c r="D1263" i="26"/>
  <c r="D1264" i="26"/>
  <c r="E1264" i="26" s="1"/>
  <c r="F1264" i="26" s="1"/>
  <c r="D1265" i="26"/>
  <c r="E1265" i="26" s="1"/>
  <c r="F1265" i="26" s="1"/>
  <c r="D1266" i="26"/>
  <c r="D1267" i="26"/>
  <c r="D1268" i="26"/>
  <c r="E1268" i="26" s="1"/>
  <c r="F1268" i="26"/>
  <c r="D1269" i="26"/>
  <c r="E1269" i="26" s="1"/>
  <c r="F1269" i="26" s="1"/>
  <c r="D1270" i="26"/>
  <c r="E1270" i="26" s="1"/>
  <c r="F1270" i="26"/>
  <c r="D1271" i="26"/>
  <c r="D1272" i="26"/>
  <c r="D1273" i="26"/>
  <c r="D1274" i="26"/>
  <c r="E1274" i="26" s="1"/>
  <c r="F1274" i="26" s="1"/>
  <c r="D1275" i="26"/>
  <c r="E1275" i="26" s="1"/>
  <c r="F1275" i="26"/>
  <c r="D1276" i="26"/>
  <c r="D1277" i="26"/>
  <c r="D1278" i="26"/>
  <c r="E1278" i="26" s="1"/>
  <c r="F1278" i="26"/>
  <c r="D1279" i="26"/>
  <c r="D1280" i="26"/>
  <c r="E1280" i="26" s="1"/>
  <c r="F1280" i="26" s="1"/>
  <c r="D1281" i="26"/>
  <c r="E1281" i="26" s="1"/>
  <c r="F1281" i="26"/>
  <c r="D1282" i="26"/>
  <c r="D1283" i="26"/>
  <c r="D1284" i="26"/>
  <c r="E1284" i="26" s="1"/>
  <c r="F1284" i="26" s="1"/>
  <c r="D1285" i="26"/>
  <c r="E1285" i="26" s="1"/>
  <c r="F1285" i="26" s="1"/>
  <c r="D1286" i="26"/>
  <c r="E1286" i="26" s="1"/>
  <c r="F1286" i="26" s="1"/>
  <c r="D1287" i="26"/>
  <c r="D1288" i="26"/>
  <c r="D1289" i="26"/>
  <c r="E1289" i="26" s="1"/>
  <c r="F1289" i="26"/>
  <c r="D1290" i="26"/>
  <c r="E1290" i="26" s="1"/>
  <c r="F1290" i="26" s="1"/>
  <c r="D1291" i="26"/>
  <c r="E1291" i="26" s="1"/>
  <c r="F1291" i="26"/>
  <c r="D1292" i="26"/>
  <c r="D1293" i="26"/>
  <c r="D1294" i="26"/>
  <c r="E1294" i="26" s="1"/>
  <c r="F1294" i="26" s="1"/>
  <c r="D1295" i="26"/>
  <c r="D1296" i="26"/>
  <c r="E1296" i="26" s="1"/>
  <c r="F1296" i="26"/>
  <c r="D1297" i="26"/>
  <c r="E1297" i="26" s="1"/>
  <c r="F1297" i="26" s="1"/>
  <c r="D1298" i="26"/>
  <c r="D1299" i="26"/>
  <c r="D1300" i="26"/>
  <c r="E1300" i="26" s="1"/>
  <c r="F1300" i="26"/>
  <c r="D1301" i="26"/>
  <c r="E1301" i="26" s="1"/>
  <c r="F1301" i="26"/>
  <c r="D1302" i="26"/>
  <c r="E1302" i="26" s="1"/>
  <c r="F1302" i="26" s="1"/>
  <c r="D1303" i="26"/>
  <c r="D1304" i="26"/>
  <c r="E1304" i="26" s="1"/>
  <c r="F1304" i="26" s="1"/>
  <c r="D1305" i="26"/>
  <c r="D1306" i="26"/>
  <c r="E1306" i="26" s="1"/>
  <c r="F1306" i="26"/>
  <c r="D1307" i="26"/>
  <c r="E1307" i="26" s="1"/>
  <c r="F1307" i="26" s="1"/>
  <c r="D1308" i="26"/>
  <c r="D1309" i="26"/>
  <c r="D1310" i="26"/>
  <c r="E1310" i="26" s="1"/>
  <c r="F1310" i="26"/>
  <c r="D1311" i="26"/>
  <c r="D1312" i="26"/>
  <c r="E1312" i="26" s="1"/>
  <c r="F1312" i="26"/>
  <c r="D1313" i="26"/>
  <c r="E1313" i="26" s="1"/>
  <c r="F1313" i="26"/>
  <c r="D1314" i="26"/>
  <c r="D1315" i="26"/>
  <c r="D1316" i="26"/>
  <c r="E1316" i="26" s="1"/>
  <c r="F1316" i="26" s="1"/>
  <c r="D1317" i="26"/>
  <c r="E1317" i="26" s="1"/>
  <c r="F1317" i="26" s="1"/>
  <c r="D1318" i="26"/>
  <c r="E1318" i="26" s="1"/>
  <c r="F1318" i="26"/>
  <c r="D1319" i="26"/>
  <c r="D1320" i="26"/>
  <c r="E1320" i="26" s="1"/>
  <c r="F1320" i="26"/>
  <c r="D1321" i="26"/>
  <c r="D1322" i="26"/>
  <c r="E1322" i="26" s="1"/>
  <c r="F1322" i="26"/>
  <c r="D1323" i="26"/>
  <c r="E1323" i="26" s="1"/>
  <c r="F1323" i="26"/>
  <c r="D1324" i="26"/>
  <c r="D1325" i="26"/>
  <c r="D1326" i="26"/>
  <c r="E1326" i="26" s="1"/>
  <c r="F1326" i="26" s="1"/>
  <c r="D1327" i="26"/>
  <c r="D1328" i="26"/>
  <c r="E1328" i="26" s="1"/>
  <c r="F1328" i="26" s="1"/>
  <c r="D1329" i="26"/>
  <c r="E1329" i="26" s="1"/>
  <c r="F1329" i="26"/>
  <c r="D1330" i="26"/>
  <c r="D1331" i="26"/>
  <c r="D1332" i="26"/>
  <c r="E1332" i="26" s="1"/>
  <c r="F1332" i="26"/>
  <c r="D1333" i="26"/>
  <c r="E1333" i="26" s="1"/>
  <c r="F1333" i="26" s="1"/>
  <c r="D1334" i="26"/>
  <c r="E1334" i="26" s="1"/>
  <c r="F1334" i="26"/>
  <c r="D1335" i="26"/>
  <c r="D1336" i="26"/>
  <c r="E1336" i="26" s="1"/>
  <c r="F1336" i="26" s="1"/>
  <c r="D1337" i="26"/>
  <c r="D1338" i="26"/>
  <c r="E1338" i="26" s="1"/>
  <c r="F1338" i="26" s="1"/>
  <c r="D1339" i="26"/>
  <c r="E1339" i="26" s="1"/>
  <c r="F1339" i="26"/>
  <c r="D1340" i="26"/>
  <c r="D1341" i="26"/>
  <c r="D1342" i="26"/>
  <c r="E1342" i="26" s="1"/>
  <c r="F1342" i="26"/>
  <c r="D1343" i="26"/>
  <c r="D1344" i="26"/>
  <c r="E1344" i="26" s="1"/>
  <c r="F1344" i="26"/>
  <c r="D1345" i="26"/>
  <c r="E1345" i="26" s="1"/>
  <c r="F1345" i="26" s="1"/>
  <c r="D1346" i="26"/>
  <c r="D1347" i="26"/>
  <c r="D1348" i="26"/>
  <c r="E1348" i="26" s="1"/>
  <c r="F1348" i="26" s="1"/>
  <c r="D1349" i="26"/>
  <c r="E1349" i="26" s="1"/>
  <c r="F1349" i="26"/>
  <c r="D1350" i="26"/>
  <c r="E1350" i="26" s="1"/>
  <c r="F1350" i="26"/>
  <c r="D1351" i="26"/>
  <c r="D1352" i="26"/>
  <c r="E1352" i="26" s="1"/>
  <c r="F1352" i="26"/>
  <c r="D1353" i="26"/>
  <c r="D1354" i="26"/>
  <c r="E1354" i="26" s="1"/>
  <c r="F1354" i="26"/>
  <c r="D1355" i="26"/>
  <c r="E1355" i="26" s="1"/>
  <c r="F1355" i="26" s="1"/>
  <c r="D1356" i="26"/>
  <c r="D1357" i="26"/>
  <c r="D1358" i="26"/>
  <c r="E1358" i="26" s="1"/>
  <c r="F1358" i="26" s="1"/>
  <c r="D1359" i="26"/>
  <c r="D1360" i="26"/>
  <c r="E1360" i="26" s="1"/>
  <c r="F1360" i="26"/>
  <c r="D1361" i="26"/>
  <c r="E1361" i="26" s="1"/>
  <c r="F1361" i="26"/>
  <c r="D1362" i="26"/>
  <c r="D1363" i="26"/>
  <c r="D1364" i="26"/>
  <c r="E1364" i="26" s="1"/>
  <c r="F1364" i="26" s="1"/>
  <c r="D1365" i="26"/>
  <c r="E1365" i="26" s="1"/>
  <c r="F1365" i="26"/>
  <c r="D1366" i="26"/>
  <c r="E1366" i="26" s="1"/>
  <c r="F1366" i="26" s="1"/>
  <c r="D1367" i="26"/>
  <c r="D1368" i="26"/>
  <c r="E1368" i="26" s="1"/>
  <c r="F1368" i="26" s="1"/>
  <c r="D1369" i="26"/>
  <c r="E1369" i="26" s="1"/>
  <c r="F1369" i="26"/>
  <c r="D1370" i="26"/>
  <c r="E1370" i="26" s="1"/>
  <c r="F1370" i="26"/>
  <c r="D1371" i="26"/>
  <c r="E1371" i="26" s="1"/>
  <c r="F1371" i="26" s="1"/>
  <c r="D1372" i="26"/>
  <c r="D1373" i="26"/>
  <c r="D1374" i="26"/>
  <c r="E1374" i="26" s="1"/>
  <c r="F1374" i="26"/>
  <c r="D1375" i="26"/>
  <c r="D1376" i="26"/>
  <c r="E1376" i="26" s="1"/>
  <c r="F1376" i="26" s="1"/>
  <c r="D1377" i="26"/>
  <c r="E1377" i="26" s="1"/>
  <c r="F1377" i="26"/>
  <c r="D1378" i="26"/>
  <c r="D1379" i="26"/>
  <c r="D1380" i="26"/>
  <c r="E1380" i="26" s="1"/>
  <c r="F1380" i="26"/>
  <c r="D1381" i="26"/>
  <c r="E1381" i="26" s="1"/>
  <c r="F1381" i="26"/>
  <c r="D1382" i="26"/>
  <c r="E1382" i="26" s="1"/>
  <c r="F1382" i="26"/>
  <c r="D1383" i="26"/>
  <c r="D1384" i="26"/>
  <c r="E1384" i="26" s="1"/>
  <c r="F1384" i="26"/>
  <c r="D1385" i="26"/>
  <c r="D1386" i="26"/>
  <c r="E1386" i="26" s="1"/>
  <c r="F1386" i="26" s="1"/>
  <c r="D1387" i="26"/>
  <c r="E1387" i="26" s="1"/>
  <c r="F1387" i="26"/>
  <c r="D1388" i="26"/>
  <c r="D1389" i="26"/>
  <c r="E1389" i="26" s="1"/>
  <c r="F1389" i="26"/>
  <c r="D1390" i="26"/>
  <c r="E1390" i="26" s="1"/>
  <c r="F1390" i="26"/>
  <c r="EY92" i="29"/>
  <c r="EX92" i="29"/>
  <c r="EW92" i="29"/>
  <c r="EV92" i="29"/>
  <c r="EU92" i="29"/>
  <c r="ET92" i="29"/>
  <c r="ES92" i="29"/>
  <c r="ER92" i="29"/>
  <c r="EQ92" i="29"/>
  <c r="EP92" i="29"/>
  <c r="EO92" i="29"/>
  <c r="EN92" i="29"/>
  <c r="EM92" i="29"/>
  <c r="EL92" i="29"/>
  <c r="EK92" i="29"/>
  <c r="EJ92" i="29"/>
  <c r="EI92" i="29"/>
  <c r="EH92" i="29"/>
  <c r="EG92" i="29"/>
  <c r="EF92" i="29"/>
  <c r="EE92" i="29"/>
  <c r="ED92" i="29"/>
  <c r="EC92" i="29"/>
  <c r="EB92" i="29"/>
  <c r="EA92" i="29"/>
  <c r="DZ92" i="29"/>
  <c r="DY92" i="29"/>
  <c r="DX92" i="29"/>
  <c r="DW92" i="29"/>
  <c r="DV92" i="29"/>
  <c r="DU92" i="29"/>
  <c r="DT92" i="29"/>
  <c r="DS92" i="29"/>
  <c r="DR92" i="29"/>
  <c r="DQ92" i="29"/>
  <c r="DP92" i="29"/>
  <c r="DO92" i="29"/>
  <c r="DN92" i="29"/>
  <c r="DM92" i="29"/>
  <c r="DL92" i="29"/>
  <c r="DK92" i="29"/>
  <c r="DJ92" i="29"/>
  <c r="DI92" i="29"/>
  <c r="DH92" i="29"/>
  <c r="DG92" i="29"/>
  <c r="DF92" i="29"/>
  <c r="DE92" i="29"/>
  <c r="DD92" i="29"/>
  <c r="DC92" i="29"/>
  <c r="DB92" i="29"/>
  <c r="DA92" i="29"/>
  <c r="CZ92" i="29"/>
  <c r="CY92" i="29"/>
  <c r="CX92" i="29"/>
  <c r="CW92" i="29"/>
  <c r="CV92" i="29"/>
  <c r="CU92" i="29"/>
  <c r="CT92" i="29"/>
  <c r="CS92" i="29"/>
  <c r="CR92" i="29"/>
  <c r="CQ92" i="29"/>
  <c r="CP92" i="29"/>
  <c r="CO92" i="29"/>
  <c r="CN92" i="29"/>
  <c r="CM92" i="29"/>
  <c r="CL92" i="29"/>
  <c r="CK92" i="29"/>
  <c r="CJ92" i="29"/>
  <c r="CI92" i="29"/>
  <c r="CH92" i="29"/>
  <c r="CG92" i="29"/>
  <c r="CF92" i="29"/>
  <c r="CE92" i="29"/>
  <c r="CD92" i="29"/>
  <c r="CC92" i="29"/>
  <c r="CB92" i="29"/>
  <c r="CA92" i="29"/>
  <c r="BZ92" i="29"/>
  <c r="BY92" i="29"/>
  <c r="BX92" i="29"/>
  <c r="BW92" i="29"/>
  <c r="BV92" i="29"/>
  <c r="BU92" i="29"/>
  <c r="BT92" i="29"/>
  <c r="BS92" i="29"/>
  <c r="BR92" i="29"/>
  <c r="BQ92" i="29"/>
  <c r="BP92" i="29"/>
  <c r="BO92" i="29"/>
  <c r="BN92" i="29"/>
  <c r="BM92" i="29"/>
  <c r="BL92" i="29"/>
  <c r="BK92" i="29"/>
  <c r="BJ92" i="29"/>
  <c r="BI92" i="29"/>
  <c r="BH92" i="29"/>
  <c r="BG92" i="29"/>
  <c r="BF92" i="29"/>
  <c r="BE92" i="29"/>
  <c r="BD92" i="29"/>
  <c r="BC92" i="29"/>
  <c r="BB92" i="29"/>
  <c r="BA92" i="29"/>
  <c r="AZ92" i="29"/>
  <c r="AY92" i="29"/>
  <c r="AX92" i="29"/>
  <c r="AW92" i="29"/>
  <c r="AV92" i="29"/>
  <c r="AU92" i="29"/>
  <c r="AT92" i="29"/>
  <c r="AS92" i="29"/>
  <c r="AR92" i="29"/>
  <c r="AQ92" i="29"/>
  <c r="AP92" i="29"/>
  <c r="AO92" i="29"/>
  <c r="AN92" i="29"/>
  <c r="AM92" i="29"/>
  <c r="AL92" i="29"/>
  <c r="AK92" i="29"/>
  <c r="AJ92" i="29"/>
  <c r="AI92" i="29"/>
  <c r="AH92" i="29"/>
  <c r="AG92" i="29"/>
  <c r="AF92" i="29"/>
  <c r="AE92" i="29"/>
  <c r="AD92" i="29"/>
  <c r="AC92" i="29"/>
  <c r="AB92" i="29"/>
  <c r="AA92" i="29"/>
  <c r="Z92" i="29"/>
  <c r="Y92" i="29"/>
  <c r="X92" i="29"/>
  <c r="W92" i="29"/>
  <c r="V92" i="29"/>
  <c r="U92" i="29"/>
  <c r="T92" i="29"/>
  <c r="S92" i="29"/>
  <c r="R92" i="29"/>
  <c r="Q92" i="29"/>
  <c r="P92" i="29"/>
  <c r="O92" i="29"/>
  <c r="N92" i="29"/>
  <c r="M92" i="29"/>
  <c r="L92" i="29"/>
  <c r="K92" i="29"/>
  <c r="J92" i="29"/>
  <c r="I92" i="29"/>
  <c r="H92" i="29"/>
  <c r="G92" i="29"/>
  <c r="F92" i="29"/>
  <c r="E92" i="29"/>
  <c r="D92" i="29"/>
  <c r="C92" i="29"/>
  <c r="B92" i="29"/>
  <c r="EY91" i="29"/>
  <c r="EX91" i="29"/>
  <c r="EW91" i="29"/>
  <c r="EV91" i="29"/>
  <c r="EU91" i="29"/>
  <c r="ET91" i="29"/>
  <c r="ES91" i="29"/>
  <c r="ER91" i="29"/>
  <c r="EQ91" i="29"/>
  <c r="EP91" i="29"/>
  <c r="EO91" i="29"/>
  <c r="EN91" i="29"/>
  <c r="EM91" i="29"/>
  <c r="EL91" i="29"/>
  <c r="EK91" i="29"/>
  <c r="EJ91" i="29"/>
  <c r="EI91" i="29"/>
  <c r="EH91" i="29"/>
  <c r="EG91" i="29"/>
  <c r="EF91" i="29"/>
  <c r="EE91" i="29"/>
  <c r="ED91" i="29"/>
  <c r="EC91" i="29"/>
  <c r="EB91" i="29"/>
  <c r="EA91" i="29"/>
  <c r="DZ91" i="29"/>
  <c r="DY91" i="29"/>
  <c r="DX91" i="29"/>
  <c r="DW91" i="29"/>
  <c r="DV91" i="29"/>
  <c r="DU91" i="29"/>
  <c r="DT91" i="29"/>
  <c r="DS91" i="29"/>
  <c r="DR91" i="29"/>
  <c r="DQ91" i="29"/>
  <c r="DP91" i="29"/>
  <c r="DO91" i="29"/>
  <c r="DN91" i="29"/>
  <c r="DM91" i="29"/>
  <c r="DL91" i="29"/>
  <c r="DK91" i="29"/>
  <c r="DJ91" i="29"/>
  <c r="DI91" i="29"/>
  <c r="DH91" i="29"/>
  <c r="DG91" i="29"/>
  <c r="DF91" i="29"/>
  <c r="DE91" i="29"/>
  <c r="DD91" i="29"/>
  <c r="DC91" i="29"/>
  <c r="DB91" i="29"/>
  <c r="DA91" i="29"/>
  <c r="CZ91" i="29"/>
  <c r="CY91" i="29"/>
  <c r="CX91" i="29"/>
  <c r="CW91" i="29"/>
  <c r="CV91" i="29"/>
  <c r="CU91" i="29"/>
  <c r="CT91" i="29"/>
  <c r="CS91" i="29"/>
  <c r="CR91" i="29"/>
  <c r="CQ91" i="29"/>
  <c r="CP91" i="29"/>
  <c r="CO91" i="29"/>
  <c r="CN91" i="29"/>
  <c r="CM91" i="29"/>
  <c r="CL91" i="29"/>
  <c r="CK91" i="29"/>
  <c r="CJ91" i="29"/>
  <c r="CI91" i="29"/>
  <c r="CH91" i="29"/>
  <c r="CG91" i="29"/>
  <c r="CF91" i="29"/>
  <c r="CE91" i="29"/>
  <c r="CD91" i="29"/>
  <c r="CC91" i="29"/>
  <c r="CB91" i="29"/>
  <c r="CA91" i="29"/>
  <c r="BZ91" i="29"/>
  <c r="BY91" i="29"/>
  <c r="BX91" i="29"/>
  <c r="BW91" i="29"/>
  <c r="BV91" i="29"/>
  <c r="BU91" i="29"/>
  <c r="BT91" i="29"/>
  <c r="BS91" i="29"/>
  <c r="BR91" i="29"/>
  <c r="BQ91" i="29"/>
  <c r="BP91" i="29"/>
  <c r="BO91" i="29"/>
  <c r="BN91" i="29"/>
  <c r="BM91" i="29"/>
  <c r="BL91" i="29"/>
  <c r="BK91" i="29"/>
  <c r="BJ91" i="29"/>
  <c r="BI91" i="29"/>
  <c r="BH91" i="29"/>
  <c r="BG91" i="29"/>
  <c r="BF91" i="29"/>
  <c r="BE91" i="29"/>
  <c r="BD91" i="29"/>
  <c r="BC91" i="29"/>
  <c r="BB91" i="29"/>
  <c r="BA91" i="29"/>
  <c r="AZ91" i="29"/>
  <c r="AY91" i="29"/>
  <c r="AX91" i="29"/>
  <c r="AW91" i="29"/>
  <c r="AV91" i="29"/>
  <c r="AU91" i="29"/>
  <c r="AT91" i="29"/>
  <c r="AS91" i="29"/>
  <c r="AR91" i="29"/>
  <c r="AQ91" i="29"/>
  <c r="AP91" i="29"/>
  <c r="AO91" i="29"/>
  <c r="AN91" i="29"/>
  <c r="AM91" i="29"/>
  <c r="AL91" i="29"/>
  <c r="AK91" i="29"/>
  <c r="AJ91" i="29"/>
  <c r="AI91" i="29"/>
  <c r="AH91" i="29"/>
  <c r="AG91" i="29"/>
  <c r="AF91" i="29"/>
  <c r="AE91" i="29"/>
  <c r="AD91" i="29"/>
  <c r="AC91" i="29"/>
  <c r="AB91" i="29"/>
  <c r="AA91" i="29"/>
  <c r="Z91" i="29"/>
  <c r="Y91" i="29"/>
  <c r="X91" i="29"/>
  <c r="W91" i="29"/>
  <c r="V91" i="29"/>
  <c r="U91" i="29"/>
  <c r="T91" i="29"/>
  <c r="S91" i="29"/>
  <c r="R91" i="29"/>
  <c r="Q91" i="29"/>
  <c r="P91" i="29"/>
  <c r="O91" i="29"/>
  <c r="N91" i="29"/>
  <c r="M91" i="29"/>
  <c r="L91" i="29"/>
  <c r="K91" i="29"/>
  <c r="J91" i="29"/>
  <c r="I91" i="29"/>
  <c r="H91" i="29"/>
  <c r="G91" i="29"/>
  <c r="F91" i="29"/>
  <c r="E91" i="29"/>
  <c r="D91" i="29"/>
  <c r="C91" i="29"/>
  <c r="B91" i="29"/>
  <c r="EY90" i="29"/>
  <c r="EX90" i="29"/>
  <c r="EW90" i="29"/>
  <c r="EV90" i="29"/>
  <c r="EU90" i="29"/>
  <c r="ET90" i="29"/>
  <c r="ES90" i="29"/>
  <c r="ER90" i="29"/>
  <c r="EQ90" i="29"/>
  <c r="EP90" i="29"/>
  <c r="EO90" i="29"/>
  <c r="EN90" i="29"/>
  <c r="EM90" i="29"/>
  <c r="EL90" i="29"/>
  <c r="EK90" i="29"/>
  <c r="EJ90" i="29"/>
  <c r="EI90" i="29"/>
  <c r="EH90" i="29"/>
  <c r="EG90" i="29"/>
  <c r="EF90" i="29"/>
  <c r="EE90" i="29"/>
  <c r="ED90" i="29"/>
  <c r="EC90" i="29"/>
  <c r="EB90" i="29"/>
  <c r="EA90" i="29"/>
  <c r="DZ90" i="29"/>
  <c r="DY90" i="29"/>
  <c r="DX90" i="29"/>
  <c r="DW90" i="29"/>
  <c r="DV90" i="29"/>
  <c r="DU90" i="29"/>
  <c r="DT90" i="29"/>
  <c r="DS90" i="29"/>
  <c r="DR90" i="29"/>
  <c r="DQ90" i="29"/>
  <c r="DP90" i="29"/>
  <c r="DO90" i="29"/>
  <c r="DN90" i="29"/>
  <c r="DM90" i="29"/>
  <c r="DL90" i="29"/>
  <c r="DK90" i="29"/>
  <c r="DJ90" i="29"/>
  <c r="DI90" i="29"/>
  <c r="DH90" i="29"/>
  <c r="DG90" i="29"/>
  <c r="DF90" i="29"/>
  <c r="DE90" i="29"/>
  <c r="DD90" i="29"/>
  <c r="DC90" i="29"/>
  <c r="DB90" i="29"/>
  <c r="DA90" i="29"/>
  <c r="CZ90" i="29"/>
  <c r="CY90" i="29"/>
  <c r="CX90" i="29"/>
  <c r="CW90" i="29"/>
  <c r="CV90" i="29"/>
  <c r="CU90" i="29"/>
  <c r="CT90" i="29"/>
  <c r="CS90" i="29"/>
  <c r="CR90" i="29"/>
  <c r="CQ90" i="29"/>
  <c r="CP90" i="29"/>
  <c r="CO90" i="29"/>
  <c r="CN90" i="29"/>
  <c r="CM90" i="29"/>
  <c r="CL90" i="29"/>
  <c r="CK90" i="29"/>
  <c r="CJ90" i="29"/>
  <c r="CI90" i="29"/>
  <c r="CH90" i="29"/>
  <c r="CG90" i="29"/>
  <c r="CF90" i="29"/>
  <c r="CE90" i="29"/>
  <c r="CD90" i="29"/>
  <c r="CC90" i="29"/>
  <c r="CB90" i="29"/>
  <c r="CA90" i="29"/>
  <c r="BZ90" i="29"/>
  <c r="BY90" i="29"/>
  <c r="BX90" i="29"/>
  <c r="BW90" i="29"/>
  <c r="BV90" i="29"/>
  <c r="BU90" i="29"/>
  <c r="BT90" i="29"/>
  <c r="BS90" i="29"/>
  <c r="BR90" i="29"/>
  <c r="BQ90" i="29"/>
  <c r="BP90" i="29"/>
  <c r="BO90" i="29"/>
  <c r="BN90" i="29"/>
  <c r="BM90" i="29"/>
  <c r="BL90" i="29"/>
  <c r="BK90" i="29"/>
  <c r="BJ90" i="29"/>
  <c r="BI90" i="29"/>
  <c r="BH90" i="29"/>
  <c r="BG90" i="29"/>
  <c r="BF90" i="29"/>
  <c r="BE90" i="29"/>
  <c r="BD90" i="29"/>
  <c r="BC90" i="29"/>
  <c r="BB90" i="29"/>
  <c r="BA90" i="29"/>
  <c r="AZ90" i="29"/>
  <c r="AY90" i="29"/>
  <c r="AX90" i="29"/>
  <c r="AW90" i="29"/>
  <c r="AV90" i="29"/>
  <c r="AU90" i="29"/>
  <c r="AT90" i="29"/>
  <c r="AS90" i="29"/>
  <c r="AR90" i="29"/>
  <c r="AQ90" i="29"/>
  <c r="AP90" i="29"/>
  <c r="AO90" i="29"/>
  <c r="AN90" i="29"/>
  <c r="AM90" i="29"/>
  <c r="AL90" i="29"/>
  <c r="AK90" i="29"/>
  <c r="AJ90" i="29"/>
  <c r="AI90" i="29"/>
  <c r="AH90" i="29"/>
  <c r="AG90" i="29"/>
  <c r="AF90" i="29"/>
  <c r="AE90" i="29"/>
  <c r="AD90" i="29"/>
  <c r="AC90" i="29"/>
  <c r="AB90" i="29"/>
  <c r="AA90" i="29"/>
  <c r="Z90" i="29"/>
  <c r="Y90" i="29"/>
  <c r="X90" i="29"/>
  <c r="W90" i="29"/>
  <c r="V90" i="29"/>
  <c r="U90" i="29"/>
  <c r="T90" i="29"/>
  <c r="S90" i="29"/>
  <c r="R90" i="29"/>
  <c r="Q90" i="29"/>
  <c r="P90" i="29"/>
  <c r="O90" i="29"/>
  <c r="N90" i="29"/>
  <c r="M90" i="29"/>
  <c r="L90" i="29"/>
  <c r="K90" i="29"/>
  <c r="J90" i="29"/>
  <c r="I90" i="29"/>
  <c r="H90" i="29"/>
  <c r="G90" i="29"/>
  <c r="F90" i="29"/>
  <c r="E90" i="29"/>
  <c r="D90" i="29"/>
  <c r="C90" i="29"/>
  <c r="B90" i="29"/>
  <c r="EY89" i="29"/>
  <c r="EX89" i="29"/>
  <c r="EW89" i="29"/>
  <c r="EV89" i="29"/>
  <c r="EU89" i="29"/>
  <c r="ET89" i="29"/>
  <c r="ES89" i="29"/>
  <c r="ER89" i="29"/>
  <c r="EQ89" i="29"/>
  <c r="EP89" i="29"/>
  <c r="EO89" i="29"/>
  <c r="EN89" i="29"/>
  <c r="EM89" i="29"/>
  <c r="EL89" i="29"/>
  <c r="EK89" i="29"/>
  <c r="EJ89" i="29"/>
  <c r="EI89" i="29"/>
  <c r="EH89" i="29"/>
  <c r="EG89" i="29"/>
  <c r="EF89" i="29"/>
  <c r="EE89" i="29"/>
  <c r="ED89" i="29"/>
  <c r="EC89" i="29"/>
  <c r="EB89" i="29"/>
  <c r="EA89" i="29"/>
  <c r="DZ89" i="29"/>
  <c r="DY89" i="29"/>
  <c r="DX89" i="29"/>
  <c r="DW89" i="29"/>
  <c r="DV89" i="29"/>
  <c r="DU89" i="29"/>
  <c r="DT89" i="29"/>
  <c r="DS89" i="29"/>
  <c r="DR89" i="29"/>
  <c r="DQ89" i="29"/>
  <c r="DP89" i="29"/>
  <c r="DO89" i="29"/>
  <c r="DN89" i="29"/>
  <c r="DM89" i="29"/>
  <c r="DL89" i="29"/>
  <c r="DK89" i="29"/>
  <c r="DJ89" i="29"/>
  <c r="DI89" i="29"/>
  <c r="DH89" i="29"/>
  <c r="DG89" i="29"/>
  <c r="DF89" i="29"/>
  <c r="DE89" i="29"/>
  <c r="DD89" i="29"/>
  <c r="DC89" i="29"/>
  <c r="DB89" i="29"/>
  <c r="DA89" i="29"/>
  <c r="CZ89" i="29"/>
  <c r="CY89" i="29"/>
  <c r="CX89" i="29"/>
  <c r="CW89" i="29"/>
  <c r="CV89" i="29"/>
  <c r="CU89" i="29"/>
  <c r="CT89" i="29"/>
  <c r="CS89" i="29"/>
  <c r="CR89" i="29"/>
  <c r="CQ89" i="29"/>
  <c r="CP89" i="29"/>
  <c r="CO89" i="29"/>
  <c r="CN89" i="29"/>
  <c r="CM89" i="29"/>
  <c r="CL89" i="29"/>
  <c r="CK89" i="29"/>
  <c r="CJ89" i="29"/>
  <c r="CI89" i="29"/>
  <c r="CH89" i="29"/>
  <c r="CG89" i="29"/>
  <c r="CF89" i="29"/>
  <c r="CE89" i="29"/>
  <c r="CD89" i="29"/>
  <c r="CC89" i="29"/>
  <c r="CB89" i="29"/>
  <c r="CA89" i="29"/>
  <c r="BZ89" i="29"/>
  <c r="BY89" i="29"/>
  <c r="BX89" i="29"/>
  <c r="BW89" i="29"/>
  <c r="BV89" i="29"/>
  <c r="BU89" i="29"/>
  <c r="BT89" i="29"/>
  <c r="BS89" i="29"/>
  <c r="BR89" i="29"/>
  <c r="BQ89" i="29"/>
  <c r="BP89" i="29"/>
  <c r="BO89" i="29"/>
  <c r="BN89" i="29"/>
  <c r="BM89" i="29"/>
  <c r="BL89" i="29"/>
  <c r="BK89" i="29"/>
  <c r="BJ89" i="29"/>
  <c r="BI89" i="29"/>
  <c r="BH89" i="29"/>
  <c r="BG89" i="29"/>
  <c r="BF89" i="29"/>
  <c r="BE89" i="29"/>
  <c r="BD89" i="29"/>
  <c r="BC89" i="29"/>
  <c r="BB89" i="29"/>
  <c r="BA89" i="29"/>
  <c r="AZ89" i="29"/>
  <c r="AY89" i="29"/>
  <c r="AX89" i="29"/>
  <c r="AW89" i="29"/>
  <c r="AV89" i="29"/>
  <c r="AU89" i="29"/>
  <c r="AT89" i="29"/>
  <c r="AS89" i="29"/>
  <c r="AR89" i="29"/>
  <c r="AQ89" i="29"/>
  <c r="AP89" i="29"/>
  <c r="AO89" i="29"/>
  <c r="AN89" i="29"/>
  <c r="AM89" i="29"/>
  <c r="AL89" i="29"/>
  <c r="AK89" i="29"/>
  <c r="AJ89" i="29"/>
  <c r="AI89" i="29"/>
  <c r="AH89" i="29"/>
  <c r="AG89" i="29"/>
  <c r="AF89" i="29"/>
  <c r="AE89" i="29"/>
  <c r="AD89" i="29"/>
  <c r="AC89" i="29"/>
  <c r="AB89" i="29"/>
  <c r="AA89" i="29"/>
  <c r="Z89" i="29"/>
  <c r="Y89" i="29"/>
  <c r="X89" i="29"/>
  <c r="W89" i="29"/>
  <c r="V89" i="29"/>
  <c r="U89" i="29"/>
  <c r="T89" i="29"/>
  <c r="S89" i="29"/>
  <c r="R89" i="29"/>
  <c r="Q89" i="29"/>
  <c r="P89" i="29"/>
  <c r="O89" i="29"/>
  <c r="N89" i="29"/>
  <c r="M89" i="29"/>
  <c r="L89" i="29"/>
  <c r="K89" i="29"/>
  <c r="J89" i="29"/>
  <c r="I89" i="29"/>
  <c r="H89" i="29"/>
  <c r="G89" i="29"/>
  <c r="F89" i="29"/>
  <c r="E89" i="29"/>
  <c r="D89" i="29"/>
  <c r="C89" i="29"/>
  <c r="B89" i="29"/>
  <c r="EY88" i="29"/>
  <c r="EX88" i="29"/>
  <c r="EW88" i="29"/>
  <c r="EV88" i="29"/>
  <c r="EU88" i="29"/>
  <c r="ET88" i="29"/>
  <c r="ES88" i="29"/>
  <c r="ER88" i="29"/>
  <c r="EQ88" i="29"/>
  <c r="EP88" i="29"/>
  <c r="EO88" i="29"/>
  <c r="EN88" i="29"/>
  <c r="EM88" i="29"/>
  <c r="EL88" i="29"/>
  <c r="EK88" i="29"/>
  <c r="EJ88" i="29"/>
  <c r="EI88" i="29"/>
  <c r="EH88" i="29"/>
  <c r="EG88" i="29"/>
  <c r="EF88" i="29"/>
  <c r="EE88" i="29"/>
  <c r="ED88" i="29"/>
  <c r="EC88" i="29"/>
  <c r="EB88" i="29"/>
  <c r="EA88" i="29"/>
  <c r="DZ88" i="29"/>
  <c r="DY88" i="29"/>
  <c r="DX88" i="29"/>
  <c r="DW88" i="29"/>
  <c r="DV88" i="29"/>
  <c r="DU88" i="29"/>
  <c r="DT88" i="29"/>
  <c r="DS88" i="29"/>
  <c r="DR88" i="29"/>
  <c r="DQ88" i="29"/>
  <c r="DP88" i="29"/>
  <c r="DO88" i="29"/>
  <c r="DN88" i="29"/>
  <c r="DM88" i="29"/>
  <c r="DL88" i="29"/>
  <c r="DK88" i="29"/>
  <c r="DJ88" i="29"/>
  <c r="DI88" i="29"/>
  <c r="DH88" i="29"/>
  <c r="DG88" i="29"/>
  <c r="DF88" i="29"/>
  <c r="DE88" i="29"/>
  <c r="DD88" i="29"/>
  <c r="DC88" i="29"/>
  <c r="DB88" i="29"/>
  <c r="DA88" i="29"/>
  <c r="CZ88" i="29"/>
  <c r="CY88" i="29"/>
  <c r="CX88" i="29"/>
  <c r="CW88" i="29"/>
  <c r="CV88" i="29"/>
  <c r="CU88" i="29"/>
  <c r="CT88" i="29"/>
  <c r="CS88" i="29"/>
  <c r="CR88" i="29"/>
  <c r="CQ88" i="29"/>
  <c r="CP88" i="29"/>
  <c r="CO88" i="29"/>
  <c r="CN88" i="29"/>
  <c r="CM88" i="29"/>
  <c r="CL88" i="29"/>
  <c r="CK88" i="29"/>
  <c r="CJ88" i="29"/>
  <c r="CI88" i="29"/>
  <c r="CH88" i="29"/>
  <c r="CG88" i="29"/>
  <c r="CF88" i="29"/>
  <c r="CE88" i="29"/>
  <c r="CD88" i="29"/>
  <c r="CC88" i="29"/>
  <c r="CB88" i="29"/>
  <c r="CA88" i="29"/>
  <c r="BZ88" i="29"/>
  <c r="BY88" i="29"/>
  <c r="BX88" i="29"/>
  <c r="BW88" i="29"/>
  <c r="BV88" i="29"/>
  <c r="BU88" i="29"/>
  <c r="BT88" i="29"/>
  <c r="BS88" i="29"/>
  <c r="BR88" i="29"/>
  <c r="BQ88" i="29"/>
  <c r="BP88" i="29"/>
  <c r="BO88" i="29"/>
  <c r="BN88" i="29"/>
  <c r="BM88" i="29"/>
  <c r="BL88" i="29"/>
  <c r="BK88" i="29"/>
  <c r="BJ88" i="29"/>
  <c r="BI88" i="29"/>
  <c r="BH88" i="29"/>
  <c r="BG88" i="29"/>
  <c r="BF88" i="29"/>
  <c r="BE88" i="29"/>
  <c r="BD88" i="29"/>
  <c r="BC88" i="29"/>
  <c r="BB88" i="29"/>
  <c r="BA88" i="29"/>
  <c r="AZ88" i="29"/>
  <c r="AY88" i="29"/>
  <c r="AX88" i="29"/>
  <c r="AW88" i="29"/>
  <c r="AV88" i="29"/>
  <c r="AU88" i="29"/>
  <c r="AT88" i="29"/>
  <c r="AS88" i="29"/>
  <c r="AR88" i="29"/>
  <c r="AQ88" i="29"/>
  <c r="AP88" i="29"/>
  <c r="AO88" i="29"/>
  <c r="AN88" i="29"/>
  <c r="AM88" i="29"/>
  <c r="AL88" i="29"/>
  <c r="AK88" i="29"/>
  <c r="AJ88" i="29"/>
  <c r="AI88" i="29"/>
  <c r="AH88" i="29"/>
  <c r="AG88" i="29"/>
  <c r="AF88" i="29"/>
  <c r="AE88" i="29"/>
  <c r="AD88" i="29"/>
  <c r="AC88" i="29"/>
  <c r="AB88" i="29"/>
  <c r="AA88" i="29"/>
  <c r="Z88" i="29"/>
  <c r="Y88" i="29"/>
  <c r="X88" i="29"/>
  <c r="W88" i="29"/>
  <c r="V88" i="29"/>
  <c r="U88" i="29"/>
  <c r="T88" i="29"/>
  <c r="S88" i="29"/>
  <c r="R88" i="29"/>
  <c r="Q88" i="29"/>
  <c r="P88" i="29"/>
  <c r="O88" i="29"/>
  <c r="N88" i="29"/>
  <c r="M88" i="29"/>
  <c r="L88" i="29"/>
  <c r="K88" i="29"/>
  <c r="J88" i="29"/>
  <c r="I88" i="29"/>
  <c r="H88" i="29"/>
  <c r="G88" i="29"/>
  <c r="F88" i="29"/>
  <c r="E88" i="29"/>
  <c r="D88" i="29"/>
  <c r="C88" i="29"/>
  <c r="B88" i="29"/>
  <c r="EY87" i="29"/>
  <c r="EX87" i="29"/>
  <c r="EW87" i="29"/>
  <c r="EV87" i="29"/>
  <c r="EU87" i="29"/>
  <c r="ET87" i="29"/>
  <c r="ES87" i="29"/>
  <c r="ER87" i="29"/>
  <c r="EQ87" i="29"/>
  <c r="EP87" i="29"/>
  <c r="EO87" i="29"/>
  <c r="EN87" i="29"/>
  <c r="EM87" i="29"/>
  <c r="EL87" i="29"/>
  <c r="EK87" i="29"/>
  <c r="EJ87" i="29"/>
  <c r="EI87" i="29"/>
  <c r="EH87" i="29"/>
  <c r="EG87" i="29"/>
  <c r="EF87" i="29"/>
  <c r="EE87" i="29"/>
  <c r="ED87" i="29"/>
  <c r="EC87" i="29"/>
  <c r="EB87" i="29"/>
  <c r="EA87" i="29"/>
  <c r="DZ87" i="29"/>
  <c r="DY87" i="29"/>
  <c r="DX87" i="29"/>
  <c r="DW87" i="29"/>
  <c r="DV87" i="29"/>
  <c r="DU87" i="29"/>
  <c r="DT87" i="29"/>
  <c r="DS87" i="29"/>
  <c r="DR87" i="29"/>
  <c r="DQ87" i="29"/>
  <c r="DP87" i="29"/>
  <c r="DO87" i="29"/>
  <c r="DN87" i="29"/>
  <c r="DM87" i="29"/>
  <c r="DL87" i="29"/>
  <c r="DK87" i="29"/>
  <c r="DJ87" i="29"/>
  <c r="DI87" i="29"/>
  <c r="DH87" i="29"/>
  <c r="DG87" i="29"/>
  <c r="DF87" i="29"/>
  <c r="DE87" i="29"/>
  <c r="DD87" i="29"/>
  <c r="DC87" i="29"/>
  <c r="DB87" i="29"/>
  <c r="DA87" i="29"/>
  <c r="CZ87" i="29"/>
  <c r="CY87" i="29"/>
  <c r="CX87" i="29"/>
  <c r="CW87" i="29"/>
  <c r="CV87" i="29"/>
  <c r="CU87" i="29"/>
  <c r="CT87" i="29"/>
  <c r="CS87" i="29"/>
  <c r="CR87" i="29"/>
  <c r="CQ87" i="29"/>
  <c r="CP87" i="29"/>
  <c r="CO87" i="29"/>
  <c r="CN87" i="29"/>
  <c r="CM87" i="29"/>
  <c r="CL87" i="29"/>
  <c r="CK87" i="29"/>
  <c r="CJ87" i="29"/>
  <c r="CI87" i="29"/>
  <c r="CH87" i="29"/>
  <c r="CG87" i="29"/>
  <c r="CF87" i="29"/>
  <c r="CE87" i="29"/>
  <c r="CD87" i="29"/>
  <c r="CC87" i="29"/>
  <c r="CB87" i="29"/>
  <c r="CA87" i="29"/>
  <c r="BZ87" i="29"/>
  <c r="BY87" i="29"/>
  <c r="BX87" i="29"/>
  <c r="BW87" i="29"/>
  <c r="BV87" i="29"/>
  <c r="BU87" i="29"/>
  <c r="BT87" i="29"/>
  <c r="BS87" i="29"/>
  <c r="BR87" i="29"/>
  <c r="BQ87" i="29"/>
  <c r="BP87" i="29"/>
  <c r="BO87" i="29"/>
  <c r="BN87" i="29"/>
  <c r="BM87" i="29"/>
  <c r="BL87" i="29"/>
  <c r="BK87" i="29"/>
  <c r="BJ87" i="29"/>
  <c r="BI87" i="29"/>
  <c r="BH87" i="29"/>
  <c r="BG87" i="29"/>
  <c r="BF87" i="29"/>
  <c r="BE87" i="29"/>
  <c r="BD87" i="29"/>
  <c r="BC87" i="29"/>
  <c r="BB87" i="29"/>
  <c r="BA87" i="29"/>
  <c r="AZ87" i="29"/>
  <c r="AY87" i="29"/>
  <c r="AX87" i="29"/>
  <c r="AW87" i="29"/>
  <c r="AV87" i="29"/>
  <c r="AU87" i="29"/>
  <c r="AT87" i="29"/>
  <c r="AS87" i="29"/>
  <c r="AR87" i="29"/>
  <c r="AQ87" i="29"/>
  <c r="AP87" i="29"/>
  <c r="AO87" i="29"/>
  <c r="AN87" i="29"/>
  <c r="AM87" i="29"/>
  <c r="AL87" i="29"/>
  <c r="AK87" i="29"/>
  <c r="AJ87" i="29"/>
  <c r="AI87" i="29"/>
  <c r="AH87" i="29"/>
  <c r="AG87" i="29"/>
  <c r="AF87" i="29"/>
  <c r="AE87" i="29"/>
  <c r="AD87" i="29"/>
  <c r="AC87" i="29"/>
  <c r="AB87" i="29"/>
  <c r="AA87" i="29"/>
  <c r="Z87" i="29"/>
  <c r="Y87" i="29"/>
  <c r="X87" i="29"/>
  <c r="W87" i="29"/>
  <c r="V87" i="29"/>
  <c r="U87" i="29"/>
  <c r="T87" i="29"/>
  <c r="S87" i="29"/>
  <c r="R87" i="29"/>
  <c r="Q87" i="29"/>
  <c r="P87" i="29"/>
  <c r="O87" i="29"/>
  <c r="N87" i="29"/>
  <c r="M87" i="29"/>
  <c r="L87" i="29"/>
  <c r="K87" i="29"/>
  <c r="J87" i="29"/>
  <c r="I87" i="29"/>
  <c r="H87" i="29"/>
  <c r="G87" i="29"/>
  <c r="F87" i="29"/>
  <c r="E87" i="29"/>
  <c r="D87" i="29"/>
  <c r="C87" i="29"/>
  <c r="B87" i="29"/>
  <c r="EY86" i="29"/>
  <c r="EX86" i="29"/>
  <c r="EW86" i="29"/>
  <c r="EV86" i="29"/>
  <c r="EU86" i="29"/>
  <c r="ET86" i="29"/>
  <c r="ES86" i="29"/>
  <c r="ER86" i="29"/>
  <c r="EQ86" i="29"/>
  <c r="EP86" i="29"/>
  <c r="EO86" i="29"/>
  <c r="EN86" i="29"/>
  <c r="EM86" i="29"/>
  <c r="EL86" i="29"/>
  <c r="EK86" i="29"/>
  <c r="EJ86" i="29"/>
  <c r="EI86" i="29"/>
  <c r="EH86" i="29"/>
  <c r="EG86" i="29"/>
  <c r="EF86" i="29"/>
  <c r="EE86" i="29"/>
  <c r="ED86" i="29"/>
  <c r="EC86" i="29"/>
  <c r="EB86" i="29"/>
  <c r="EA86" i="29"/>
  <c r="DZ86" i="29"/>
  <c r="DY86" i="29"/>
  <c r="DX86" i="29"/>
  <c r="DW86" i="29"/>
  <c r="DV86" i="29"/>
  <c r="DU86" i="29"/>
  <c r="DT86" i="29"/>
  <c r="DS86" i="29"/>
  <c r="DR86" i="29"/>
  <c r="DQ86" i="29"/>
  <c r="DP86" i="29"/>
  <c r="DO86" i="29"/>
  <c r="DN86" i="29"/>
  <c r="DM86" i="29"/>
  <c r="DL86" i="29"/>
  <c r="DK86" i="29"/>
  <c r="DJ86" i="29"/>
  <c r="DI86" i="29"/>
  <c r="DH86" i="29"/>
  <c r="DG86" i="29"/>
  <c r="DF86" i="29"/>
  <c r="DE86" i="29"/>
  <c r="DD86" i="29"/>
  <c r="DC86" i="29"/>
  <c r="DB86" i="29"/>
  <c r="DA86" i="29"/>
  <c r="CZ86" i="29"/>
  <c r="CY86" i="29"/>
  <c r="CX86" i="29"/>
  <c r="CW86" i="29"/>
  <c r="CV86" i="29"/>
  <c r="CU86" i="29"/>
  <c r="CT86" i="29"/>
  <c r="CS86" i="29"/>
  <c r="CR86" i="29"/>
  <c r="CQ86" i="29"/>
  <c r="CP86" i="29"/>
  <c r="CO86" i="29"/>
  <c r="CN86" i="29"/>
  <c r="CM86" i="29"/>
  <c r="CL86" i="29"/>
  <c r="CK86" i="29"/>
  <c r="CJ86" i="29"/>
  <c r="CI86" i="29"/>
  <c r="CH86" i="29"/>
  <c r="CG86" i="29"/>
  <c r="CF86" i="29"/>
  <c r="CE86" i="29"/>
  <c r="CD86" i="29"/>
  <c r="CC86" i="29"/>
  <c r="CB86" i="29"/>
  <c r="CA86" i="29"/>
  <c r="BZ86" i="29"/>
  <c r="BY86" i="29"/>
  <c r="BX86" i="29"/>
  <c r="BW86" i="29"/>
  <c r="BV86" i="29"/>
  <c r="BU86" i="29"/>
  <c r="BT86" i="29"/>
  <c r="BS86" i="29"/>
  <c r="BR86" i="29"/>
  <c r="BQ86" i="29"/>
  <c r="BP86" i="29"/>
  <c r="BO86" i="29"/>
  <c r="BN86" i="29"/>
  <c r="BM86" i="29"/>
  <c r="BL86" i="29"/>
  <c r="BK86" i="29"/>
  <c r="BJ86" i="29"/>
  <c r="BI86" i="29"/>
  <c r="BH86" i="29"/>
  <c r="BG86" i="29"/>
  <c r="BF86" i="29"/>
  <c r="BE86" i="29"/>
  <c r="BD86" i="29"/>
  <c r="BC86" i="29"/>
  <c r="BB86" i="29"/>
  <c r="BA86" i="29"/>
  <c r="AZ86" i="29"/>
  <c r="AY86" i="29"/>
  <c r="AX86" i="29"/>
  <c r="AW86" i="29"/>
  <c r="AV86" i="29"/>
  <c r="AU86" i="29"/>
  <c r="AT86" i="29"/>
  <c r="AS86" i="29"/>
  <c r="AR86" i="29"/>
  <c r="AQ86" i="29"/>
  <c r="AP86" i="29"/>
  <c r="AO86" i="29"/>
  <c r="AN86" i="29"/>
  <c r="AM86" i="29"/>
  <c r="AL86" i="29"/>
  <c r="AK86" i="29"/>
  <c r="AJ86" i="29"/>
  <c r="AI86" i="29"/>
  <c r="AH86" i="29"/>
  <c r="AG86" i="29"/>
  <c r="AF86" i="29"/>
  <c r="AE86" i="29"/>
  <c r="AD86" i="29"/>
  <c r="AC86" i="29"/>
  <c r="AB86" i="29"/>
  <c r="AA86" i="29"/>
  <c r="F86" i="29"/>
  <c r="E86" i="29"/>
  <c r="D86" i="29"/>
  <c r="C86" i="29"/>
  <c r="B86" i="29"/>
  <c r="EY85" i="29"/>
  <c r="EX85" i="29"/>
  <c r="EW85" i="29"/>
  <c r="EV85" i="29"/>
  <c r="EU85" i="29"/>
  <c r="ET85" i="29"/>
  <c r="ES85" i="29"/>
  <c r="ER85" i="29"/>
  <c r="EQ85" i="29"/>
  <c r="EP85" i="29"/>
  <c r="EO85" i="29"/>
  <c r="EN85" i="29"/>
  <c r="EM85" i="29"/>
  <c r="EL85" i="29"/>
  <c r="EK85" i="29"/>
  <c r="EJ85" i="29"/>
  <c r="EI85" i="29"/>
  <c r="EH85" i="29"/>
  <c r="EG85" i="29"/>
  <c r="EF85" i="29"/>
  <c r="EE85" i="29"/>
  <c r="ED85" i="29"/>
  <c r="EC85" i="29"/>
  <c r="EB85" i="29"/>
  <c r="EA85" i="29"/>
  <c r="DZ85" i="29"/>
  <c r="DY85" i="29"/>
  <c r="DX85" i="29"/>
  <c r="DW85" i="29"/>
  <c r="DV85" i="29"/>
  <c r="DU85" i="29"/>
  <c r="DT85" i="29"/>
  <c r="DS85" i="29"/>
  <c r="DR85" i="29"/>
  <c r="DQ85" i="29"/>
  <c r="DP85" i="29"/>
  <c r="DO85" i="29"/>
  <c r="DN85" i="29"/>
  <c r="DM85" i="29"/>
  <c r="DL85" i="29"/>
  <c r="DK85" i="29"/>
  <c r="DJ85" i="29"/>
  <c r="DI85" i="29"/>
  <c r="DH85" i="29"/>
  <c r="DG85" i="29"/>
  <c r="DF85" i="29"/>
  <c r="DE85" i="29"/>
  <c r="DD85" i="29"/>
  <c r="DC85" i="29"/>
  <c r="DB85" i="29"/>
  <c r="DA85" i="29"/>
  <c r="CZ85" i="29"/>
  <c r="CY85" i="29"/>
  <c r="CX85" i="29"/>
  <c r="CW85" i="29"/>
  <c r="CV85" i="29"/>
  <c r="CU85" i="29"/>
  <c r="CT85" i="29"/>
  <c r="CS85" i="29"/>
  <c r="CR85" i="29"/>
  <c r="CQ85" i="29"/>
  <c r="CP85" i="29"/>
  <c r="CO85" i="29"/>
  <c r="CN85" i="29"/>
  <c r="CM85" i="29"/>
  <c r="CL85" i="29"/>
  <c r="CK85" i="29"/>
  <c r="CJ85" i="29"/>
  <c r="CI85" i="29"/>
  <c r="CH85" i="29"/>
  <c r="CG85" i="29"/>
  <c r="CF85" i="29"/>
  <c r="CE85" i="29"/>
  <c r="CD85" i="29"/>
  <c r="CC85" i="29"/>
  <c r="CB85" i="29"/>
  <c r="CA85" i="29"/>
  <c r="BZ85" i="29"/>
  <c r="BY85" i="29"/>
  <c r="BX85" i="29"/>
  <c r="BW85" i="29"/>
  <c r="BV85" i="29"/>
  <c r="BU85" i="29"/>
  <c r="BT85" i="29"/>
  <c r="BS85" i="29"/>
  <c r="BR85" i="29"/>
  <c r="BQ85" i="29"/>
  <c r="BP85" i="29"/>
  <c r="BO85" i="29"/>
  <c r="BN85" i="29"/>
  <c r="BM85" i="29"/>
  <c r="BL85" i="29"/>
  <c r="BK85" i="29"/>
  <c r="BJ85" i="29"/>
  <c r="BI85" i="29"/>
  <c r="BH85" i="29"/>
  <c r="BG85" i="29"/>
  <c r="BF85" i="29"/>
  <c r="BE85" i="29"/>
  <c r="BD85" i="29"/>
  <c r="BC85" i="29"/>
  <c r="BB85" i="29"/>
  <c r="BA85" i="29"/>
  <c r="AZ85" i="29"/>
  <c r="AY85" i="29"/>
  <c r="AX85" i="29"/>
  <c r="AW85" i="29"/>
  <c r="AV85" i="29"/>
  <c r="AU85" i="29"/>
  <c r="AT85" i="29"/>
  <c r="AS85" i="29"/>
  <c r="AR85" i="29"/>
  <c r="AQ85" i="29"/>
  <c r="AP85" i="29"/>
  <c r="AO85" i="29"/>
  <c r="AN85" i="29"/>
  <c r="AM85" i="29"/>
  <c r="AL85" i="29"/>
  <c r="AK85" i="29"/>
  <c r="AJ85" i="29"/>
  <c r="AI85" i="29"/>
  <c r="AH85" i="29"/>
  <c r="AG85" i="29"/>
  <c r="AF85" i="29"/>
  <c r="AE85" i="29"/>
  <c r="AD85" i="29"/>
  <c r="AC85" i="29"/>
  <c r="AB85" i="29"/>
  <c r="AA85" i="29"/>
  <c r="F85" i="29"/>
  <c r="E85" i="29"/>
  <c r="D85" i="29"/>
  <c r="C85" i="29"/>
  <c r="B85" i="29"/>
  <c r="EY84" i="29"/>
  <c r="EX84" i="29"/>
  <c r="EW84" i="29"/>
  <c r="EV84" i="29"/>
  <c r="EU84" i="29"/>
  <c r="ET84" i="29"/>
  <c r="ES84" i="29"/>
  <c r="ER84" i="29"/>
  <c r="EQ84" i="29"/>
  <c r="EP84" i="29"/>
  <c r="EO84" i="29"/>
  <c r="EN84" i="29"/>
  <c r="EM84" i="29"/>
  <c r="EL84" i="29"/>
  <c r="EK84" i="29"/>
  <c r="EJ84" i="29"/>
  <c r="EI84" i="29"/>
  <c r="EH84" i="29"/>
  <c r="EG84" i="29"/>
  <c r="EF84" i="29"/>
  <c r="EE84" i="29"/>
  <c r="ED84" i="29"/>
  <c r="EC84" i="29"/>
  <c r="EB84" i="29"/>
  <c r="EA84" i="29"/>
  <c r="DZ84" i="29"/>
  <c r="DY84" i="29"/>
  <c r="DX84" i="29"/>
  <c r="DW84" i="29"/>
  <c r="DV84" i="29"/>
  <c r="DU84" i="29"/>
  <c r="DT84" i="29"/>
  <c r="DS84" i="29"/>
  <c r="DR84" i="29"/>
  <c r="DQ84" i="29"/>
  <c r="DP84" i="29"/>
  <c r="DO84" i="29"/>
  <c r="DN84" i="29"/>
  <c r="DM84" i="29"/>
  <c r="DL84" i="29"/>
  <c r="DK84" i="29"/>
  <c r="DJ84" i="29"/>
  <c r="DI84" i="29"/>
  <c r="DH84" i="29"/>
  <c r="DG84" i="29"/>
  <c r="DF84" i="29"/>
  <c r="DE84" i="29"/>
  <c r="DD84" i="29"/>
  <c r="DC84" i="29"/>
  <c r="DB84" i="29"/>
  <c r="DA84" i="29"/>
  <c r="CZ84" i="29"/>
  <c r="CY84" i="29"/>
  <c r="CX84" i="29"/>
  <c r="CW84" i="29"/>
  <c r="CV84" i="29"/>
  <c r="CU84" i="29"/>
  <c r="CT84" i="29"/>
  <c r="CS84" i="29"/>
  <c r="CR84" i="29"/>
  <c r="CQ84" i="29"/>
  <c r="CP84" i="29"/>
  <c r="CO84" i="29"/>
  <c r="CN84" i="29"/>
  <c r="CM84" i="29"/>
  <c r="CL84" i="29"/>
  <c r="CK84" i="29"/>
  <c r="CJ84" i="29"/>
  <c r="CI84" i="29"/>
  <c r="CH84" i="29"/>
  <c r="CG84" i="29"/>
  <c r="CF84" i="29"/>
  <c r="CE84" i="29"/>
  <c r="CD84" i="29"/>
  <c r="CC84" i="29"/>
  <c r="CB84" i="29"/>
  <c r="CA84" i="29"/>
  <c r="BZ84" i="29"/>
  <c r="BY84" i="29"/>
  <c r="BX84" i="29"/>
  <c r="BW84" i="29"/>
  <c r="BV84" i="29"/>
  <c r="BU84" i="29"/>
  <c r="BT84" i="29"/>
  <c r="BS84" i="29"/>
  <c r="BR84" i="29"/>
  <c r="BQ84" i="29"/>
  <c r="BP84" i="29"/>
  <c r="BO84" i="29"/>
  <c r="BN84" i="29"/>
  <c r="BM84" i="29"/>
  <c r="BL84" i="29"/>
  <c r="BK84" i="29"/>
  <c r="BJ84" i="29"/>
  <c r="BI84" i="29"/>
  <c r="BH84" i="29"/>
  <c r="BG84" i="29"/>
  <c r="BF84" i="29"/>
  <c r="BE84" i="29"/>
  <c r="BD84" i="29"/>
  <c r="BC84" i="29"/>
  <c r="BB84" i="29"/>
  <c r="BA84" i="29"/>
  <c r="AZ84" i="29"/>
  <c r="AY84" i="29"/>
  <c r="AX84" i="29"/>
  <c r="AW84" i="29"/>
  <c r="AV84" i="29"/>
  <c r="AU84" i="29"/>
  <c r="AT84" i="29"/>
  <c r="AS84" i="29"/>
  <c r="AR84" i="29"/>
  <c r="AQ84" i="29"/>
  <c r="AP84" i="29"/>
  <c r="AO84" i="29"/>
  <c r="AN84" i="29"/>
  <c r="AM84" i="29"/>
  <c r="AL84" i="29"/>
  <c r="AK84" i="29"/>
  <c r="AJ84" i="29"/>
  <c r="AI84" i="29"/>
  <c r="AH84" i="29"/>
  <c r="AG84" i="29"/>
  <c r="AF84" i="29"/>
  <c r="AE84" i="29"/>
  <c r="AD84" i="29"/>
  <c r="AC84" i="29"/>
  <c r="AB84" i="29"/>
  <c r="AA84" i="29"/>
  <c r="F84" i="29"/>
  <c r="E84" i="29"/>
  <c r="D84" i="29"/>
  <c r="C84" i="29"/>
  <c r="B84" i="29"/>
  <c r="EY83" i="29"/>
  <c r="EX83" i="29"/>
  <c r="EW83" i="29"/>
  <c r="EV83" i="29"/>
  <c r="EU83" i="29"/>
  <c r="ET83" i="29"/>
  <c r="ES83" i="29"/>
  <c r="ER83" i="29"/>
  <c r="EQ83" i="29"/>
  <c r="EP83" i="29"/>
  <c r="EO83" i="29"/>
  <c r="EN83" i="29"/>
  <c r="EM83" i="29"/>
  <c r="EL83" i="29"/>
  <c r="EK83" i="29"/>
  <c r="EJ83" i="29"/>
  <c r="EI83" i="29"/>
  <c r="EH83" i="29"/>
  <c r="EG83" i="29"/>
  <c r="EF83" i="29"/>
  <c r="EE83" i="29"/>
  <c r="ED83" i="29"/>
  <c r="EC83" i="29"/>
  <c r="EB83" i="29"/>
  <c r="EA83" i="29"/>
  <c r="DZ83" i="29"/>
  <c r="DY83" i="29"/>
  <c r="DX83" i="29"/>
  <c r="DW83" i="29"/>
  <c r="DV83" i="29"/>
  <c r="DU83" i="29"/>
  <c r="DT83" i="29"/>
  <c r="DS83" i="29"/>
  <c r="DR83" i="29"/>
  <c r="DQ83" i="29"/>
  <c r="DP83" i="29"/>
  <c r="DO83" i="29"/>
  <c r="DN83" i="29"/>
  <c r="DM83" i="29"/>
  <c r="DL83" i="29"/>
  <c r="DK83" i="29"/>
  <c r="DJ83" i="29"/>
  <c r="DI83" i="29"/>
  <c r="DH83" i="29"/>
  <c r="DG83" i="29"/>
  <c r="DF83" i="29"/>
  <c r="DE83" i="29"/>
  <c r="DD83" i="29"/>
  <c r="DC83" i="29"/>
  <c r="DB83" i="29"/>
  <c r="DA83" i="29"/>
  <c r="CZ83" i="29"/>
  <c r="CY83" i="29"/>
  <c r="CX83" i="29"/>
  <c r="CW83" i="29"/>
  <c r="CV83" i="29"/>
  <c r="CU83" i="29"/>
  <c r="CT83" i="29"/>
  <c r="CS83" i="29"/>
  <c r="CR83" i="29"/>
  <c r="CQ83" i="29"/>
  <c r="CP83" i="29"/>
  <c r="CO83" i="29"/>
  <c r="CN83" i="29"/>
  <c r="CM83" i="29"/>
  <c r="CL83" i="29"/>
  <c r="CK83" i="29"/>
  <c r="CJ83" i="29"/>
  <c r="CI83" i="29"/>
  <c r="CH83" i="29"/>
  <c r="CG83" i="29"/>
  <c r="CF83" i="29"/>
  <c r="CE83" i="29"/>
  <c r="CD83" i="29"/>
  <c r="CC83" i="29"/>
  <c r="CB83" i="29"/>
  <c r="CA83" i="29"/>
  <c r="BZ83" i="29"/>
  <c r="BY83" i="29"/>
  <c r="BX83" i="29"/>
  <c r="BW83" i="29"/>
  <c r="BV83" i="29"/>
  <c r="BU83" i="29"/>
  <c r="BT83" i="29"/>
  <c r="BS83" i="29"/>
  <c r="BR83" i="29"/>
  <c r="BQ83" i="29"/>
  <c r="BP83" i="29"/>
  <c r="BO83" i="29"/>
  <c r="BN83" i="29"/>
  <c r="BM83" i="29"/>
  <c r="BL83" i="29"/>
  <c r="BK83" i="29"/>
  <c r="BJ83" i="29"/>
  <c r="BI83" i="29"/>
  <c r="BH83" i="29"/>
  <c r="BG83" i="29"/>
  <c r="BF83" i="29"/>
  <c r="BE83" i="29"/>
  <c r="BD83" i="29"/>
  <c r="BC83" i="29"/>
  <c r="BB83" i="29"/>
  <c r="BA83" i="29"/>
  <c r="AZ83" i="29"/>
  <c r="AY83" i="29"/>
  <c r="AX83" i="29"/>
  <c r="AW83" i="29"/>
  <c r="AV83" i="29"/>
  <c r="AU83" i="29"/>
  <c r="AT83" i="29"/>
  <c r="AS83" i="29"/>
  <c r="AR83" i="29"/>
  <c r="AQ83" i="29"/>
  <c r="AP83" i="29"/>
  <c r="AO83" i="29"/>
  <c r="AN83" i="29"/>
  <c r="AM83" i="29"/>
  <c r="AL83" i="29"/>
  <c r="AK83" i="29"/>
  <c r="AJ83" i="29"/>
  <c r="AI83" i="29"/>
  <c r="AH83" i="29"/>
  <c r="AG83" i="29"/>
  <c r="AF83" i="29"/>
  <c r="AE83" i="29"/>
  <c r="AD83" i="29"/>
  <c r="AC83" i="29"/>
  <c r="AB83" i="29"/>
  <c r="AA83" i="29"/>
  <c r="F83" i="29"/>
  <c r="E83" i="29"/>
  <c r="D83" i="29"/>
  <c r="C83" i="29"/>
  <c r="B83" i="29"/>
  <c r="EY82" i="29"/>
  <c r="EX82" i="29"/>
  <c r="EW82" i="29"/>
  <c r="EV82" i="29"/>
  <c r="EU82" i="29"/>
  <c r="ET82" i="29"/>
  <c r="ES82" i="29"/>
  <c r="ER82" i="29"/>
  <c r="EQ82" i="29"/>
  <c r="EP82" i="29"/>
  <c r="EO82" i="29"/>
  <c r="EN82" i="29"/>
  <c r="EM82" i="29"/>
  <c r="EL82" i="29"/>
  <c r="EK82" i="29"/>
  <c r="EJ82" i="29"/>
  <c r="EI82" i="29"/>
  <c r="EH82" i="29"/>
  <c r="EG82" i="29"/>
  <c r="EF82" i="29"/>
  <c r="EE82" i="29"/>
  <c r="ED82" i="29"/>
  <c r="EC82" i="29"/>
  <c r="EB82" i="29"/>
  <c r="EA82" i="29"/>
  <c r="DZ82" i="29"/>
  <c r="DY82" i="29"/>
  <c r="DX82" i="29"/>
  <c r="DW82" i="29"/>
  <c r="DV82" i="29"/>
  <c r="DU82" i="29"/>
  <c r="DT82" i="29"/>
  <c r="DS82" i="29"/>
  <c r="DR82" i="29"/>
  <c r="DQ82" i="29"/>
  <c r="DP82" i="29"/>
  <c r="DO82" i="29"/>
  <c r="DN82" i="29"/>
  <c r="DM82" i="29"/>
  <c r="DL82" i="29"/>
  <c r="DK82" i="29"/>
  <c r="DJ82" i="29"/>
  <c r="DI82" i="29"/>
  <c r="DH82" i="29"/>
  <c r="DG82" i="29"/>
  <c r="DF82" i="29"/>
  <c r="DE82" i="29"/>
  <c r="DD82" i="29"/>
  <c r="DC82" i="29"/>
  <c r="DB82" i="29"/>
  <c r="DA82" i="29"/>
  <c r="CZ82" i="29"/>
  <c r="CY82" i="29"/>
  <c r="CX82" i="29"/>
  <c r="CW82" i="29"/>
  <c r="CV82" i="29"/>
  <c r="CU82" i="29"/>
  <c r="CT82" i="29"/>
  <c r="CS82" i="29"/>
  <c r="CR82" i="29"/>
  <c r="CQ82" i="29"/>
  <c r="CP82" i="29"/>
  <c r="CO82" i="29"/>
  <c r="CN82" i="29"/>
  <c r="CM82" i="29"/>
  <c r="CL82" i="29"/>
  <c r="CK82" i="29"/>
  <c r="CJ82" i="29"/>
  <c r="CI82" i="29"/>
  <c r="CH82" i="29"/>
  <c r="CG82" i="29"/>
  <c r="CF82" i="29"/>
  <c r="CE82" i="29"/>
  <c r="CD82" i="29"/>
  <c r="CC82" i="29"/>
  <c r="CB82" i="29"/>
  <c r="CA82" i="29"/>
  <c r="BZ82" i="29"/>
  <c r="BY82" i="29"/>
  <c r="BX82" i="29"/>
  <c r="BW82" i="29"/>
  <c r="BV82" i="29"/>
  <c r="BU82" i="29"/>
  <c r="BT82" i="29"/>
  <c r="BS82" i="29"/>
  <c r="BR82" i="29"/>
  <c r="BQ82" i="29"/>
  <c r="BP82" i="29"/>
  <c r="BO82" i="29"/>
  <c r="BN82" i="29"/>
  <c r="BM82" i="29"/>
  <c r="BL82" i="29"/>
  <c r="BK82" i="29"/>
  <c r="BJ82" i="29"/>
  <c r="BI82" i="29"/>
  <c r="BH82" i="29"/>
  <c r="BG82" i="29"/>
  <c r="BF82" i="29"/>
  <c r="BE82" i="29"/>
  <c r="BD82" i="29"/>
  <c r="BC82" i="29"/>
  <c r="BB82" i="29"/>
  <c r="BA82" i="29"/>
  <c r="AZ82" i="29"/>
  <c r="AY82" i="29"/>
  <c r="AX82" i="29"/>
  <c r="AW82" i="29"/>
  <c r="AV82" i="29"/>
  <c r="AU82" i="29"/>
  <c r="AT82" i="29"/>
  <c r="AS82" i="29"/>
  <c r="AR82" i="29"/>
  <c r="AQ82" i="29"/>
  <c r="AP82" i="29"/>
  <c r="AO82" i="29"/>
  <c r="AN82" i="29"/>
  <c r="AM82" i="29"/>
  <c r="AL82" i="29"/>
  <c r="AK82" i="29"/>
  <c r="AJ82" i="29"/>
  <c r="AI82" i="29"/>
  <c r="AH82" i="29"/>
  <c r="AG82" i="29"/>
  <c r="AF82" i="29"/>
  <c r="AE82" i="29"/>
  <c r="AD82" i="29"/>
  <c r="AC82" i="29"/>
  <c r="AB82" i="29"/>
  <c r="AA82" i="29"/>
  <c r="F82" i="29"/>
  <c r="E82" i="29"/>
  <c r="D82" i="29"/>
  <c r="C82" i="29"/>
  <c r="B82" i="29"/>
  <c r="EY81" i="29"/>
  <c r="EX81" i="29"/>
  <c r="EW81" i="29"/>
  <c r="EV81" i="29"/>
  <c r="EU81" i="29"/>
  <c r="ET81" i="29"/>
  <c r="ES81" i="29"/>
  <c r="ER81" i="29"/>
  <c r="EQ81" i="29"/>
  <c r="EP81" i="29"/>
  <c r="EO81" i="29"/>
  <c r="EN81" i="29"/>
  <c r="EM81" i="29"/>
  <c r="EL81" i="29"/>
  <c r="EK81" i="29"/>
  <c r="EJ81" i="29"/>
  <c r="EI81" i="29"/>
  <c r="EH81" i="29"/>
  <c r="EG81" i="29"/>
  <c r="EF81" i="29"/>
  <c r="EE81" i="29"/>
  <c r="ED81" i="29"/>
  <c r="EC81" i="29"/>
  <c r="EB81" i="29"/>
  <c r="EA81" i="29"/>
  <c r="DZ81" i="29"/>
  <c r="DY81" i="29"/>
  <c r="DX81" i="29"/>
  <c r="DW81" i="29"/>
  <c r="DV81" i="29"/>
  <c r="DU81" i="29"/>
  <c r="DT81" i="29"/>
  <c r="DS81" i="29"/>
  <c r="DR81" i="29"/>
  <c r="DQ81" i="29"/>
  <c r="DP81" i="29"/>
  <c r="DO81" i="29"/>
  <c r="DN81" i="29"/>
  <c r="DM81" i="29"/>
  <c r="DL81" i="29"/>
  <c r="DK81" i="29"/>
  <c r="DJ81" i="29"/>
  <c r="DI81" i="29"/>
  <c r="DH81" i="29"/>
  <c r="DG81" i="29"/>
  <c r="DF81" i="29"/>
  <c r="DE81" i="29"/>
  <c r="DD81" i="29"/>
  <c r="DC81" i="29"/>
  <c r="DB81" i="29"/>
  <c r="DA81" i="29"/>
  <c r="CZ81" i="29"/>
  <c r="CY81" i="29"/>
  <c r="CX81" i="29"/>
  <c r="CW81" i="29"/>
  <c r="CV81" i="29"/>
  <c r="CU81" i="29"/>
  <c r="CT81" i="29"/>
  <c r="CS81" i="29"/>
  <c r="CR81" i="29"/>
  <c r="CQ81" i="29"/>
  <c r="CP81" i="29"/>
  <c r="CO81" i="29"/>
  <c r="CN81" i="29"/>
  <c r="CM81" i="29"/>
  <c r="CL81" i="29"/>
  <c r="CK81" i="29"/>
  <c r="CJ81" i="29"/>
  <c r="CI81" i="29"/>
  <c r="CH81" i="29"/>
  <c r="CG81" i="29"/>
  <c r="CF81" i="29"/>
  <c r="CE81" i="29"/>
  <c r="CD81" i="29"/>
  <c r="CC81" i="29"/>
  <c r="CB81" i="29"/>
  <c r="CA81" i="29"/>
  <c r="BZ81" i="29"/>
  <c r="BY81" i="29"/>
  <c r="AY81" i="29"/>
  <c r="AX81" i="29"/>
  <c r="AW81" i="29"/>
  <c r="AV81" i="29"/>
  <c r="AU81" i="29"/>
  <c r="AT81" i="29"/>
  <c r="AS81" i="29"/>
  <c r="AR81" i="29"/>
  <c r="AQ81" i="29"/>
  <c r="AP81" i="29"/>
  <c r="AO81" i="29"/>
  <c r="AN81" i="29"/>
  <c r="AM81" i="29"/>
  <c r="AL81" i="29"/>
  <c r="AK81" i="29"/>
  <c r="AJ81" i="29"/>
  <c r="AI81" i="29"/>
  <c r="AH81" i="29"/>
  <c r="AG81" i="29"/>
  <c r="AF81" i="29"/>
  <c r="AE81" i="29"/>
  <c r="AD81" i="29"/>
  <c r="AC81" i="29"/>
  <c r="AB81" i="29"/>
  <c r="AA81" i="29"/>
  <c r="E81" i="29"/>
  <c r="D81" i="29"/>
  <c r="C81" i="29"/>
  <c r="B81" i="29"/>
  <c r="EY80" i="29"/>
  <c r="EX80" i="29"/>
  <c r="EW80" i="29"/>
  <c r="EV80" i="29"/>
  <c r="EU80" i="29"/>
  <c r="ET80" i="29"/>
  <c r="ES80" i="29"/>
  <c r="ER80" i="29"/>
  <c r="EQ80" i="29"/>
  <c r="EP80" i="29"/>
  <c r="EO80" i="29"/>
  <c r="EN80" i="29"/>
  <c r="EM80" i="29"/>
  <c r="EL80" i="29"/>
  <c r="EK80" i="29"/>
  <c r="EJ80" i="29"/>
  <c r="EI80" i="29"/>
  <c r="EH80" i="29"/>
  <c r="EG80" i="29"/>
  <c r="EF80" i="29"/>
  <c r="EE80" i="29"/>
  <c r="ED80" i="29"/>
  <c r="EC80" i="29"/>
  <c r="EB80" i="29"/>
  <c r="EA80" i="29"/>
  <c r="DZ80" i="29"/>
  <c r="DY80" i="29"/>
  <c r="DX80" i="29"/>
  <c r="DW80" i="29"/>
  <c r="DV80" i="29"/>
  <c r="DU80" i="29"/>
  <c r="DT80" i="29"/>
  <c r="DS80" i="29"/>
  <c r="DR80" i="29"/>
  <c r="DQ80" i="29"/>
  <c r="DP80" i="29"/>
  <c r="DO80" i="29"/>
  <c r="DN80" i="29"/>
  <c r="DM80" i="29"/>
  <c r="DL80" i="29"/>
  <c r="DK80" i="29"/>
  <c r="DJ80" i="29"/>
  <c r="DI80" i="29"/>
  <c r="DH80" i="29"/>
  <c r="DG80" i="29"/>
  <c r="DF80" i="29"/>
  <c r="DE80" i="29"/>
  <c r="DD80" i="29"/>
  <c r="DC80" i="29"/>
  <c r="DB80" i="29"/>
  <c r="DA80" i="29"/>
  <c r="CZ80" i="29"/>
  <c r="CY80" i="29"/>
  <c r="CX80" i="29"/>
  <c r="CW80" i="29"/>
  <c r="CV80" i="29"/>
  <c r="CU80" i="29"/>
  <c r="CT80" i="29"/>
  <c r="CS80" i="29"/>
  <c r="CR80" i="29"/>
  <c r="CQ80" i="29"/>
  <c r="CP80" i="29"/>
  <c r="CO80" i="29"/>
  <c r="CN80" i="29"/>
  <c r="CM80" i="29"/>
  <c r="CL80" i="29"/>
  <c r="CK80" i="29"/>
  <c r="CJ80" i="29"/>
  <c r="CI80" i="29"/>
  <c r="CH80" i="29"/>
  <c r="CG80" i="29"/>
  <c r="CF80" i="29"/>
  <c r="CE80" i="29"/>
  <c r="CD80" i="29"/>
  <c r="CC80" i="29"/>
  <c r="CB80" i="29"/>
  <c r="CA80" i="29"/>
  <c r="BZ80" i="29"/>
  <c r="BY80" i="29"/>
  <c r="AV80" i="29"/>
  <c r="AU80" i="29"/>
  <c r="AT80" i="29"/>
  <c r="AS80" i="29"/>
  <c r="AR80" i="29"/>
  <c r="AQ80" i="29"/>
  <c r="AP80" i="29"/>
  <c r="AO80" i="29"/>
  <c r="AN80" i="29"/>
  <c r="AM80" i="29"/>
  <c r="AL80" i="29"/>
  <c r="AK80" i="29"/>
  <c r="AJ80" i="29"/>
  <c r="AI80" i="29"/>
  <c r="AH80" i="29"/>
  <c r="AG80" i="29"/>
  <c r="AF80" i="29"/>
  <c r="AE80" i="29"/>
  <c r="AD80" i="29"/>
  <c r="AC80" i="29"/>
  <c r="AB80" i="29"/>
  <c r="AA80" i="29"/>
  <c r="E80" i="29"/>
  <c r="D80" i="29"/>
  <c r="C80" i="29"/>
  <c r="B80" i="29"/>
  <c r="EY79" i="29"/>
  <c r="EX79" i="29"/>
  <c r="EW79" i="29"/>
  <c r="EV79" i="29"/>
  <c r="EU79" i="29"/>
  <c r="ET79" i="29"/>
  <c r="ES79" i="29"/>
  <c r="ER79" i="29"/>
  <c r="EQ79" i="29"/>
  <c r="EP79" i="29"/>
  <c r="EO79" i="29"/>
  <c r="EN79" i="29"/>
  <c r="EM79" i="29"/>
  <c r="EL79" i="29"/>
  <c r="EK79" i="29"/>
  <c r="EJ79" i="29"/>
  <c r="EI79" i="29"/>
  <c r="EH79" i="29"/>
  <c r="EG79" i="29"/>
  <c r="EF79" i="29"/>
  <c r="EE79" i="29"/>
  <c r="ED79" i="29"/>
  <c r="EC79" i="29"/>
  <c r="EB79" i="29"/>
  <c r="EA79" i="29"/>
  <c r="DZ79" i="29"/>
  <c r="DY79" i="29"/>
  <c r="DX79" i="29"/>
  <c r="DW79" i="29"/>
  <c r="DV79" i="29"/>
  <c r="DU79" i="29"/>
  <c r="DT79" i="29"/>
  <c r="DS79" i="29"/>
  <c r="DR79" i="29"/>
  <c r="DQ79" i="29"/>
  <c r="DP79" i="29"/>
  <c r="DO79" i="29"/>
  <c r="DN79" i="29"/>
  <c r="DM79" i="29"/>
  <c r="DL79" i="29"/>
  <c r="DK79" i="29"/>
  <c r="DJ79" i="29"/>
  <c r="DI79" i="29"/>
  <c r="DH79" i="29"/>
  <c r="DG79" i="29"/>
  <c r="DF79" i="29"/>
  <c r="DE79" i="29"/>
  <c r="DD79" i="29"/>
  <c r="DC79" i="29"/>
  <c r="DB79" i="29"/>
  <c r="DA79" i="29"/>
  <c r="CZ79" i="29"/>
  <c r="CY79" i="29"/>
  <c r="CX79" i="29"/>
  <c r="CW79" i="29"/>
  <c r="CV79" i="29"/>
  <c r="CU79" i="29"/>
  <c r="CT79" i="29"/>
  <c r="CS79" i="29"/>
  <c r="CR79" i="29"/>
  <c r="CQ79" i="29"/>
  <c r="CP79" i="29"/>
  <c r="CO79" i="29"/>
  <c r="CN79" i="29"/>
  <c r="CM79" i="29"/>
  <c r="CL79" i="29"/>
  <c r="CK79" i="29"/>
  <c r="CJ79" i="29"/>
  <c r="CI79" i="29"/>
  <c r="CH79" i="29"/>
  <c r="CG79" i="29"/>
  <c r="CF79" i="29"/>
  <c r="CE79" i="29"/>
  <c r="CD79" i="29"/>
  <c r="CC79" i="29"/>
  <c r="CB79" i="29"/>
  <c r="CA79" i="29"/>
  <c r="BZ79" i="29"/>
  <c r="AS79" i="29"/>
  <c r="AR79" i="29"/>
  <c r="AQ79" i="29"/>
  <c r="AP79" i="29"/>
  <c r="AO79" i="29"/>
  <c r="AN79" i="29"/>
  <c r="AM79" i="29"/>
  <c r="AL79" i="29"/>
  <c r="AK79" i="29"/>
  <c r="AJ79" i="29"/>
  <c r="AI79" i="29"/>
  <c r="AH79" i="29"/>
  <c r="AG79" i="29"/>
  <c r="AF79" i="29"/>
  <c r="AE79" i="29"/>
  <c r="AD79" i="29"/>
  <c r="AC79" i="29"/>
  <c r="AB79" i="29"/>
  <c r="AA79" i="29"/>
  <c r="E79" i="29"/>
  <c r="D79" i="29"/>
  <c r="C79" i="29"/>
  <c r="B79" i="29"/>
  <c r="EY78" i="29"/>
  <c r="EX78" i="29"/>
  <c r="EW78" i="29"/>
  <c r="EV78" i="29"/>
  <c r="EU78" i="29"/>
  <c r="ET78" i="29"/>
  <c r="ES78" i="29"/>
  <c r="ER78" i="29"/>
  <c r="EQ78" i="29"/>
  <c r="EP78" i="29"/>
  <c r="EO78" i="29"/>
  <c r="EN78" i="29"/>
  <c r="EM78" i="29"/>
  <c r="EL78" i="29"/>
  <c r="EK78" i="29"/>
  <c r="EJ78" i="29"/>
  <c r="EI78" i="29"/>
  <c r="EH78" i="29"/>
  <c r="EG78" i="29"/>
  <c r="EF78" i="29"/>
  <c r="EE78" i="29"/>
  <c r="ED78" i="29"/>
  <c r="EC78" i="29"/>
  <c r="EB78" i="29"/>
  <c r="EA78" i="29"/>
  <c r="DZ78" i="29"/>
  <c r="DY78" i="29"/>
  <c r="DX78" i="29"/>
  <c r="DW78" i="29"/>
  <c r="DV78" i="29"/>
  <c r="DU78" i="29"/>
  <c r="DT78" i="29"/>
  <c r="DS78" i="29"/>
  <c r="DR78" i="29"/>
  <c r="DQ78" i="29"/>
  <c r="DP78" i="29"/>
  <c r="DO78" i="29"/>
  <c r="DN78" i="29"/>
  <c r="DM78" i="29"/>
  <c r="DL78" i="29"/>
  <c r="DK78" i="29"/>
  <c r="DJ78" i="29"/>
  <c r="DI78" i="29"/>
  <c r="DH78" i="29"/>
  <c r="DG78" i="29"/>
  <c r="DF78" i="29"/>
  <c r="DE78" i="29"/>
  <c r="DD78" i="29"/>
  <c r="DC78" i="29"/>
  <c r="DB78" i="29"/>
  <c r="DA78" i="29"/>
  <c r="CZ78" i="29"/>
  <c r="CY78" i="29"/>
  <c r="CX78" i="29"/>
  <c r="CW78" i="29"/>
  <c r="CV78" i="29"/>
  <c r="CU78" i="29"/>
  <c r="CT78" i="29"/>
  <c r="CS78" i="29"/>
  <c r="CR78" i="29"/>
  <c r="CQ78" i="29"/>
  <c r="CP78" i="29"/>
  <c r="CO78" i="29"/>
  <c r="CN78" i="29"/>
  <c r="CM78" i="29"/>
  <c r="CL78" i="29"/>
  <c r="CK78" i="29"/>
  <c r="CJ78" i="29"/>
  <c r="CI78" i="29"/>
  <c r="CH78" i="29"/>
  <c r="CG78" i="29"/>
  <c r="CF78" i="29"/>
  <c r="CE78" i="29"/>
  <c r="CD78" i="29"/>
  <c r="CC78" i="29"/>
  <c r="CB78" i="29"/>
  <c r="CA78" i="29"/>
  <c r="BZ78" i="29"/>
  <c r="E78" i="29"/>
  <c r="D78" i="29"/>
  <c r="C78" i="29"/>
  <c r="B78" i="29"/>
  <c r="EY77" i="29"/>
  <c r="EX77" i="29"/>
  <c r="EW77" i="29"/>
  <c r="EV77" i="29"/>
  <c r="EU77" i="29"/>
  <c r="ET77" i="29"/>
  <c r="ES77" i="29"/>
  <c r="ER77" i="29"/>
  <c r="EQ77" i="29"/>
  <c r="EP77" i="29"/>
  <c r="EO77" i="29"/>
  <c r="EN77" i="29"/>
  <c r="EM77" i="29"/>
  <c r="EL77" i="29"/>
  <c r="EK77" i="29"/>
  <c r="EJ77" i="29"/>
  <c r="EI77" i="29"/>
  <c r="EH77" i="29"/>
  <c r="EG77" i="29"/>
  <c r="EF77" i="29"/>
  <c r="EE77" i="29"/>
  <c r="ED77" i="29"/>
  <c r="EC77" i="29"/>
  <c r="EB77" i="29"/>
  <c r="EA77" i="29"/>
  <c r="DZ77" i="29"/>
  <c r="DY77" i="29"/>
  <c r="DX77" i="29"/>
  <c r="DW77" i="29"/>
  <c r="DV77" i="29"/>
  <c r="DU77" i="29"/>
  <c r="DT77" i="29"/>
  <c r="DS77" i="29"/>
  <c r="DR77" i="29"/>
  <c r="DQ77" i="29"/>
  <c r="DP77" i="29"/>
  <c r="DO77" i="29"/>
  <c r="DN77" i="29"/>
  <c r="DM77" i="29"/>
  <c r="DL77" i="29"/>
  <c r="DK77" i="29"/>
  <c r="DJ77" i="29"/>
  <c r="DI77" i="29"/>
  <c r="DH77" i="29"/>
  <c r="DG77" i="29"/>
  <c r="DF77" i="29"/>
  <c r="DE77" i="29"/>
  <c r="DD77" i="29"/>
  <c r="DC77" i="29"/>
  <c r="DB77" i="29"/>
  <c r="DA77" i="29"/>
  <c r="CZ77" i="29"/>
  <c r="CY77" i="29"/>
  <c r="CX77" i="29"/>
  <c r="CW77" i="29"/>
  <c r="CV77" i="29"/>
  <c r="CU77" i="29"/>
  <c r="CT77" i="29"/>
  <c r="CS77" i="29"/>
  <c r="CR77" i="29"/>
  <c r="CQ77" i="29"/>
  <c r="CP77" i="29"/>
  <c r="CO77" i="29"/>
  <c r="CN77" i="29"/>
  <c r="CM77" i="29"/>
  <c r="AW77" i="29"/>
  <c r="E77" i="29"/>
  <c r="D77" i="29"/>
  <c r="C77" i="29"/>
  <c r="B77" i="29"/>
  <c r="EY76" i="29"/>
  <c r="EX76" i="29"/>
  <c r="EW76" i="29"/>
  <c r="EV76" i="29"/>
  <c r="EU76" i="29"/>
  <c r="ET76" i="29"/>
  <c r="ES76" i="29"/>
  <c r="ER76" i="29"/>
  <c r="EQ76" i="29"/>
  <c r="EP76" i="29"/>
  <c r="EO76" i="29"/>
  <c r="EN76" i="29"/>
  <c r="EM76" i="29"/>
  <c r="EL76" i="29"/>
  <c r="EK76" i="29"/>
  <c r="EJ76" i="29"/>
  <c r="EI76" i="29"/>
  <c r="EH76" i="29"/>
  <c r="EG76" i="29"/>
  <c r="EF76" i="29"/>
  <c r="EE76" i="29"/>
  <c r="ED76" i="29"/>
  <c r="EC76" i="29"/>
  <c r="EB76" i="29"/>
  <c r="EA76" i="29"/>
  <c r="DL76" i="29"/>
  <c r="AW76" i="29"/>
  <c r="E76" i="29"/>
  <c r="D76" i="29"/>
  <c r="C76" i="29"/>
  <c r="B76" i="29"/>
  <c r="EY75" i="29"/>
  <c r="EX75" i="29"/>
  <c r="EW75" i="29"/>
  <c r="EV75" i="29"/>
  <c r="EU75" i="29"/>
  <c r="ET75" i="29"/>
  <c r="ES75" i="29"/>
  <c r="ER75" i="29"/>
  <c r="EQ75" i="29"/>
  <c r="EP75" i="29"/>
  <c r="EO75" i="29"/>
  <c r="EN75" i="29"/>
  <c r="EM75" i="29"/>
  <c r="EL75" i="29"/>
  <c r="EK75" i="29"/>
  <c r="EJ75" i="29"/>
  <c r="EI75" i="29"/>
  <c r="EH75" i="29"/>
  <c r="EG75" i="29"/>
  <c r="EF75" i="29"/>
  <c r="EE75" i="29"/>
  <c r="ED75" i="29"/>
  <c r="EC75" i="29"/>
  <c r="EB75" i="29"/>
  <c r="EA75" i="29"/>
  <c r="AW75" i="29"/>
  <c r="E75" i="29"/>
  <c r="D75" i="29"/>
  <c r="C75" i="29"/>
  <c r="B75" i="29"/>
  <c r="EY74" i="29"/>
  <c r="EX74" i="29"/>
  <c r="EW74" i="29"/>
  <c r="EV74" i="29"/>
  <c r="EU74" i="29"/>
  <c r="ET74" i="29"/>
  <c r="ES74" i="29"/>
  <c r="ER74" i="29"/>
  <c r="EQ74" i="29"/>
  <c r="EP74" i="29"/>
  <c r="EO74" i="29"/>
  <c r="EN74" i="29"/>
  <c r="EM74" i="29"/>
  <c r="EL74" i="29"/>
  <c r="EK74" i="29"/>
  <c r="EJ74" i="29"/>
  <c r="EI74" i="29"/>
  <c r="EH74" i="29"/>
  <c r="EG74" i="29"/>
  <c r="EF74" i="29"/>
  <c r="EE74" i="29"/>
  <c r="ED74" i="29"/>
  <c r="EC74" i="29"/>
  <c r="EB74" i="29"/>
  <c r="EA74" i="29"/>
  <c r="AW74" i="29"/>
  <c r="E74" i="29"/>
  <c r="D74" i="29"/>
  <c r="C74" i="29"/>
  <c r="B74" i="29"/>
  <c r="EY73" i="29"/>
  <c r="EX73" i="29"/>
  <c r="EW73" i="29"/>
  <c r="EV73" i="29"/>
  <c r="EU73" i="29"/>
  <c r="ET73" i="29"/>
  <c r="ES73" i="29"/>
  <c r="ER73" i="29"/>
  <c r="EQ73" i="29"/>
  <c r="EP73" i="29"/>
  <c r="EO73" i="29"/>
  <c r="EN73" i="29"/>
  <c r="EM73" i="29"/>
  <c r="EL73" i="29"/>
  <c r="EK73" i="29"/>
  <c r="EJ73" i="29"/>
  <c r="EI73" i="29"/>
  <c r="EH73" i="29"/>
  <c r="EG73" i="29"/>
  <c r="EF73" i="29"/>
  <c r="EE73" i="29"/>
  <c r="ED73" i="29"/>
  <c r="EC73" i="29"/>
  <c r="EB73" i="29"/>
  <c r="EA73" i="29"/>
  <c r="AW73" i="29"/>
  <c r="E73" i="29"/>
  <c r="D73" i="29"/>
  <c r="C73" i="29"/>
  <c r="B73" i="29"/>
  <c r="EY72" i="29"/>
  <c r="EX72" i="29"/>
  <c r="EW72" i="29"/>
  <c r="EV72" i="29"/>
  <c r="EU72" i="29"/>
  <c r="ET72" i="29"/>
  <c r="ES72" i="29"/>
  <c r="ER72" i="29"/>
  <c r="EQ72" i="29"/>
  <c r="EP72" i="29"/>
  <c r="EO72" i="29"/>
  <c r="EN72" i="29"/>
  <c r="EM72" i="29"/>
  <c r="EL72" i="29"/>
  <c r="EK72" i="29"/>
  <c r="EJ72" i="29"/>
  <c r="EI72" i="29"/>
  <c r="EH72" i="29"/>
  <c r="EG72" i="29"/>
  <c r="EF72" i="29"/>
  <c r="EE72" i="29"/>
  <c r="ED72" i="29"/>
  <c r="EC72" i="29"/>
  <c r="EB72" i="29"/>
  <c r="EA72" i="29"/>
  <c r="DZ72" i="29"/>
  <c r="AW72" i="29"/>
  <c r="D72" i="29"/>
  <c r="C72" i="29"/>
  <c r="B72" i="29"/>
  <c r="EY71" i="29"/>
  <c r="EX71" i="29"/>
  <c r="EW71" i="29"/>
  <c r="EV71" i="29"/>
  <c r="EU71" i="29"/>
  <c r="ET71" i="29"/>
  <c r="ES71" i="29"/>
  <c r="ER71" i="29"/>
  <c r="EQ71" i="29"/>
  <c r="EP71" i="29"/>
  <c r="EO71" i="29"/>
  <c r="EN71" i="29"/>
  <c r="EM71" i="29"/>
  <c r="EL71" i="29"/>
  <c r="EK71" i="29"/>
  <c r="EJ71" i="29"/>
  <c r="EI71" i="29"/>
  <c r="EH71" i="29"/>
  <c r="EG71" i="29"/>
  <c r="EF71" i="29"/>
  <c r="EE71" i="29"/>
  <c r="ED71" i="29"/>
  <c r="EC71" i="29"/>
  <c r="EB71" i="29"/>
  <c r="EA71" i="29"/>
  <c r="DZ71" i="29"/>
  <c r="AW71" i="29"/>
  <c r="D71" i="29"/>
  <c r="C71" i="29"/>
  <c r="B71" i="29"/>
  <c r="EY70" i="29"/>
  <c r="EX70" i="29"/>
  <c r="EW70" i="29"/>
  <c r="EV70" i="29"/>
  <c r="EU70" i="29"/>
  <c r="ET70" i="29"/>
  <c r="ES70" i="29"/>
  <c r="ER70" i="29"/>
  <c r="EQ70" i="29"/>
  <c r="EP70" i="29"/>
  <c r="EO70" i="29"/>
  <c r="EN70" i="29"/>
  <c r="EM70" i="29"/>
  <c r="EL70" i="29"/>
  <c r="EK70" i="29"/>
  <c r="EJ70" i="29"/>
  <c r="EI70" i="29"/>
  <c r="EH70" i="29"/>
  <c r="EG70" i="29"/>
  <c r="EF70" i="29"/>
  <c r="EE70" i="29"/>
  <c r="ED70" i="29"/>
  <c r="EC70" i="29"/>
  <c r="EB70" i="29"/>
  <c r="EA70" i="29"/>
  <c r="DZ70" i="29"/>
  <c r="AW70" i="29"/>
  <c r="D70" i="29"/>
  <c r="C70" i="29"/>
  <c r="B70" i="29"/>
  <c r="EY69" i="29"/>
  <c r="EX69" i="29"/>
  <c r="EW69" i="29"/>
  <c r="EV69" i="29"/>
  <c r="EU69" i="29"/>
  <c r="ET69" i="29"/>
  <c r="ES69" i="29"/>
  <c r="ER69" i="29"/>
  <c r="EQ69" i="29"/>
  <c r="EP69" i="29"/>
  <c r="EO69" i="29"/>
  <c r="EN69" i="29"/>
  <c r="EM69" i="29"/>
  <c r="EL69" i="29"/>
  <c r="EK69" i="29"/>
  <c r="EJ69" i="29"/>
  <c r="EI69" i="29"/>
  <c r="EH69" i="29"/>
  <c r="EG69" i="29"/>
  <c r="EF69" i="29"/>
  <c r="EE69" i="29"/>
  <c r="ED69" i="29"/>
  <c r="EC69" i="29"/>
  <c r="EB69" i="29"/>
  <c r="EA69" i="29"/>
  <c r="DZ69" i="29"/>
  <c r="D69" i="29"/>
  <c r="C69" i="29"/>
  <c r="B69" i="29"/>
  <c r="EY68" i="29"/>
  <c r="EX68" i="29"/>
  <c r="EW68" i="29"/>
  <c r="EV68" i="29"/>
  <c r="EU68" i="29"/>
  <c r="ET68" i="29"/>
  <c r="ES68" i="29"/>
  <c r="ER68" i="29"/>
  <c r="EQ68" i="29"/>
  <c r="EP68" i="29"/>
  <c r="EO68" i="29"/>
  <c r="EN68" i="29"/>
  <c r="EM68" i="29"/>
  <c r="EL68" i="29"/>
  <c r="EK68" i="29"/>
  <c r="EJ68" i="29"/>
  <c r="EI68" i="29"/>
  <c r="EH68" i="29"/>
  <c r="EG68" i="29"/>
  <c r="EF68" i="29"/>
  <c r="EE68" i="29"/>
  <c r="ED68" i="29"/>
  <c r="EC68" i="29"/>
  <c r="EB68" i="29"/>
  <c r="EA68" i="29"/>
  <c r="DZ68" i="29"/>
  <c r="DY68" i="29"/>
  <c r="D68" i="29"/>
  <c r="C68" i="29"/>
  <c r="B68" i="29"/>
  <c r="EY67" i="29"/>
  <c r="EX67" i="29"/>
  <c r="EW67" i="29"/>
  <c r="EV67" i="29"/>
  <c r="EU67" i="29"/>
  <c r="ET67" i="29"/>
  <c r="ES67" i="29"/>
  <c r="ER67" i="29"/>
  <c r="EQ67" i="29"/>
  <c r="EP67" i="29"/>
  <c r="EO67" i="29"/>
  <c r="EN67" i="29"/>
  <c r="EM67" i="29"/>
  <c r="EL67" i="29"/>
  <c r="EK67" i="29"/>
  <c r="EJ67" i="29"/>
  <c r="EI67" i="29"/>
  <c r="EH67" i="29"/>
  <c r="EG67" i="29"/>
  <c r="EF67" i="29"/>
  <c r="EE67" i="29"/>
  <c r="ED67" i="29"/>
  <c r="EC67" i="29"/>
  <c r="EB67" i="29"/>
  <c r="EA67" i="29"/>
  <c r="DZ67" i="29"/>
  <c r="DY67" i="29"/>
  <c r="D67" i="29"/>
  <c r="C67" i="29"/>
  <c r="B67" i="29"/>
  <c r="EY66" i="29"/>
  <c r="EX66" i="29"/>
  <c r="EW66" i="29"/>
  <c r="EV66" i="29"/>
  <c r="EU66" i="29"/>
  <c r="ET66" i="29"/>
  <c r="ES66" i="29"/>
  <c r="ER66" i="29"/>
  <c r="EQ66" i="29"/>
  <c r="EP66" i="29"/>
  <c r="EO66" i="29"/>
  <c r="EN66" i="29"/>
  <c r="EM66" i="29"/>
  <c r="EL66" i="29"/>
  <c r="EK66" i="29"/>
  <c r="EJ66" i="29"/>
  <c r="EI66" i="29"/>
  <c r="EH66" i="29"/>
  <c r="EG66" i="29"/>
  <c r="EF66" i="29"/>
  <c r="EE66" i="29"/>
  <c r="ED66" i="29"/>
  <c r="EC66" i="29"/>
  <c r="EB66" i="29"/>
  <c r="EA66" i="29"/>
  <c r="DZ66" i="29"/>
  <c r="DY66" i="29"/>
  <c r="D66" i="29"/>
  <c r="C66" i="29"/>
  <c r="B66" i="29"/>
  <c r="EY65" i="29"/>
  <c r="EX65" i="29"/>
  <c r="EW65" i="29"/>
  <c r="EV65" i="29"/>
  <c r="EU65" i="29"/>
  <c r="ET65" i="29"/>
  <c r="ES65" i="29"/>
  <c r="ER65" i="29"/>
  <c r="EQ65" i="29"/>
  <c r="EP65" i="29"/>
  <c r="EO65" i="29"/>
  <c r="EN65" i="29"/>
  <c r="EM65" i="29"/>
  <c r="EL65" i="29"/>
  <c r="EK65" i="29"/>
  <c r="EJ65" i="29"/>
  <c r="EI65" i="29"/>
  <c r="EH65" i="29"/>
  <c r="EG65" i="29"/>
  <c r="EF65" i="29"/>
  <c r="EE65" i="29"/>
  <c r="ED65" i="29"/>
  <c r="EC65" i="29"/>
  <c r="EB65" i="29"/>
  <c r="EA65" i="29"/>
  <c r="DZ65" i="29"/>
  <c r="DY65" i="29"/>
  <c r="DX65" i="29"/>
  <c r="D65" i="29"/>
  <c r="C65" i="29"/>
  <c r="B65" i="29"/>
  <c r="EY64" i="29"/>
  <c r="EX64" i="29"/>
  <c r="EW64" i="29"/>
  <c r="EV64" i="29"/>
  <c r="EU64" i="29"/>
  <c r="ET64" i="29"/>
  <c r="ES64" i="29"/>
  <c r="ER64" i="29"/>
  <c r="EQ64" i="29"/>
  <c r="EP64" i="29"/>
  <c r="EO64" i="29"/>
  <c r="EN64" i="29"/>
  <c r="EM64" i="29"/>
  <c r="EL64" i="29"/>
  <c r="EK64" i="29"/>
  <c r="EJ64" i="29"/>
  <c r="EI64" i="29"/>
  <c r="EH64" i="29"/>
  <c r="EG64" i="29"/>
  <c r="EF64" i="29"/>
  <c r="EE64" i="29"/>
  <c r="ED64" i="29"/>
  <c r="EC64" i="29"/>
  <c r="EB64" i="29"/>
  <c r="EA64" i="29"/>
  <c r="DZ64" i="29"/>
  <c r="DY64" i="29"/>
  <c r="DX64" i="29"/>
  <c r="D64" i="29"/>
  <c r="C64" i="29"/>
  <c r="B64" i="29"/>
  <c r="EY63" i="29"/>
  <c r="EX63" i="29"/>
  <c r="EW63" i="29"/>
  <c r="EV63" i="29"/>
  <c r="EU63" i="29"/>
  <c r="ET63" i="29"/>
  <c r="ES63" i="29"/>
  <c r="ER63" i="29"/>
  <c r="EQ63" i="29"/>
  <c r="EP63" i="29"/>
  <c r="EO63" i="29"/>
  <c r="EN63" i="29"/>
  <c r="EM63" i="29"/>
  <c r="EL63" i="29"/>
  <c r="EK63" i="29"/>
  <c r="EJ63" i="29"/>
  <c r="EI63" i="29"/>
  <c r="EH63" i="29"/>
  <c r="EG63" i="29"/>
  <c r="EF63" i="29"/>
  <c r="EE63" i="29"/>
  <c r="ED63" i="29"/>
  <c r="EC63" i="29"/>
  <c r="EB63" i="29"/>
  <c r="EA63" i="29"/>
  <c r="DZ63" i="29"/>
  <c r="DY63" i="29"/>
  <c r="DX63" i="29"/>
  <c r="D63" i="29"/>
  <c r="C63" i="29"/>
  <c r="B63" i="29"/>
  <c r="EY62" i="29"/>
  <c r="EX62" i="29"/>
  <c r="EW62" i="29"/>
  <c r="EV62" i="29"/>
  <c r="EU62" i="29"/>
  <c r="ET62" i="29"/>
  <c r="ES62" i="29"/>
  <c r="ER62" i="29"/>
  <c r="EQ62" i="29"/>
  <c r="EP62" i="29"/>
  <c r="EO62" i="29"/>
  <c r="EN62" i="29"/>
  <c r="EM62" i="29"/>
  <c r="EL62" i="29"/>
  <c r="EK62" i="29"/>
  <c r="EJ62" i="29"/>
  <c r="EI62" i="29"/>
  <c r="EH62" i="29"/>
  <c r="EG62" i="29"/>
  <c r="EF62" i="29"/>
  <c r="EE62" i="29"/>
  <c r="ED62" i="29"/>
  <c r="EC62" i="29"/>
  <c r="EB62" i="29"/>
  <c r="EA62" i="29"/>
  <c r="DZ62" i="29"/>
  <c r="DY62" i="29"/>
  <c r="DX62" i="29"/>
  <c r="D62" i="29"/>
  <c r="C62" i="29"/>
  <c r="B62" i="29"/>
  <c r="EY61" i="29"/>
  <c r="EX61" i="29"/>
  <c r="EW61" i="29"/>
  <c r="EV61" i="29"/>
  <c r="EU61" i="29"/>
  <c r="ET61" i="29"/>
  <c r="ES61" i="29"/>
  <c r="ER61" i="29"/>
  <c r="EQ61" i="29"/>
  <c r="EP61" i="29"/>
  <c r="EO61" i="29"/>
  <c r="EN61" i="29"/>
  <c r="EM61" i="29"/>
  <c r="EL61" i="29"/>
  <c r="EK61" i="29"/>
  <c r="EJ61" i="29"/>
  <c r="EI61" i="29"/>
  <c r="EH61" i="29"/>
  <c r="EG61" i="29"/>
  <c r="EF61" i="29"/>
  <c r="EE61" i="29"/>
  <c r="ED61" i="29"/>
  <c r="EC61" i="29"/>
  <c r="EB61" i="29"/>
  <c r="EA61" i="29"/>
  <c r="DZ61" i="29"/>
  <c r="DY61" i="29"/>
  <c r="DX61" i="29"/>
  <c r="DW61" i="29"/>
  <c r="D61" i="29"/>
  <c r="C61" i="29"/>
  <c r="B61" i="29"/>
  <c r="EY60" i="29"/>
  <c r="EX60" i="29"/>
  <c r="EW60" i="29"/>
  <c r="EV60" i="29"/>
  <c r="EU60" i="29"/>
  <c r="ET60" i="29"/>
  <c r="ES60" i="29"/>
  <c r="ER60" i="29"/>
  <c r="EQ60" i="29"/>
  <c r="EP60" i="29"/>
  <c r="EO60" i="29"/>
  <c r="EN60" i="29"/>
  <c r="EM60" i="29"/>
  <c r="EL60" i="29"/>
  <c r="EK60" i="29"/>
  <c r="EJ60" i="29"/>
  <c r="EI60" i="29"/>
  <c r="EH60" i="29"/>
  <c r="EG60" i="29"/>
  <c r="EF60" i="29"/>
  <c r="EE60" i="29"/>
  <c r="ED60" i="29"/>
  <c r="EC60" i="29"/>
  <c r="EB60" i="29"/>
  <c r="EA60" i="29"/>
  <c r="DZ60" i="29"/>
  <c r="DY60" i="29"/>
  <c r="DX60" i="29"/>
  <c r="DW60" i="29"/>
  <c r="C60" i="29"/>
  <c r="B60" i="29"/>
  <c r="EY59" i="29"/>
  <c r="EX59" i="29"/>
  <c r="EW59" i="29"/>
  <c r="EV59" i="29"/>
  <c r="EU59" i="29"/>
  <c r="ET59" i="29"/>
  <c r="ES59" i="29"/>
  <c r="ER59" i="29"/>
  <c r="EQ59" i="29"/>
  <c r="EP59" i="29"/>
  <c r="EO59" i="29"/>
  <c r="EN59" i="29"/>
  <c r="EM59" i="29"/>
  <c r="EL59" i="29"/>
  <c r="EK59" i="29"/>
  <c r="EJ59" i="29"/>
  <c r="EI59" i="29"/>
  <c r="EH59" i="29"/>
  <c r="EG59" i="29"/>
  <c r="EF59" i="29"/>
  <c r="EE59" i="29"/>
  <c r="ED59" i="29"/>
  <c r="EC59" i="29"/>
  <c r="EB59" i="29"/>
  <c r="EA59" i="29"/>
  <c r="DZ59" i="29"/>
  <c r="DY59" i="29"/>
  <c r="DX59" i="29"/>
  <c r="DW59" i="29"/>
  <c r="C59" i="29"/>
  <c r="B59" i="29"/>
  <c r="EY58" i="29"/>
  <c r="EX58" i="29"/>
  <c r="EW58" i="29"/>
  <c r="EV58" i="29"/>
  <c r="EU58" i="29"/>
  <c r="ET58" i="29"/>
  <c r="ES58" i="29"/>
  <c r="ER58" i="29"/>
  <c r="EQ58" i="29"/>
  <c r="EP58" i="29"/>
  <c r="EO58" i="29"/>
  <c r="EN58" i="29"/>
  <c r="EM58" i="29"/>
  <c r="EL58" i="29"/>
  <c r="EK58" i="29"/>
  <c r="EJ58" i="29"/>
  <c r="EI58" i="29"/>
  <c r="EH58" i="29"/>
  <c r="EG58" i="29"/>
  <c r="EF58" i="29"/>
  <c r="EE58" i="29"/>
  <c r="ED58" i="29"/>
  <c r="EC58" i="29"/>
  <c r="EB58" i="29"/>
  <c r="EA58" i="29"/>
  <c r="DZ58" i="29"/>
  <c r="BC58" i="29"/>
  <c r="BB58" i="29"/>
  <c r="BA58" i="29"/>
  <c r="AZ58" i="29"/>
  <c r="AY58" i="29"/>
  <c r="AX58" i="29"/>
  <c r="AW58" i="29"/>
  <c r="AV58" i="29"/>
  <c r="AU58" i="29"/>
  <c r="AT58" i="29"/>
  <c r="AS58" i="29"/>
  <c r="AR58" i="29"/>
  <c r="AQ58" i="29"/>
  <c r="AP58" i="29"/>
  <c r="AO58" i="29"/>
  <c r="AN58" i="29"/>
  <c r="C58" i="29"/>
  <c r="B58" i="29"/>
  <c r="EY57" i="29"/>
  <c r="EX57" i="29"/>
  <c r="EW57" i="29"/>
  <c r="EV57" i="29"/>
  <c r="EU57" i="29"/>
  <c r="ET57" i="29"/>
  <c r="ES57" i="29"/>
  <c r="ER57" i="29"/>
  <c r="EQ57" i="29"/>
  <c r="EP57" i="29"/>
  <c r="EO57" i="29"/>
  <c r="EN57" i="29"/>
  <c r="EM57" i="29"/>
  <c r="BC57" i="29"/>
  <c r="BB57" i="29"/>
  <c r="BA57" i="29"/>
  <c r="AZ57" i="29"/>
  <c r="AY57" i="29"/>
  <c r="AX57" i="29"/>
  <c r="AW57" i="29"/>
  <c r="AV57" i="29"/>
  <c r="AU57" i="29"/>
  <c r="AT57" i="29"/>
  <c r="AS57" i="29"/>
  <c r="AR57" i="29"/>
  <c r="AQ57" i="29"/>
  <c r="AP57" i="29"/>
  <c r="AO57" i="29"/>
  <c r="AN57" i="29"/>
  <c r="AM57" i="29"/>
  <c r="AL57" i="29"/>
  <c r="AK57" i="29"/>
  <c r="AJ57" i="29"/>
  <c r="AI57" i="29"/>
  <c r="C57" i="29"/>
  <c r="B57" i="29"/>
  <c r="EY56" i="29"/>
  <c r="EX56" i="29"/>
  <c r="EW56" i="29"/>
  <c r="EV56" i="29"/>
  <c r="EU56" i="29"/>
  <c r="ET56" i="29"/>
  <c r="ES56" i="29"/>
  <c r="ER56" i="29"/>
  <c r="EQ56" i="29"/>
  <c r="EP56" i="29"/>
  <c r="EO56" i="29"/>
  <c r="EN56" i="29"/>
  <c r="BC56" i="29"/>
  <c r="BB56" i="29"/>
  <c r="BA56" i="29"/>
  <c r="AZ56" i="29"/>
  <c r="AY56" i="29"/>
  <c r="AX56" i="29"/>
  <c r="AW56" i="29"/>
  <c r="AV56" i="29"/>
  <c r="AU56" i="29"/>
  <c r="AT56" i="29"/>
  <c r="AS56" i="29"/>
  <c r="AR56" i="29"/>
  <c r="AQ56" i="29"/>
  <c r="AP56" i="29"/>
  <c r="AO56" i="29"/>
  <c r="AN56" i="29"/>
  <c r="AM56" i="29"/>
  <c r="AL56" i="29"/>
  <c r="AK56" i="29"/>
  <c r="AJ56" i="29"/>
  <c r="AI56" i="29"/>
  <c r="AH56" i="29"/>
  <c r="AG56" i="29"/>
  <c r="AF56" i="29"/>
  <c r="AE56" i="29"/>
  <c r="AD56" i="29"/>
  <c r="C56" i="29"/>
  <c r="B56" i="29"/>
  <c r="EY55" i="29"/>
  <c r="EX55" i="29"/>
  <c r="EW55" i="29"/>
  <c r="EV55" i="29"/>
  <c r="EU55" i="29"/>
  <c r="ET55" i="29"/>
  <c r="ES55" i="29"/>
  <c r="ER55" i="29"/>
  <c r="EQ55" i="29"/>
  <c r="EP55" i="29"/>
  <c r="EO55" i="29"/>
  <c r="EN55" i="29"/>
  <c r="BC55" i="29"/>
  <c r="BB55" i="29"/>
  <c r="BA55" i="29"/>
  <c r="AZ55" i="29"/>
  <c r="AY55" i="29"/>
  <c r="AX55" i="29"/>
  <c r="AW55" i="29"/>
  <c r="AV55" i="29"/>
  <c r="AU55" i="29"/>
  <c r="AT55" i="29"/>
  <c r="AS55" i="29"/>
  <c r="AR55" i="29"/>
  <c r="AQ55" i="29"/>
  <c r="AP55" i="29"/>
  <c r="AO55" i="29"/>
  <c r="AN55" i="29"/>
  <c r="AM55" i="29"/>
  <c r="AL55" i="29"/>
  <c r="AK55" i="29"/>
  <c r="AJ55" i="29"/>
  <c r="AI55" i="29"/>
  <c r="AH55" i="29"/>
  <c r="AG55" i="29"/>
  <c r="AF55" i="29"/>
  <c r="AE55" i="29"/>
  <c r="AD55" i="29"/>
  <c r="C55" i="29"/>
  <c r="B55" i="29"/>
  <c r="EY54" i="29"/>
  <c r="EX54" i="29"/>
  <c r="EW54" i="29"/>
  <c r="EV54" i="29"/>
  <c r="EU54" i="29"/>
  <c r="ET54" i="29"/>
  <c r="ES54" i="29"/>
  <c r="ER54" i="29"/>
  <c r="EQ54" i="29"/>
  <c r="EP54" i="29"/>
  <c r="EO54" i="29"/>
  <c r="BC54" i="29"/>
  <c r="BB54" i="29"/>
  <c r="BA54" i="29"/>
  <c r="AZ54" i="29"/>
  <c r="AY54" i="29"/>
  <c r="AX54" i="29"/>
  <c r="AW54" i="29"/>
  <c r="AV54" i="29"/>
  <c r="AU54" i="29"/>
  <c r="AT54" i="29"/>
  <c r="AS54" i="29"/>
  <c r="AR54" i="29"/>
  <c r="AQ54" i="29"/>
  <c r="AP54" i="29"/>
  <c r="AO54" i="29"/>
  <c r="AN54" i="29"/>
  <c r="AM54" i="29"/>
  <c r="AL54" i="29"/>
  <c r="AK54" i="29"/>
  <c r="AJ54" i="29"/>
  <c r="AI54" i="29"/>
  <c r="AH54" i="29"/>
  <c r="AG54" i="29"/>
  <c r="AF54" i="29"/>
  <c r="AE54" i="29"/>
  <c r="AD54" i="29"/>
  <c r="C54" i="29"/>
  <c r="B54" i="29"/>
  <c r="EY53" i="29"/>
  <c r="EX53" i="29"/>
  <c r="EW53" i="29"/>
  <c r="EV53" i="29"/>
  <c r="EU53" i="29"/>
  <c r="ET53" i="29"/>
  <c r="ES53" i="29"/>
  <c r="ER53" i="29"/>
  <c r="EQ53" i="29"/>
  <c r="EP53" i="29"/>
  <c r="EO53" i="29"/>
  <c r="BC53" i="29"/>
  <c r="BB53" i="29"/>
  <c r="BA53" i="29"/>
  <c r="AZ53" i="29"/>
  <c r="AY53" i="29"/>
  <c r="AX53" i="29"/>
  <c r="AW53" i="29"/>
  <c r="AV53" i="29"/>
  <c r="AU53" i="29"/>
  <c r="AT53" i="29"/>
  <c r="AS53" i="29"/>
  <c r="AR53" i="29"/>
  <c r="AQ53" i="29"/>
  <c r="AP53" i="29"/>
  <c r="AO53" i="29"/>
  <c r="AN53" i="29"/>
  <c r="AM53" i="29"/>
  <c r="AL53" i="29"/>
  <c r="AK53" i="29"/>
  <c r="AJ53" i="29"/>
  <c r="AI53" i="29"/>
  <c r="AH53" i="29"/>
  <c r="AG53" i="29"/>
  <c r="AF53" i="29"/>
  <c r="AE53" i="29"/>
  <c r="AD53" i="29"/>
  <c r="AC53" i="29"/>
  <c r="B53" i="29"/>
  <c r="EY52" i="29"/>
  <c r="EX52" i="29"/>
  <c r="EW52" i="29"/>
  <c r="EV52" i="29"/>
  <c r="BC52" i="29"/>
  <c r="BB52" i="29"/>
  <c r="BA52" i="29"/>
  <c r="AZ52" i="29"/>
  <c r="AY52" i="29"/>
  <c r="AX52" i="29"/>
  <c r="AW52" i="29"/>
  <c r="AV52" i="29"/>
  <c r="AU52" i="29"/>
  <c r="AT52" i="29"/>
  <c r="AS52" i="29"/>
  <c r="AR52" i="29"/>
  <c r="AQ52" i="29"/>
  <c r="AP52" i="29"/>
  <c r="AO52" i="29"/>
  <c r="AN52" i="29"/>
  <c r="AM52" i="29"/>
  <c r="AL52" i="29"/>
  <c r="AK52" i="29"/>
  <c r="AJ52" i="29"/>
  <c r="AI52" i="29"/>
  <c r="AH52" i="29"/>
  <c r="AG52" i="29"/>
  <c r="AF52" i="29"/>
  <c r="AE52" i="29"/>
  <c r="AD52" i="29"/>
  <c r="AC52" i="29"/>
  <c r="B52" i="29"/>
  <c r="EY51" i="29"/>
  <c r="EX51" i="29"/>
  <c r="EW51" i="29"/>
  <c r="AZ51" i="29"/>
  <c r="AY51" i="29"/>
  <c r="AX51" i="29"/>
  <c r="AW51" i="29"/>
  <c r="AV51" i="29"/>
  <c r="AU51" i="29"/>
  <c r="AT51" i="29"/>
  <c r="AS51" i="29"/>
  <c r="AR51" i="29"/>
  <c r="AQ51" i="29"/>
  <c r="AP51" i="29"/>
  <c r="AO51" i="29"/>
  <c r="AN51" i="29"/>
  <c r="AM51" i="29"/>
  <c r="AL51" i="29"/>
  <c r="AK51" i="29"/>
  <c r="AJ51" i="29"/>
  <c r="AI51" i="29"/>
  <c r="AH51" i="29"/>
  <c r="AG51" i="29"/>
  <c r="AF51" i="29"/>
  <c r="AE51" i="29"/>
  <c r="AD51" i="29"/>
  <c r="AC51" i="29"/>
  <c r="AB51" i="29"/>
  <c r="B51" i="29"/>
  <c r="EY50" i="29"/>
  <c r="EX50" i="29"/>
  <c r="EW50" i="29"/>
  <c r="AZ50" i="29"/>
  <c r="AY50" i="29"/>
  <c r="AX50" i="29"/>
  <c r="AW50" i="29"/>
  <c r="AV50" i="29"/>
  <c r="AU50" i="29"/>
  <c r="AT50" i="29"/>
  <c r="AS50" i="29"/>
  <c r="AR50" i="29"/>
  <c r="AQ50" i="29"/>
  <c r="AP50" i="29"/>
  <c r="AO50" i="29"/>
  <c r="AN50" i="29"/>
  <c r="AM50" i="29"/>
  <c r="AL50" i="29"/>
  <c r="AK50" i="29"/>
  <c r="AJ50" i="29"/>
  <c r="AI50" i="29"/>
  <c r="AH50" i="29"/>
  <c r="AG50" i="29"/>
  <c r="AF50" i="29"/>
  <c r="AE50" i="29"/>
  <c r="AD50" i="29"/>
  <c r="AC50" i="29"/>
  <c r="AB50" i="29"/>
  <c r="B50" i="29"/>
  <c r="EY49" i="29"/>
  <c r="EX49" i="29"/>
  <c r="EW49" i="29"/>
  <c r="AY49" i="29"/>
  <c r="AX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B49" i="29"/>
  <c r="EY48" i="29"/>
  <c r="EX48" i="29"/>
  <c r="EW48" i="29"/>
  <c r="AY48" i="29"/>
  <c r="AX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B48" i="29"/>
  <c r="EY47" i="29"/>
  <c r="EX47" i="29"/>
  <c r="EW47" i="29"/>
  <c r="AY47" i="29"/>
  <c r="AX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EY46" i="29"/>
  <c r="EX46" i="29"/>
  <c r="EW46" i="29"/>
  <c r="AY46" i="29"/>
  <c r="AX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EY45" i="29"/>
  <c r="EX45" i="29"/>
  <c r="EW45" i="29"/>
  <c r="AY45" i="29"/>
  <c r="AX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EY44" i="29"/>
  <c r="EX44" i="29"/>
  <c r="AY44" i="29"/>
  <c r="AX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EY43" i="29"/>
  <c r="EX43" i="29"/>
  <c r="AY43" i="29"/>
  <c r="AX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D43" i="29"/>
  <c r="C43" i="29"/>
  <c r="B43" i="29"/>
  <c r="EY42" i="29"/>
  <c r="EX42" i="29"/>
  <c r="AY42" i="29"/>
  <c r="AX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G42" i="29"/>
  <c r="F42" i="29"/>
  <c r="E42" i="29"/>
  <c r="D42" i="29"/>
  <c r="C42" i="29"/>
  <c r="B42" i="29"/>
  <c r="EY41" i="29"/>
  <c r="EX41" i="29"/>
  <c r="AZ41" i="29"/>
  <c r="AY41" i="29"/>
  <c r="AX41" i="29"/>
  <c r="AW41" i="29"/>
  <c r="AV41" i="29"/>
  <c r="AU41" i="29"/>
  <c r="AT41" i="29"/>
  <c r="AS41" i="29"/>
  <c r="AR41" i="29"/>
  <c r="AQ41" i="29"/>
  <c r="AP41" i="29"/>
  <c r="AO41" i="29"/>
  <c r="AN41" i="29"/>
  <c r="AM41" i="29"/>
  <c r="AL41" i="29"/>
  <c r="AK41" i="29"/>
  <c r="AJ41" i="29"/>
  <c r="AI41" i="29"/>
  <c r="AH41" i="29"/>
  <c r="AG41" i="29"/>
  <c r="AF41" i="29"/>
  <c r="AE41" i="29"/>
  <c r="AD41" i="29"/>
  <c r="AC41" i="29"/>
  <c r="AB41" i="29"/>
  <c r="AA41" i="29"/>
  <c r="Z41" i="29"/>
  <c r="Y41" i="29"/>
  <c r="X41" i="29"/>
  <c r="W41" i="29"/>
  <c r="V41" i="29"/>
  <c r="J41" i="29"/>
  <c r="I41" i="29"/>
  <c r="H41" i="29"/>
  <c r="G41" i="29"/>
  <c r="F41" i="29"/>
  <c r="E41" i="29"/>
  <c r="D41" i="29"/>
  <c r="C41" i="29"/>
  <c r="B41" i="29"/>
  <c r="EY40" i="29"/>
  <c r="EX40" i="29"/>
  <c r="AZ40" i="29"/>
  <c r="AY40" i="29"/>
  <c r="AX40" i="29"/>
  <c r="AW40" i="29"/>
  <c r="AV40" i="29"/>
  <c r="AU40" i="29"/>
  <c r="AT40" i="29"/>
  <c r="AS40" i="29"/>
  <c r="AR40" i="29"/>
  <c r="AQ40" i="29"/>
  <c r="AP40" i="29"/>
  <c r="AO40" i="29"/>
  <c r="AN40" i="29"/>
  <c r="AM40" i="29"/>
  <c r="AL40" i="29"/>
  <c r="AK40" i="29"/>
  <c r="AJ40" i="29"/>
  <c r="AI40" i="29"/>
  <c r="AH40" i="29"/>
  <c r="AG40" i="29"/>
  <c r="AF40" i="29"/>
  <c r="AE40" i="29"/>
  <c r="AD40" i="29"/>
  <c r="AC40" i="29"/>
  <c r="AB40" i="29"/>
  <c r="AA40" i="29"/>
  <c r="Z40" i="29"/>
  <c r="Y40" i="29"/>
  <c r="X40" i="29"/>
  <c r="W40" i="29"/>
  <c r="V40" i="29"/>
  <c r="O40" i="29"/>
  <c r="N40" i="29"/>
  <c r="M40" i="29"/>
  <c r="L40" i="29"/>
  <c r="K40" i="29"/>
  <c r="J40" i="29"/>
  <c r="I40" i="29"/>
  <c r="H40" i="29"/>
  <c r="G40" i="29"/>
  <c r="F40" i="29"/>
  <c r="E40" i="29"/>
  <c r="D40" i="29"/>
  <c r="C40" i="29"/>
  <c r="B40" i="29"/>
  <c r="EY39" i="29"/>
  <c r="EX39" i="29"/>
  <c r="AZ39" i="29"/>
  <c r="AY39" i="29"/>
  <c r="AX39" i="29"/>
  <c r="AW39" i="29"/>
  <c r="AV39" i="29"/>
  <c r="AU39" i="29"/>
  <c r="AT39" i="29"/>
  <c r="AS39" i="29"/>
  <c r="AR39" i="29"/>
  <c r="AQ39" i="29"/>
  <c r="AP39" i="29"/>
  <c r="AO39" i="29"/>
  <c r="AN39" i="29"/>
  <c r="AM39" i="29"/>
  <c r="AL39" i="29"/>
  <c r="AK39" i="29"/>
  <c r="AJ39" i="29"/>
  <c r="AI39" i="29"/>
  <c r="AH39" i="29"/>
  <c r="AG39" i="29"/>
  <c r="AF39" i="29"/>
  <c r="AE39" i="29"/>
  <c r="AD39" i="29"/>
  <c r="AC39" i="29"/>
  <c r="AB39" i="29"/>
  <c r="AA39" i="29"/>
  <c r="Z39" i="29"/>
  <c r="Y39" i="29"/>
  <c r="X39" i="29"/>
  <c r="W39" i="29"/>
  <c r="V39" i="29"/>
  <c r="U39" i="29"/>
  <c r="T39" i="29"/>
  <c r="S39" i="29"/>
  <c r="R39" i="29"/>
  <c r="Q39" i="29"/>
  <c r="P39" i="29"/>
  <c r="O39" i="29"/>
  <c r="N39" i="29"/>
  <c r="M39" i="29"/>
  <c r="L39" i="29"/>
  <c r="K39" i="29"/>
  <c r="J39" i="29"/>
  <c r="I39" i="29"/>
  <c r="H39" i="29"/>
  <c r="G39" i="29"/>
  <c r="F39" i="29"/>
  <c r="E39" i="29"/>
  <c r="D39" i="29"/>
  <c r="C39" i="29"/>
  <c r="B39" i="29"/>
  <c r="EY38" i="29"/>
  <c r="EX38" i="29"/>
  <c r="AZ38" i="29"/>
  <c r="AY38" i="29"/>
  <c r="AX38" i="29"/>
  <c r="AW38" i="29"/>
  <c r="AV38" i="29"/>
  <c r="AU38" i="29"/>
  <c r="AT38" i="29"/>
  <c r="AS38" i="29"/>
  <c r="AR38" i="29"/>
  <c r="AQ38" i="29"/>
  <c r="AP38" i="29"/>
  <c r="AO38" i="29"/>
  <c r="AN38" i="29"/>
  <c r="AM38" i="29"/>
  <c r="AL38" i="29"/>
  <c r="AK38" i="29"/>
  <c r="AJ38" i="29"/>
  <c r="AI38" i="29"/>
  <c r="AH38" i="29"/>
  <c r="AG38" i="29"/>
  <c r="AF38" i="29"/>
  <c r="AE38" i="29"/>
  <c r="AD38" i="29"/>
  <c r="AC38" i="29"/>
  <c r="AB38" i="29"/>
  <c r="AA38" i="29"/>
  <c r="Z38" i="29"/>
  <c r="Y38" i="29"/>
  <c r="X38" i="29"/>
  <c r="W38" i="29"/>
  <c r="V38" i="29"/>
  <c r="U38" i="29"/>
  <c r="T38" i="29"/>
  <c r="S38" i="29"/>
  <c r="R38" i="29"/>
  <c r="Q38" i="29"/>
  <c r="P38" i="29"/>
  <c r="O38" i="29"/>
  <c r="N38" i="29"/>
  <c r="M38" i="29"/>
  <c r="L38" i="29"/>
  <c r="K38" i="29"/>
  <c r="J38" i="29"/>
  <c r="I38" i="29"/>
  <c r="H38" i="29"/>
  <c r="G38" i="29"/>
  <c r="F38" i="29"/>
  <c r="E38" i="29"/>
  <c r="D38" i="29"/>
  <c r="C38" i="29"/>
  <c r="B38" i="29"/>
  <c r="EY37" i="29"/>
  <c r="EX37" i="29"/>
  <c r="AZ37" i="29"/>
  <c r="AY37" i="29"/>
  <c r="AX37" i="29"/>
  <c r="AW37" i="29"/>
  <c r="AV37" i="29"/>
  <c r="AU37" i="29"/>
  <c r="AT37" i="29"/>
  <c r="AS37" i="29"/>
  <c r="AR37" i="29"/>
  <c r="AQ37" i="29"/>
  <c r="AP37" i="29"/>
  <c r="AO37" i="29"/>
  <c r="AN37" i="29"/>
  <c r="AM37" i="29"/>
  <c r="AL37" i="29"/>
  <c r="AK37" i="29"/>
  <c r="AJ37" i="29"/>
  <c r="AI37" i="29"/>
  <c r="AH37" i="29"/>
  <c r="AG37" i="29"/>
  <c r="AF37" i="29"/>
  <c r="AE37" i="29"/>
  <c r="AD37" i="29"/>
  <c r="AC37" i="29"/>
  <c r="AB37" i="29"/>
  <c r="AA37" i="29"/>
  <c r="Z37" i="29"/>
  <c r="Y37" i="29"/>
  <c r="X37" i="29"/>
  <c r="W37" i="29"/>
  <c r="V37" i="29"/>
  <c r="U37" i="29"/>
  <c r="T37" i="29"/>
  <c r="S37" i="29"/>
  <c r="R37" i="29"/>
  <c r="Q37" i="29"/>
  <c r="P37" i="29"/>
  <c r="O37" i="29"/>
  <c r="N37" i="29"/>
  <c r="M37" i="29"/>
  <c r="L37" i="29"/>
  <c r="K37" i="29"/>
  <c r="J37" i="29"/>
  <c r="I37" i="29"/>
  <c r="H37" i="29"/>
  <c r="G37" i="29"/>
  <c r="F37" i="29"/>
  <c r="E37" i="29"/>
  <c r="D37" i="29"/>
  <c r="C37" i="29"/>
  <c r="B37" i="29"/>
  <c r="EY36" i="29"/>
  <c r="EX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D36" i="29"/>
  <c r="C36" i="29"/>
  <c r="B36" i="29"/>
  <c r="EY35" i="29"/>
  <c r="EX35" i="29"/>
  <c r="AZ35" i="29"/>
  <c r="AY35" i="29"/>
  <c r="AX35" i="29"/>
  <c r="AW35" i="29"/>
  <c r="AV35" i="29"/>
  <c r="AU35" i="29"/>
  <c r="AT35" i="29"/>
  <c r="AS35" i="29"/>
  <c r="AR35" i="29"/>
  <c r="AQ35" i="29"/>
  <c r="AP35" i="29"/>
  <c r="AO35" i="29"/>
  <c r="AN35" i="29"/>
  <c r="AM35" i="29"/>
  <c r="AL35" i="29"/>
  <c r="AK35" i="29"/>
  <c r="AJ35" i="29"/>
  <c r="AI35" i="29"/>
  <c r="AH35" i="29"/>
  <c r="AG35" i="29"/>
  <c r="AF35" i="29"/>
  <c r="AE35" i="29"/>
  <c r="AD35" i="29"/>
  <c r="AC35" i="29"/>
  <c r="AB35" i="29"/>
  <c r="AA35" i="29"/>
  <c r="Z35" i="29"/>
  <c r="Y35" i="29"/>
  <c r="X35" i="29"/>
  <c r="W35" i="29"/>
  <c r="V35" i="29"/>
  <c r="U35" i="29"/>
  <c r="T35" i="29"/>
  <c r="S35" i="29"/>
  <c r="R35" i="29"/>
  <c r="Q35" i="29"/>
  <c r="P35" i="29"/>
  <c r="O35" i="29"/>
  <c r="N35" i="29"/>
  <c r="M35" i="29"/>
  <c r="L35" i="29"/>
  <c r="K35" i="29"/>
  <c r="J35" i="29"/>
  <c r="I35" i="29"/>
  <c r="H35" i="29"/>
  <c r="G35" i="29"/>
  <c r="F35" i="29"/>
  <c r="E35" i="29"/>
  <c r="D35" i="29"/>
  <c r="C35" i="29"/>
  <c r="B35" i="29"/>
  <c r="EY34" i="29"/>
  <c r="EX34" i="29"/>
  <c r="AZ34" i="29"/>
  <c r="AY34" i="29"/>
  <c r="AX34" i="29"/>
  <c r="AW34" i="29"/>
  <c r="AV34" i="29"/>
  <c r="AU34" i="29"/>
  <c r="AT34" i="29"/>
  <c r="AS34" i="29"/>
  <c r="AR34" i="29"/>
  <c r="AQ34" i="29"/>
  <c r="AP34" i="29"/>
  <c r="AO34" i="29"/>
  <c r="AN34" i="29"/>
  <c r="AM34" i="29"/>
  <c r="AL34" i="29"/>
  <c r="AK34" i="29"/>
  <c r="AJ34" i="29"/>
  <c r="AI34" i="29"/>
  <c r="AH34" i="29"/>
  <c r="AG34" i="29"/>
  <c r="AF34" i="29"/>
  <c r="AE34" i="29"/>
  <c r="AD34" i="29"/>
  <c r="AC34" i="29"/>
  <c r="AB34" i="29"/>
  <c r="AA34" i="29"/>
  <c r="Z34" i="29"/>
  <c r="Y34" i="29"/>
  <c r="X34" i="29"/>
  <c r="W34" i="29"/>
  <c r="V34" i="29"/>
  <c r="U34" i="29"/>
  <c r="T34" i="29"/>
  <c r="S34" i="29"/>
  <c r="R34" i="29"/>
  <c r="Q34" i="29"/>
  <c r="P34" i="29"/>
  <c r="O34" i="29"/>
  <c r="N34" i="29"/>
  <c r="M34" i="29"/>
  <c r="L34" i="29"/>
  <c r="K34" i="29"/>
  <c r="J34" i="29"/>
  <c r="I34" i="29"/>
  <c r="H34" i="29"/>
  <c r="G34" i="29"/>
  <c r="F34" i="29"/>
  <c r="E34" i="29"/>
  <c r="D34" i="29"/>
  <c r="C34" i="29"/>
  <c r="B34" i="29"/>
  <c r="EY33" i="29"/>
  <c r="AZ33" i="29"/>
  <c r="AY33" i="29"/>
  <c r="AX33" i="29"/>
  <c r="AW33" i="29"/>
  <c r="AV33" i="29"/>
  <c r="AU33" i="29"/>
  <c r="AT33" i="29"/>
  <c r="AS33" i="29"/>
  <c r="AR33" i="29"/>
  <c r="AQ33" i="29"/>
  <c r="AP33" i="29"/>
  <c r="AO33" i="29"/>
  <c r="AN33" i="29"/>
  <c r="AM33" i="29"/>
  <c r="AL33" i="29"/>
  <c r="AK33" i="29"/>
  <c r="AJ33" i="29"/>
  <c r="AI33" i="29"/>
  <c r="AH33" i="29"/>
  <c r="AG33" i="29"/>
  <c r="AF33" i="29"/>
  <c r="AE33" i="29"/>
  <c r="AD33" i="29"/>
  <c r="AC33" i="29"/>
  <c r="AB33" i="29"/>
  <c r="AA33" i="29"/>
  <c r="Z33" i="29"/>
  <c r="Y33" i="29"/>
  <c r="X33" i="29"/>
  <c r="W33" i="29"/>
  <c r="V33" i="29"/>
  <c r="U33" i="29"/>
  <c r="T33" i="29"/>
  <c r="S33" i="29"/>
  <c r="R33" i="29"/>
  <c r="Q33" i="29"/>
  <c r="P33" i="29"/>
  <c r="O33" i="29"/>
  <c r="N33" i="29"/>
  <c r="M33" i="29"/>
  <c r="L33" i="29"/>
  <c r="K33" i="29"/>
  <c r="J33" i="29"/>
  <c r="I33" i="29"/>
  <c r="H33" i="29"/>
  <c r="G33" i="29"/>
  <c r="F33" i="29"/>
  <c r="E33" i="29"/>
  <c r="D33" i="29"/>
  <c r="C33" i="29"/>
  <c r="B33" i="29"/>
  <c r="EY32" i="29"/>
  <c r="AZ32" i="29"/>
  <c r="AY32" i="29"/>
  <c r="AX32" i="29"/>
  <c r="AW32" i="29"/>
  <c r="AV32" i="29"/>
  <c r="AU32" i="29"/>
  <c r="AT32" i="29"/>
  <c r="AS32" i="29"/>
  <c r="AR32" i="29"/>
  <c r="AQ32" i="29"/>
  <c r="AP32" i="29"/>
  <c r="AO32" i="29"/>
  <c r="AN32" i="29"/>
  <c r="AM32" i="29"/>
  <c r="AL32" i="29"/>
  <c r="AK32" i="29"/>
  <c r="AJ32" i="29"/>
  <c r="AI32" i="29"/>
  <c r="AH32" i="29"/>
  <c r="AG32" i="29"/>
  <c r="AF32" i="29"/>
  <c r="AE32" i="29"/>
  <c r="AD32" i="29"/>
  <c r="AC32" i="29"/>
  <c r="AB32" i="29"/>
  <c r="AA32" i="29"/>
  <c r="Z32" i="29"/>
  <c r="Y32" i="29"/>
  <c r="X32" i="29"/>
  <c r="W32" i="29"/>
  <c r="V32" i="29"/>
  <c r="U32" i="29"/>
  <c r="T32" i="29"/>
  <c r="S32" i="29"/>
  <c r="R32" i="29"/>
  <c r="Q32" i="29"/>
  <c r="P32" i="29"/>
  <c r="O32" i="29"/>
  <c r="N32" i="29"/>
  <c r="M32" i="29"/>
  <c r="L32" i="29"/>
  <c r="K32" i="29"/>
  <c r="J32" i="29"/>
  <c r="I32" i="29"/>
  <c r="H32" i="29"/>
  <c r="G32" i="29"/>
  <c r="F32" i="29"/>
  <c r="E32" i="29"/>
  <c r="D32" i="29"/>
  <c r="C32" i="29"/>
  <c r="B32" i="29"/>
  <c r="EY31" i="29"/>
  <c r="AZ31" i="29"/>
  <c r="AY31" i="29"/>
  <c r="AX31" i="29"/>
  <c r="AW31" i="29"/>
  <c r="AV31" i="29"/>
  <c r="AU31" i="29"/>
  <c r="AT31" i="29"/>
  <c r="AS31" i="29"/>
  <c r="AR31" i="29"/>
  <c r="AQ31" i="29"/>
  <c r="AP31" i="29"/>
  <c r="AO31" i="29"/>
  <c r="AN31" i="29"/>
  <c r="AM31" i="29"/>
  <c r="AL31" i="29"/>
  <c r="AK31" i="29"/>
  <c r="AJ31" i="29"/>
  <c r="AI31" i="29"/>
  <c r="AH31" i="29"/>
  <c r="AG31" i="29"/>
  <c r="AF31" i="29"/>
  <c r="AE31" i="29"/>
  <c r="AD31" i="29"/>
  <c r="AC31" i="29"/>
  <c r="AB31" i="29"/>
  <c r="AA31" i="29"/>
  <c r="Z31" i="29"/>
  <c r="Y31" i="29"/>
  <c r="X31" i="29"/>
  <c r="W31" i="29"/>
  <c r="V31" i="29"/>
  <c r="U31" i="29"/>
  <c r="T31" i="29"/>
  <c r="S31" i="29"/>
  <c r="R31" i="29"/>
  <c r="Q31" i="29"/>
  <c r="P31" i="29"/>
  <c r="O31" i="29"/>
  <c r="N31" i="29"/>
  <c r="M31" i="29"/>
  <c r="L31" i="29"/>
  <c r="K31" i="29"/>
  <c r="J31" i="29"/>
  <c r="I31" i="29"/>
  <c r="H31" i="29"/>
  <c r="G31" i="29"/>
  <c r="F31" i="29"/>
  <c r="E31" i="29"/>
  <c r="D31" i="29"/>
  <c r="C31" i="29"/>
  <c r="B31" i="29"/>
  <c r="EY30" i="29"/>
  <c r="AZ30" i="29"/>
  <c r="AY30" i="29"/>
  <c r="AX30" i="29"/>
  <c r="AW30" i="29"/>
  <c r="AV30" i="29"/>
  <c r="AU30" i="29"/>
  <c r="AT30" i="29"/>
  <c r="AS30" i="29"/>
  <c r="AR30" i="29"/>
  <c r="AQ30" i="29"/>
  <c r="AP30" i="29"/>
  <c r="AO30" i="29"/>
  <c r="AN30" i="29"/>
  <c r="AM30" i="29"/>
  <c r="AL30" i="29"/>
  <c r="AK30" i="29"/>
  <c r="AJ30" i="29"/>
  <c r="AI30" i="29"/>
  <c r="AH30" i="29"/>
  <c r="AG30" i="29"/>
  <c r="AF30" i="29"/>
  <c r="AE30" i="29"/>
  <c r="AD30" i="29"/>
  <c r="AC30" i="29"/>
  <c r="AB30" i="29"/>
  <c r="AA30" i="29"/>
  <c r="Z30" i="29"/>
  <c r="Y30" i="29"/>
  <c r="X30" i="29"/>
  <c r="W30" i="29"/>
  <c r="V30" i="29"/>
  <c r="U30" i="29"/>
  <c r="T30" i="29"/>
  <c r="S30" i="29"/>
  <c r="R30" i="29"/>
  <c r="Q30" i="29"/>
  <c r="P30" i="29"/>
  <c r="O30" i="29"/>
  <c r="N30" i="29"/>
  <c r="M30" i="29"/>
  <c r="L30" i="29"/>
  <c r="K30" i="29"/>
  <c r="J30" i="29"/>
  <c r="I30" i="29"/>
  <c r="H30" i="29"/>
  <c r="G30" i="29"/>
  <c r="F30" i="29"/>
  <c r="E30" i="29"/>
  <c r="D30" i="29"/>
  <c r="C30" i="29"/>
  <c r="B30" i="29"/>
  <c r="EY29" i="29"/>
  <c r="AZ29" i="29"/>
  <c r="AY29" i="29"/>
  <c r="AX29" i="29"/>
  <c r="AW29" i="29"/>
  <c r="AV29" i="29"/>
  <c r="AU29" i="29"/>
  <c r="AT29" i="29"/>
  <c r="AS29" i="29"/>
  <c r="AR29" i="29"/>
  <c r="AQ29" i="29"/>
  <c r="AP29" i="29"/>
  <c r="AO29" i="29"/>
  <c r="AN29" i="29"/>
  <c r="AM29" i="29"/>
  <c r="AL29" i="29"/>
  <c r="AK29" i="29"/>
  <c r="AJ29" i="29"/>
  <c r="AI29" i="29"/>
  <c r="AH29" i="29"/>
  <c r="AG29" i="29"/>
  <c r="AF29" i="29"/>
  <c r="AE29" i="29"/>
  <c r="AD29" i="29"/>
  <c r="AC29" i="29"/>
  <c r="AB29" i="29"/>
  <c r="AA29" i="29"/>
  <c r="Z29" i="29"/>
  <c r="Y29" i="29"/>
  <c r="X29" i="29"/>
  <c r="W29" i="29"/>
  <c r="V29" i="29"/>
  <c r="U29" i="29"/>
  <c r="T29" i="29"/>
  <c r="S29" i="29"/>
  <c r="R29" i="29"/>
  <c r="Q29" i="29"/>
  <c r="P29" i="29"/>
  <c r="O29" i="29"/>
  <c r="N29" i="29"/>
  <c r="M29" i="29"/>
  <c r="L29" i="29"/>
  <c r="K29" i="29"/>
  <c r="J29" i="29"/>
  <c r="I29" i="29"/>
  <c r="H29" i="29"/>
  <c r="G29" i="29"/>
  <c r="F29" i="29"/>
  <c r="E29" i="29"/>
  <c r="D29" i="29"/>
  <c r="C29" i="29"/>
  <c r="B29" i="29"/>
  <c r="EY28" i="29"/>
  <c r="AZ28" i="29"/>
  <c r="AY28" i="29"/>
  <c r="AX28" i="29"/>
  <c r="AW28" i="29"/>
  <c r="AV28" i="29"/>
  <c r="AU28" i="29"/>
  <c r="AT28" i="29"/>
  <c r="AS28" i="29"/>
  <c r="AR28" i="29"/>
  <c r="AQ28" i="29"/>
  <c r="AP28" i="29"/>
  <c r="AO28" i="29"/>
  <c r="AN28" i="29"/>
  <c r="AM28" i="29"/>
  <c r="AL28" i="29"/>
  <c r="AK28" i="29"/>
  <c r="AJ28" i="29"/>
  <c r="AI28" i="29"/>
  <c r="AH28" i="29"/>
  <c r="AG28" i="29"/>
  <c r="AF28" i="29"/>
  <c r="AE28" i="29"/>
  <c r="AD28" i="29"/>
  <c r="AC28" i="29"/>
  <c r="AB28" i="29"/>
  <c r="AA28" i="29"/>
  <c r="Z28" i="29"/>
  <c r="Y28" i="29"/>
  <c r="X28" i="29"/>
  <c r="W28" i="29"/>
  <c r="V28" i="29"/>
  <c r="U28" i="29"/>
  <c r="T28" i="29"/>
  <c r="S28" i="29"/>
  <c r="R28" i="29"/>
  <c r="Q28" i="29"/>
  <c r="P28" i="29"/>
  <c r="O28" i="29"/>
  <c r="N28" i="29"/>
  <c r="M28" i="29"/>
  <c r="L28" i="29"/>
  <c r="K28" i="29"/>
  <c r="J28" i="29"/>
  <c r="I28" i="29"/>
  <c r="H28" i="29"/>
  <c r="G28" i="29"/>
  <c r="F28" i="29"/>
  <c r="E28" i="29"/>
  <c r="D28" i="29"/>
  <c r="C28" i="29"/>
  <c r="B28" i="29"/>
  <c r="EY27" i="29"/>
  <c r="CA27" i="29"/>
  <c r="BZ27" i="29"/>
  <c r="BY27" i="29"/>
  <c r="BX27" i="29"/>
  <c r="BW27" i="29"/>
  <c r="AZ27" i="29"/>
  <c r="AY27" i="29"/>
  <c r="AX27" i="29"/>
  <c r="AW27" i="29"/>
  <c r="AV27" i="29"/>
  <c r="AU27" i="29"/>
  <c r="AT27" i="29"/>
  <c r="AS27" i="29"/>
  <c r="AR27" i="29"/>
  <c r="AQ27" i="29"/>
  <c r="AP27" i="29"/>
  <c r="AO27" i="29"/>
  <c r="AN27" i="29"/>
  <c r="AM27" i="29"/>
  <c r="AL27" i="29"/>
  <c r="AK27" i="29"/>
  <c r="AJ27" i="29"/>
  <c r="AI27" i="29"/>
  <c r="AH27" i="29"/>
  <c r="AG27" i="29"/>
  <c r="AF27" i="29"/>
  <c r="AE27" i="29"/>
  <c r="AD27" i="29"/>
  <c r="AC27" i="29"/>
  <c r="AB27" i="29"/>
  <c r="AA27" i="29"/>
  <c r="Z27" i="29"/>
  <c r="Y27" i="29"/>
  <c r="X27" i="29"/>
  <c r="W27" i="29"/>
  <c r="V27" i="29"/>
  <c r="U27" i="29"/>
  <c r="T27" i="29"/>
  <c r="S27" i="29"/>
  <c r="R27" i="29"/>
  <c r="Q27" i="29"/>
  <c r="P27" i="29"/>
  <c r="O27" i="29"/>
  <c r="N27" i="29"/>
  <c r="M27" i="29"/>
  <c r="L27" i="29"/>
  <c r="K27" i="29"/>
  <c r="J27" i="29"/>
  <c r="I27" i="29"/>
  <c r="H27" i="29"/>
  <c r="G27" i="29"/>
  <c r="F27" i="29"/>
  <c r="E27" i="29"/>
  <c r="D27" i="29"/>
  <c r="C27" i="29"/>
  <c r="B27" i="29"/>
  <c r="EY26" i="29"/>
  <c r="CB26" i="29"/>
  <c r="CA26" i="29"/>
  <c r="BZ26" i="29"/>
  <c r="BY26" i="29"/>
  <c r="BX26" i="29"/>
  <c r="BW26" i="29"/>
  <c r="BA26" i="29"/>
  <c r="AZ26" i="29"/>
  <c r="AY26" i="29"/>
  <c r="AX26" i="29"/>
  <c r="AW26" i="29"/>
  <c r="AV26" i="29"/>
  <c r="AU26" i="29"/>
  <c r="AT26" i="29"/>
  <c r="AS26" i="29"/>
  <c r="AR26" i="29"/>
  <c r="AQ26" i="29"/>
  <c r="AP26" i="29"/>
  <c r="AO26" i="29"/>
  <c r="AN26" i="29"/>
  <c r="AM26" i="29"/>
  <c r="AL26" i="29"/>
  <c r="AK26" i="29"/>
  <c r="AJ26" i="29"/>
  <c r="AI26" i="29"/>
  <c r="AH26" i="29"/>
  <c r="AG26" i="29"/>
  <c r="AF26" i="29"/>
  <c r="AE26" i="29"/>
  <c r="AD26" i="29"/>
  <c r="AC26" i="29"/>
  <c r="AB26" i="29"/>
  <c r="AA26" i="29"/>
  <c r="Z26" i="29"/>
  <c r="Y26" i="29"/>
  <c r="X26" i="29"/>
  <c r="W26" i="29"/>
  <c r="V26" i="29"/>
  <c r="U26" i="29"/>
  <c r="T26" i="29"/>
  <c r="S26" i="29"/>
  <c r="R26" i="29"/>
  <c r="Q26" i="29"/>
  <c r="P26" i="29"/>
  <c r="O26" i="29"/>
  <c r="N26" i="29"/>
  <c r="M26" i="29"/>
  <c r="L26" i="29"/>
  <c r="K26" i="29"/>
  <c r="J26" i="29"/>
  <c r="I26" i="29"/>
  <c r="H26" i="29"/>
  <c r="G26" i="29"/>
  <c r="F26" i="29"/>
  <c r="E26" i="29"/>
  <c r="D26" i="29"/>
  <c r="C26" i="29"/>
  <c r="B26" i="29"/>
  <c r="CC25" i="29"/>
  <c r="CB25" i="29"/>
  <c r="CA25" i="29"/>
  <c r="BZ25" i="29"/>
  <c r="BY25" i="29"/>
  <c r="BX25" i="29"/>
  <c r="BW25" i="29"/>
  <c r="BV25" i="29"/>
  <c r="BB25" i="29"/>
  <c r="BA25" i="29"/>
  <c r="AZ25" i="29"/>
  <c r="AY25" i="29"/>
  <c r="AX25" i="29"/>
  <c r="AW25" i="29"/>
  <c r="AV25" i="29"/>
  <c r="AU25" i="29"/>
  <c r="AT25" i="29"/>
  <c r="AS25" i="29"/>
  <c r="AR25" i="29"/>
  <c r="AQ25" i="29"/>
  <c r="AP25" i="29"/>
  <c r="AO25" i="29"/>
  <c r="AN25" i="29"/>
  <c r="AM25" i="29"/>
  <c r="AL25" i="29"/>
  <c r="AK25" i="29"/>
  <c r="AJ25" i="29"/>
  <c r="AI25" i="29"/>
  <c r="AH25" i="29"/>
  <c r="AG25" i="29"/>
  <c r="AF25" i="29"/>
  <c r="AE25" i="29"/>
  <c r="AD25" i="29"/>
  <c r="AC25" i="29"/>
  <c r="AB25" i="29"/>
  <c r="AA25" i="29"/>
  <c r="Z25" i="29"/>
  <c r="Y25" i="29"/>
  <c r="X25" i="29"/>
  <c r="W25" i="29"/>
  <c r="V25" i="29"/>
  <c r="U25" i="29"/>
  <c r="T25" i="29"/>
  <c r="S25" i="29"/>
  <c r="R25" i="29"/>
  <c r="Q25" i="29"/>
  <c r="P25" i="29"/>
  <c r="O25" i="29"/>
  <c r="N25" i="29"/>
  <c r="M25" i="29"/>
  <c r="L25" i="29"/>
  <c r="K25" i="29"/>
  <c r="J25" i="29"/>
  <c r="I25" i="29"/>
  <c r="H25" i="29"/>
  <c r="G25" i="29"/>
  <c r="F25" i="29"/>
  <c r="E25" i="29"/>
  <c r="D25" i="29"/>
  <c r="C25" i="29"/>
  <c r="B25" i="29"/>
  <c r="DA24" i="29"/>
  <c r="CZ24" i="29"/>
  <c r="CY24" i="29"/>
  <c r="CX24" i="29"/>
  <c r="CW24" i="29"/>
  <c r="CV24" i="29"/>
  <c r="CU24" i="29"/>
  <c r="CT24" i="29"/>
  <c r="CE24" i="29"/>
  <c r="CD24" i="29"/>
  <c r="CC24" i="29"/>
  <c r="CB24" i="29"/>
  <c r="CA24" i="29"/>
  <c r="BZ24" i="29"/>
  <c r="BY24" i="29"/>
  <c r="BX24" i="29"/>
  <c r="BW24" i="29"/>
  <c r="BV24" i="29"/>
  <c r="BU24" i="29"/>
  <c r="BT24" i="29"/>
  <c r="BS24" i="29"/>
  <c r="BR24" i="29"/>
  <c r="BG24" i="29"/>
  <c r="BF24" i="29"/>
  <c r="BE24" i="29"/>
  <c r="BD24" i="29"/>
  <c r="BC24" i="29"/>
  <c r="BB24" i="29"/>
  <c r="BA24" i="29"/>
  <c r="AZ24" i="29"/>
  <c r="AY24" i="29"/>
  <c r="AX24" i="29"/>
  <c r="AW24" i="29"/>
  <c r="AV24" i="29"/>
  <c r="AU24" i="29"/>
  <c r="AT24" i="29"/>
  <c r="AS24" i="29"/>
  <c r="AR24" i="29"/>
  <c r="AQ24" i="29"/>
  <c r="AP24" i="29"/>
  <c r="AO24" i="29"/>
  <c r="AN24" i="29"/>
  <c r="AM24" i="29"/>
  <c r="AL24" i="29"/>
  <c r="AK24" i="29"/>
  <c r="AJ24" i="29"/>
  <c r="AI24" i="29"/>
  <c r="AH24" i="29"/>
  <c r="AG24" i="29"/>
  <c r="AF24" i="29"/>
  <c r="AE24" i="29"/>
  <c r="AD24" i="29"/>
  <c r="AC24" i="29"/>
  <c r="AB24" i="29"/>
  <c r="AA24" i="29"/>
  <c r="Z24" i="29"/>
  <c r="Y24" i="29"/>
  <c r="X24" i="29"/>
  <c r="W24" i="29"/>
  <c r="V24" i="29"/>
  <c r="U24" i="29"/>
  <c r="T24" i="29"/>
  <c r="S24" i="29"/>
  <c r="R24" i="29"/>
  <c r="Q24" i="29"/>
  <c r="P24" i="29"/>
  <c r="O24" i="29"/>
  <c r="N24" i="29"/>
  <c r="M24" i="29"/>
  <c r="L24" i="29"/>
  <c r="K24" i="29"/>
  <c r="J24" i="29"/>
  <c r="I24" i="29"/>
  <c r="H24" i="29"/>
  <c r="G24" i="29"/>
  <c r="F24" i="29"/>
  <c r="E24" i="29"/>
  <c r="D24" i="29"/>
  <c r="C24" i="29"/>
  <c r="B24" i="29"/>
  <c r="DA23" i="29"/>
  <c r="CZ23" i="29"/>
  <c r="CY23" i="29"/>
  <c r="CX23" i="29"/>
  <c r="CW23" i="29"/>
  <c r="CV23" i="29"/>
  <c r="CU23" i="29"/>
  <c r="CT23" i="29"/>
  <c r="CE23" i="29"/>
  <c r="CD23" i="29"/>
  <c r="CC23" i="29"/>
  <c r="CB23" i="29"/>
  <c r="CA23" i="29"/>
  <c r="BZ23" i="29"/>
  <c r="BY23" i="29"/>
  <c r="BX23" i="29"/>
  <c r="BW23" i="29"/>
  <c r="BV23" i="29"/>
  <c r="BU23" i="29"/>
  <c r="BT23" i="29"/>
  <c r="BS23" i="29"/>
  <c r="BR23" i="29"/>
  <c r="BQ23" i="29"/>
  <c r="BP23" i="29"/>
  <c r="BO23" i="29"/>
  <c r="BN23" i="29"/>
  <c r="BM23" i="29"/>
  <c r="BL23" i="29"/>
  <c r="BK23" i="29"/>
  <c r="BJ23" i="29"/>
  <c r="BI23" i="29"/>
  <c r="BH23" i="29"/>
  <c r="BG23" i="29"/>
  <c r="BF23" i="29"/>
  <c r="BE23" i="29"/>
  <c r="BD23" i="29"/>
  <c r="BC23" i="29"/>
  <c r="BB23" i="29"/>
  <c r="BA23" i="29"/>
  <c r="AZ23" i="29"/>
  <c r="AY23" i="29"/>
  <c r="AX23" i="29"/>
  <c r="AW23" i="29"/>
  <c r="AV23" i="29"/>
  <c r="AU23" i="29"/>
  <c r="AT23" i="29"/>
  <c r="AS23" i="29"/>
  <c r="AR23" i="29"/>
  <c r="AQ23" i="29"/>
  <c r="AP23" i="29"/>
  <c r="AO23" i="29"/>
  <c r="AN23" i="29"/>
  <c r="AM23" i="29"/>
  <c r="AL23" i="29"/>
  <c r="AK23" i="29"/>
  <c r="AJ23" i="29"/>
  <c r="AI23" i="29"/>
  <c r="AH23" i="29"/>
  <c r="AG23" i="29"/>
  <c r="AF23" i="29"/>
  <c r="AE23" i="29"/>
  <c r="AD23" i="29"/>
  <c r="AC23" i="29"/>
  <c r="AB23" i="29"/>
  <c r="AA23" i="29"/>
  <c r="Z23" i="29"/>
  <c r="Y23" i="29"/>
  <c r="X23" i="29"/>
  <c r="W23" i="29"/>
  <c r="V23" i="29"/>
  <c r="U23" i="29"/>
  <c r="T23" i="29"/>
  <c r="S23" i="29"/>
  <c r="R23" i="29"/>
  <c r="Q23" i="29"/>
  <c r="P23" i="29"/>
  <c r="O23" i="29"/>
  <c r="N23" i="29"/>
  <c r="M23" i="29"/>
  <c r="L23" i="29"/>
  <c r="K23" i="29"/>
  <c r="J23" i="29"/>
  <c r="I23" i="29"/>
  <c r="H23" i="29"/>
  <c r="G23" i="29"/>
  <c r="F23" i="29"/>
  <c r="E23" i="29"/>
  <c r="D23" i="29"/>
  <c r="C23" i="29"/>
  <c r="B23" i="29"/>
  <c r="DA22" i="29"/>
  <c r="CZ22" i="29"/>
  <c r="CY22" i="29"/>
  <c r="CX22" i="29"/>
  <c r="CW22" i="29"/>
  <c r="CV22" i="29"/>
  <c r="CU22" i="29"/>
  <c r="CT22" i="29"/>
  <c r="CG22" i="29"/>
  <c r="CF22" i="29"/>
  <c r="CE22" i="29"/>
  <c r="CD22" i="29"/>
  <c r="CC22" i="29"/>
  <c r="CB22" i="29"/>
  <c r="CA22" i="29"/>
  <c r="BZ22" i="29"/>
  <c r="BY22" i="29"/>
  <c r="BX22" i="29"/>
  <c r="BW22" i="29"/>
  <c r="BV22" i="29"/>
  <c r="BU22" i="29"/>
  <c r="BT22" i="29"/>
  <c r="BS22" i="29"/>
  <c r="BR22" i="29"/>
  <c r="BQ22" i="29"/>
  <c r="BP22" i="29"/>
  <c r="BO22" i="29"/>
  <c r="BN22" i="29"/>
  <c r="BM22" i="29"/>
  <c r="BL22" i="29"/>
  <c r="BK22" i="29"/>
  <c r="BJ22" i="29"/>
  <c r="BI22" i="29"/>
  <c r="BH22" i="29"/>
  <c r="BG22" i="29"/>
  <c r="BF22" i="29"/>
  <c r="BE22" i="29"/>
  <c r="BD22" i="29"/>
  <c r="BC22" i="29"/>
  <c r="BB22" i="29"/>
  <c r="BA22" i="29"/>
  <c r="AZ22" i="29"/>
  <c r="AY22" i="29"/>
  <c r="AX22" i="29"/>
  <c r="AW22" i="29"/>
  <c r="AV22" i="29"/>
  <c r="AU22" i="29"/>
  <c r="AT22" i="29"/>
  <c r="AS22" i="29"/>
  <c r="AR22" i="29"/>
  <c r="AQ22" i="29"/>
  <c r="AP22" i="29"/>
  <c r="AO22" i="29"/>
  <c r="AN22" i="29"/>
  <c r="AM22" i="29"/>
  <c r="AL22" i="29"/>
  <c r="AK22" i="29"/>
  <c r="AJ22" i="29"/>
  <c r="AI22" i="29"/>
  <c r="AH22" i="29"/>
  <c r="AG22" i="29"/>
  <c r="AF22" i="29"/>
  <c r="AE22" i="29"/>
  <c r="AD22" i="29"/>
  <c r="AC22" i="29"/>
  <c r="AB22" i="29"/>
  <c r="AA22" i="29"/>
  <c r="Z22" i="29"/>
  <c r="Y22" i="29"/>
  <c r="X22" i="29"/>
  <c r="W22" i="29"/>
  <c r="V22" i="29"/>
  <c r="U22" i="29"/>
  <c r="T22" i="29"/>
  <c r="S22" i="29"/>
  <c r="R22" i="29"/>
  <c r="Q22" i="29"/>
  <c r="P22" i="29"/>
  <c r="O22" i="29"/>
  <c r="N22" i="29"/>
  <c r="M22" i="29"/>
  <c r="L22" i="29"/>
  <c r="K22" i="29"/>
  <c r="J22" i="29"/>
  <c r="I22" i="29"/>
  <c r="H22" i="29"/>
  <c r="G22" i="29"/>
  <c r="F22" i="29"/>
  <c r="E22" i="29"/>
  <c r="D22" i="29"/>
  <c r="C22" i="29"/>
  <c r="B22" i="29"/>
  <c r="EY21" i="29"/>
  <c r="EX21" i="29"/>
  <c r="DA21" i="29"/>
  <c r="CZ21" i="29"/>
  <c r="CY21" i="29"/>
  <c r="CX21" i="29"/>
  <c r="CW21" i="29"/>
  <c r="CV21" i="29"/>
  <c r="CU21" i="29"/>
  <c r="CT21" i="29"/>
  <c r="CH21" i="29"/>
  <c r="CG21" i="29"/>
  <c r="CF21" i="29"/>
  <c r="CE21" i="29"/>
  <c r="CD21" i="29"/>
  <c r="CC21" i="29"/>
  <c r="CB21" i="29"/>
  <c r="CA21" i="29"/>
  <c r="BZ21" i="29"/>
  <c r="BY21" i="29"/>
  <c r="BX21" i="29"/>
  <c r="BW21" i="29"/>
  <c r="BV21" i="29"/>
  <c r="BU21" i="29"/>
  <c r="BT21" i="29"/>
  <c r="BS21" i="29"/>
  <c r="BR21" i="29"/>
  <c r="BQ21" i="29"/>
  <c r="BP21" i="29"/>
  <c r="BO21" i="29"/>
  <c r="BN21" i="29"/>
  <c r="BM21" i="29"/>
  <c r="BL21" i="29"/>
  <c r="BK21" i="29"/>
  <c r="BJ21" i="29"/>
  <c r="BI21" i="29"/>
  <c r="BH21" i="29"/>
  <c r="BG21" i="29"/>
  <c r="BF21" i="29"/>
  <c r="BE21" i="29"/>
  <c r="BD21" i="29"/>
  <c r="BC21" i="29"/>
  <c r="BB21" i="29"/>
  <c r="BA21" i="29"/>
  <c r="AZ21" i="29"/>
  <c r="AY21" i="29"/>
  <c r="AX21" i="29"/>
  <c r="AW21" i="29"/>
  <c r="AV21" i="29"/>
  <c r="AU21" i="29"/>
  <c r="AT21" i="29"/>
  <c r="AS21" i="29"/>
  <c r="AR21" i="29"/>
  <c r="AQ21" i="29"/>
  <c r="AP21" i="29"/>
  <c r="AO21" i="29"/>
  <c r="AN21" i="29"/>
  <c r="AM21" i="29"/>
  <c r="AL21" i="29"/>
  <c r="AK21" i="29"/>
  <c r="AJ21" i="29"/>
  <c r="AI21" i="29"/>
  <c r="AH21" i="29"/>
  <c r="AG21" i="29"/>
  <c r="AF21" i="29"/>
  <c r="AE21" i="29"/>
  <c r="AD21" i="29"/>
  <c r="AC21" i="29"/>
  <c r="AB21" i="29"/>
  <c r="AA21" i="29"/>
  <c r="Z21" i="29"/>
  <c r="Y21" i="29"/>
  <c r="X21" i="29"/>
  <c r="W21" i="29"/>
  <c r="V21" i="29"/>
  <c r="U21" i="29"/>
  <c r="T21" i="29"/>
  <c r="S21" i="29"/>
  <c r="R21" i="29"/>
  <c r="Q21" i="29"/>
  <c r="P21" i="29"/>
  <c r="O21" i="29"/>
  <c r="N21" i="29"/>
  <c r="M21" i="29"/>
  <c r="L21" i="29"/>
  <c r="K21" i="29"/>
  <c r="J21" i="29"/>
  <c r="I21" i="29"/>
  <c r="H21" i="29"/>
  <c r="G21" i="29"/>
  <c r="F21" i="29"/>
  <c r="E21" i="29"/>
  <c r="D21" i="29"/>
  <c r="C21" i="29"/>
  <c r="B21" i="29"/>
  <c r="EY20" i="29"/>
  <c r="EX20" i="29"/>
  <c r="EW20" i="29"/>
  <c r="EV20" i="29"/>
  <c r="DA20" i="29"/>
  <c r="CZ20" i="29"/>
  <c r="CY20" i="29"/>
  <c r="CX20" i="29"/>
  <c r="CW20" i="29"/>
  <c r="CV20" i="29"/>
  <c r="CU20" i="29"/>
  <c r="CT20" i="29"/>
  <c r="CI20" i="29"/>
  <c r="CH20" i="29"/>
  <c r="CG20" i="29"/>
  <c r="CF20" i="29"/>
  <c r="CE20" i="29"/>
  <c r="CD20" i="29"/>
  <c r="CC20" i="29"/>
  <c r="CB20" i="29"/>
  <c r="CA20" i="29"/>
  <c r="BZ20" i="29"/>
  <c r="BY20" i="29"/>
  <c r="BX20" i="29"/>
  <c r="BW20" i="29"/>
  <c r="BV20" i="29"/>
  <c r="BU20" i="29"/>
  <c r="BT20" i="29"/>
  <c r="BS20" i="29"/>
  <c r="BR20" i="29"/>
  <c r="BQ20" i="29"/>
  <c r="BP20" i="29"/>
  <c r="BO20" i="29"/>
  <c r="BN20" i="29"/>
  <c r="BM20" i="29"/>
  <c r="BL20" i="29"/>
  <c r="BK20" i="29"/>
  <c r="BJ20" i="29"/>
  <c r="BI20" i="29"/>
  <c r="BH20" i="29"/>
  <c r="BG20" i="29"/>
  <c r="BF20" i="29"/>
  <c r="BE20" i="29"/>
  <c r="BD20" i="29"/>
  <c r="BC20" i="29"/>
  <c r="BB20" i="29"/>
  <c r="BA20" i="29"/>
  <c r="AZ20" i="29"/>
  <c r="AY20" i="29"/>
  <c r="AX20" i="29"/>
  <c r="AW20" i="29"/>
  <c r="AV20" i="29"/>
  <c r="AU20" i="29"/>
  <c r="AT20" i="29"/>
  <c r="AS20" i="29"/>
  <c r="AR20" i="29"/>
  <c r="AQ20" i="29"/>
  <c r="AP20" i="29"/>
  <c r="AO20" i="29"/>
  <c r="AN20" i="29"/>
  <c r="AM20" i="29"/>
  <c r="AL20" i="29"/>
  <c r="AK20" i="29"/>
  <c r="AJ20" i="29"/>
  <c r="AI20" i="29"/>
  <c r="AH20" i="29"/>
  <c r="AG20" i="29"/>
  <c r="AF20" i="29"/>
  <c r="AE20" i="29"/>
  <c r="AD20" i="29"/>
  <c r="AC20" i="29"/>
  <c r="AB20" i="29"/>
  <c r="AA20" i="29"/>
  <c r="Z20" i="29"/>
  <c r="Y20" i="29"/>
  <c r="X20" i="29"/>
  <c r="W20" i="29"/>
  <c r="V20" i="29"/>
  <c r="U20" i="29"/>
  <c r="T20" i="29"/>
  <c r="S20" i="29"/>
  <c r="R20" i="29"/>
  <c r="Q20" i="29"/>
  <c r="P20" i="29"/>
  <c r="O20" i="29"/>
  <c r="N20" i="29"/>
  <c r="M20" i="29"/>
  <c r="L20" i="29"/>
  <c r="K20" i="29"/>
  <c r="J20" i="29"/>
  <c r="I20" i="29"/>
  <c r="H20" i="29"/>
  <c r="G20" i="29"/>
  <c r="F20" i="29"/>
  <c r="E20" i="29"/>
  <c r="D20" i="29"/>
  <c r="C20" i="29"/>
  <c r="B20" i="29"/>
  <c r="EY19" i="29"/>
  <c r="EX19" i="29"/>
  <c r="EW19" i="29"/>
  <c r="EV19" i="29"/>
  <c r="EU19" i="29"/>
  <c r="ET19" i="29"/>
  <c r="ES19" i="29"/>
  <c r="DT19" i="29"/>
  <c r="DS19" i="29"/>
  <c r="DB19" i="29"/>
  <c r="DA19" i="29"/>
  <c r="CZ19" i="29"/>
  <c r="CY19" i="29"/>
  <c r="CX19" i="29"/>
  <c r="CW19" i="29"/>
  <c r="CV19" i="29"/>
  <c r="CU19" i="29"/>
  <c r="CT19" i="29"/>
  <c r="CK19" i="29"/>
  <c r="CJ19" i="29"/>
  <c r="CI19" i="29"/>
  <c r="CH19" i="29"/>
  <c r="CG19" i="29"/>
  <c r="CF19" i="29"/>
  <c r="CE19" i="29"/>
  <c r="CD19" i="29"/>
  <c r="CC19" i="29"/>
  <c r="CB19" i="29"/>
  <c r="CA19" i="29"/>
  <c r="BZ19" i="29"/>
  <c r="BY19" i="29"/>
  <c r="BX19" i="29"/>
  <c r="BW19" i="29"/>
  <c r="BV19" i="29"/>
  <c r="BU19" i="29"/>
  <c r="BT19" i="29"/>
  <c r="BS19" i="29"/>
  <c r="BR19" i="29"/>
  <c r="BQ19" i="29"/>
  <c r="BP19" i="29"/>
  <c r="BO19" i="29"/>
  <c r="BN19" i="29"/>
  <c r="BM19" i="29"/>
  <c r="BL19" i="29"/>
  <c r="BK19" i="29"/>
  <c r="BJ19" i="29"/>
  <c r="BI19" i="29"/>
  <c r="BH19" i="29"/>
  <c r="BG19" i="29"/>
  <c r="BF19" i="29"/>
  <c r="BE19" i="29"/>
  <c r="BD19" i="29"/>
  <c r="BC19" i="29"/>
  <c r="BB19" i="29"/>
  <c r="BA19" i="29"/>
  <c r="AZ19" i="29"/>
  <c r="AY19" i="29"/>
  <c r="AX19" i="29"/>
  <c r="AW19" i="29"/>
  <c r="AV19" i="29"/>
  <c r="AU19" i="29"/>
  <c r="AT19" i="29"/>
  <c r="AS19" i="29"/>
  <c r="AR19" i="29"/>
  <c r="AQ19" i="29"/>
  <c r="AP19" i="29"/>
  <c r="AO19" i="29"/>
  <c r="AN19" i="29"/>
  <c r="AM19" i="29"/>
  <c r="AL19" i="29"/>
  <c r="AK19" i="29"/>
  <c r="AJ19" i="29"/>
  <c r="AI19" i="29"/>
  <c r="AH19" i="29"/>
  <c r="AG19" i="29"/>
  <c r="AF19" i="29"/>
  <c r="AE19" i="29"/>
  <c r="AD19" i="29"/>
  <c r="AC19" i="29"/>
  <c r="AB19" i="29"/>
  <c r="AA19" i="29"/>
  <c r="Z19" i="29"/>
  <c r="Y19" i="29"/>
  <c r="X19" i="29"/>
  <c r="W19" i="29"/>
  <c r="V19" i="29"/>
  <c r="U19" i="29"/>
  <c r="T19" i="29"/>
  <c r="S19" i="29"/>
  <c r="R19" i="29"/>
  <c r="Q19" i="29"/>
  <c r="P19" i="29"/>
  <c r="O19" i="29"/>
  <c r="N19" i="29"/>
  <c r="M19" i="29"/>
  <c r="L19" i="29"/>
  <c r="K19" i="29"/>
  <c r="J19" i="29"/>
  <c r="I19" i="29"/>
  <c r="H19" i="29"/>
  <c r="G19" i="29"/>
  <c r="F19" i="29"/>
  <c r="E19" i="29"/>
  <c r="D19" i="29"/>
  <c r="C19" i="29"/>
  <c r="B19" i="29"/>
  <c r="EY18" i="29"/>
  <c r="EX18" i="29"/>
  <c r="EW18" i="29"/>
  <c r="EV18" i="29"/>
  <c r="EU18" i="29"/>
  <c r="ET18" i="29"/>
  <c r="ES18" i="29"/>
  <c r="ER18" i="29"/>
  <c r="DT18" i="29"/>
  <c r="DS18" i="29"/>
  <c r="DR18" i="29"/>
  <c r="DQ18" i="29"/>
  <c r="DP18" i="29"/>
  <c r="DO18" i="29"/>
  <c r="DN18" i="29"/>
  <c r="DM18" i="29"/>
  <c r="DL18" i="29"/>
  <c r="DB18" i="29"/>
  <c r="DA18" i="29"/>
  <c r="CZ18" i="29"/>
  <c r="CY18" i="29"/>
  <c r="CX18" i="29"/>
  <c r="CW18" i="29"/>
  <c r="CV18" i="29"/>
  <c r="CU18" i="29"/>
  <c r="CT18" i="29"/>
  <c r="CL18" i="29"/>
  <c r="CK18" i="29"/>
  <c r="CJ18" i="29"/>
  <c r="CI18" i="29"/>
  <c r="CH18" i="29"/>
  <c r="CG18" i="29"/>
  <c r="CF18" i="29"/>
  <c r="CE18" i="29"/>
  <c r="CD18" i="29"/>
  <c r="CC18" i="29"/>
  <c r="CB18" i="29"/>
  <c r="CA18" i="29"/>
  <c r="BZ18" i="29"/>
  <c r="BY18" i="29"/>
  <c r="BX18" i="29"/>
  <c r="BW18" i="29"/>
  <c r="BV18" i="29"/>
  <c r="BU18" i="29"/>
  <c r="BT18" i="29"/>
  <c r="BS18" i="29"/>
  <c r="BR18" i="29"/>
  <c r="BQ18" i="29"/>
  <c r="BP18" i="29"/>
  <c r="BO18" i="29"/>
  <c r="BN18" i="29"/>
  <c r="BM18" i="29"/>
  <c r="BL18" i="29"/>
  <c r="BK18" i="29"/>
  <c r="BJ18" i="29"/>
  <c r="BI18" i="29"/>
  <c r="BH18" i="29"/>
  <c r="BG18" i="29"/>
  <c r="BF18" i="29"/>
  <c r="BE18" i="29"/>
  <c r="BD18" i="29"/>
  <c r="BC18" i="29"/>
  <c r="BB18" i="29"/>
  <c r="BA18" i="29"/>
  <c r="AZ18" i="29"/>
  <c r="AY18" i="29"/>
  <c r="AX18" i="29"/>
  <c r="AW18" i="29"/>
  <c r="AV18" i="29"/>
  <c r="AU18" i="29"/>
  <c r="AT18" i="29"/>
  <c r="AS18" i="29"/>
  <c r="AR18" i="29"/>
  <c r="AQ18" i="29"/>
  <c r="AP18" i="29"/>
  <c r="AO18" i="29"/>
  <c r="AN18" i="29"/>
  <c r="AM18" i="29"/>
  <c r="AL18" i="29"/>
  <c r="AK18" i="29"/>
  <c r="AJ18" i="29"/>
  <c r="AI18" i="29"/>
  <c r="AH18" i="29"/>
  <c r="AG18" i="29"/>
  <c r="AF18" i="29"/>
  <c r="AE18" i="29"/>
  <c r="AD18" i="29"/>
  <c r="AC18" i="29"/>
  <c r="AB18" i="29"/>
  <c r="AA18" i="29"/>
  <c r="Z18" i="29"/>
  <c r="Y18" i="29"/>
  <c r="X18" i="29"/>
  <c r="W18" i="29"/>
  <c r="V18" i="29"/>
  <c r="U18" i="29"/>
  <c r="T18" i="29"/>
  <c r="S18" i="29"/>
  <c r="R18" i="29"/>
  <c r="Q18" i="29"/>
  <c r="P18" i="29"/>
  <c r="O18" i="29"/>
  <c r="N18" i="29"/>
  <c r="M18" i="29"/>
  <c r="L18" i="29"/>
  <c r="K18" i="29"/>
  <c r="J18" i="29"/>
  <c r="I18" i="29"/>
  <c r="H18" i="29"/>
  <c r="G18" i="29"/>
  <c r="F18" i="29"/>
  <c r="E18" i="29"/>
  <c r="D18" i="29"/>
  <c r="C18" i="29"/>
  <c r="B18" i="29"/>
  <c r="EY17" i="29"/>
  <c r="EX17" i="29"/>
  <c r="EW17" i="29"/>
  <c r="EV17" i="29"/>
  <c r="EU17" i="29"/>
  <c r="ET17" i="29"/>
  <c r="ES17" i="29"/>
  <c r="ER17" i="29"/>
  <c r="DT17" i="29"/>
  <c r="DS17" i="29"/>
  <c r="DR17" i="29"/>
  <c r="DQ17" i="29"/>
  <c r="DP17" i="29"/>
  <c r="DO17" i="29"/>
  <c r="DN17" i="29"/>
  <c r="DM17" i="29"/>
  <c r="DL17" i="29"/>
  <c r="DK17" i="29"/>
  <c r="DB17" i="29"/>
  <c r="DA17" i="29"/>
  <c r="CZ17" i="29"/>
  <c r="CY17" i="29"/>
  <c r="CX17" i="29"/>
  <c r="CW17" i="29"/>
  <c r="CV17" i="29"/>
  <c r="CM17" i="29"/>
  <c r="CL17" i="29"/>
  <c r="CK17" i="29"/>
  <c r="CJ17" i="29"/>
  <c r="CI17" i="29"/>
  <c r="CH17" i="29"/>
  <c r="CG17" i="29"/>
  <c r="CF17" i="29"/>
  <c r="CE17" i="29"/>
  <c r="CD17" i="29"/>
  <c r="CC17" i="29"/>
  <c r="CB17" i="29"/>
  <c r="CA17" i="29"/>
  <c r="BZ17" i="29"/>
  <c r="BY17" i="29"/>
  <c r="BX17" i="29"/>
  <c r="BW17" i="29"/>
  <c r="BV17" i="29"/>
  <c r="BU17" i="29"/>
  <c r="BT17" i="29"/>
  <c r="BS17" i="29"/>
  <c r="BR17" i="29"/>
  <c r="BQ17" i="29"/>
  <c r="BP17" i="29"/>
  <c r="BO17" i="29"/>
  <c r="BN17" i="29"/>
  <c r="BM17" i="29"/>
  <c r="BL17" i="29"/>
  <c r="BK17" i="29"/>
  <c r="BJ17" i="29"/>
  <c r="BI17" i="29"/>
  <c r="BH17" i="29"/>
  <c r="BG17" i="29"/>
  <c r="BF17" i="29"/>
  <c r="BE17" i="29"/>
  <c r="BD17" i="29"/>
  <c r="BC17" i="29"/>
  <c r="BB17" i="29"/>
  <c r="BA17" i="29"/>
  <c r="AZ17" i="29"/>
  <c r="AY17" i="29"/>
  <c r="AX17" i="29"/>
  <c r="AW17" i="29"/>
  <c r="AV17" i="29"/>
  <c r="AU17" i="29"/>
  <c r="AT17" i="29"/>
  <c r="AS17" i="29"/>
  <c r="AR17" i="29"/>
  <c r="AQ17" i="29"/>
  <c r="AP17" i="29"/>
  <c r="AO17" i="29"/>
  <c r="AN17" i="29"/>
  <c r="AM17" i="29"/>
  <c r="AL17" i="29"/>
  <c r="AK17" i="29"/>
  <c r="AJ17" i="29"/>
  <c r="AI17" i="29"/>
  <c r="AH17" i="29"/>
  <c r="AG17" i="29"/>
  <c r="AF17" i="29"/>
  <c r="AE17" i="29"/>
  <c r="AD17" i="29"/>
  <c r="AC17" i="29"/>
  <c r="AB17" i="29"/>
  <c r="AA17" i="29"/>
  <c r="Z17" i="29"/>
  <c r="Y17" i="29"/>
  <c r="X17" i="29"/>
  <c r="W17" i="29"/>
  <c r="V17" i="29"/>
  <c r="U17" i="29"/>
  <c r="T17" i="29"/>
  <c r="S17" i="29"/>
  <c r="R17" i="29"/>
  <c r="Q17" i="29"/>
  <c r="P17" i="29"/>
  <c r="O17" i="29"/>
  <c r="N17" i="29"/>
  <c r="M17" i="29"/>
  <c r="L17" i="29"/>
  <c r="K17" i="29"/>
  <c r="J17" i="29"/>
  <c r="I17" i="29"/>
  <c r="H17" i="29"/>
  <c r="G17" i="29"/>
  <c r="F17" i="29"/>
  <c r="E17" i="29"/>
  <c r="D17" i="29"/>
  <c r="C17" i="29"/>
  <c r="B17" i="29"/>
  <c r="EY16" i="29"/>
  <c r="EX16" i="29"/>
  <c r="EW16" i="29"/>
  <c r="EV16" i="29"/>
  <c r="EU16" i="29"/>
  <c r="ET16" i="29"/>
  <c r="ES16" i="29"/>
  <c r="ER16" i="29"/>
  <c r="DT16" i="29"/>
  <c r="DS16" i="29"/>
  <c r="DR16" i="29"/>
  <c r="DQ16" i="29"/>
  <c r="DP16" i="29"/>
  <c r="DO16" i="29"/>
  <c r="DN16" i="29"/>
  <c r="DM16" i="29"/>
  <c r="DL16" i="29"/>
  <c r="DK16" i="29"/>
  <c r="DJ16" i="29"/>
  <c r="DB16" i="29"/>
  <c r="DA16" i="29"/>
  <c r="CZ16" i="29"/>
  <c r="CY16" i="29"/>
  <c r="CX16" i="29"/>
  <c r="CW16" i="29"/>
  <c r="CV16" i="29"/>
  <c r="CN16" i="29"/>
  <c r="CM16" i="29"/>
  <c r="CL16" i="29"/>
  <c r="CK16" i="29"/>
  <c r="CJ16" i="29"/>
  <c r="CI16" i="29"/>
  <c r="CH16" i="29"/>
  <c r="CG16" i="29"/>
  <c r="CF16" i="29"/>
  <c r="CE16" i="29"/>
  <c r="CD16" i="29"/>
  <c r="CC16" i="29"/>
  <c r="CB16" i="29"/>
  <c r="CA16" i="29"/>
  <c r="BZ16" i="29"/>
  <c r="BY16" i="29"/>
  <c r="BX16" i="29"/>
  <c r="BW16" i="29"/>
  <c r="BV16" i="29"/>
  <c r="BU16" i="29"/>
  <c r="BT16" i="29"/>
  <c r="BS16" i="29"/>
  <c r="BR16" i="29"/>
  <c r="BQ16" i="29"/>
  <c r="BP16" i="29"/>
  <c r="BO16" i="29"/>
  <c r="BN16" i="29"/>
  <c r="BM16" i="29"/>
  <c r="BL16" i="29"/>
  <c r="BK16" i="29"/>
  <c r="BJ16" i="29"/>
  <c r="BI16" i="29"/>
  <c r="BH16" i="29"/>
  <c r="BG16" i="29"/>
  <c r="BF16" i="29"/>
  <c r="BE16" i="29"/>
  <c r="BD16" i="29"/>
  <c r="BC16" i="29"/>
  <c r="BB16" i="29"/>
  <c r="BA16" i="29"/>
  <c r="AZ16" i="29"/>
  <c r="AY16" i="29"/>
  <c r="AX16" i="29"/>
  <c r="AW16" i="29"/>
  <c r="AV16" i="29"/>
  <c r="AU16" i="29"/>
  <c r="AT16" i="29"/>
  <c r="AS16" i="29"/>
  <c r="AR16" i="29"/>
  <c r="AQ16" i="29"/>
  <c r="AP16" i="29"/>
  <c r="AO16" i="29"/>
  <c r="AN16" i="29"/>
  <c r="AM16" i="29"/>
  <c r="AL16" i="29"/>
  <c r="AK16" i="29"/>
  <c r="AJ16" i="29"/>
  <c r="AI16" i="29"/>
  <c r="AH16" i="29"/>
  <c r="AG16" i="29"/>
  <c r="AF16" i="29"/>
  <c r="AE16" i="29"/>
  <c r="AD16" i="29"/>
  <c r="AC16" i="29"/>
  <c r="AB16" i="29"/>
  <c r="AA16" i="29"/>
  <c r="Z16" i="29"/>
  <c r="Y16" i="29"/>
  <c r="X16" i="29"/>
  <c r="W16" i="29"/>
  <c r="V16" i="29"/>
  <c r="U16" i="29"/>
  <c r="T16" i="29"/>
  <c r="S16" i="29"/>
  <c r="R16" i="29"/>
  <c r="Q16" i="29"/>
  <c r="P16" i="29"/>
  <c r="O16" i="29"/>
  <c r="N16" i="29"/>
  <c r="M16" i="29"/>
  <c r="L16" i="29"/>
  <c r="K16" i="29"/>
  <c r="J16" i="29"/>
  <c r="I16" i="29"/>
  <c r="H16" i="29"/>
  <c r="G16" i="29"/>
  <c r="F16" i="29"/>
  <c r="E16" i="29"/>
  <c r="D16" i="29"/>
  <c r="C16" i="29"/>
  <c r="B16" i="29"/>
  <c r="EY15" i="29"/>
  <c r="EX15" i="29"/>
  <c r="EW15" i="29"/>
  <c r="EV15" i="29"/>
  <c r="EU15" i="29"/>
  <c r="ET15" i="29"/>
  <c r="ES15" i="29"/>
  <c r="ER15" i="29"/>
  <c r="EQ15" i="29"/>
  <c r="DU15" i="29"/>
  <c r="DT15" i="29"/>
  <c r="DS15" i="29"/>
  <c r="DR15" i="29"/>
  <c r="DQ15" i="29"/>
  <c r="DP15" i="29"/>
  <c r="DO15" i="29"/>
  <c r="DN15" i="29"/>
  <c r="DM15" i="29"/>
  <c r="DL15" i="29"/>
  <c r="DK15" i="29"/>
  <c r="DJ15" i="29"/>
  <c r="DI15" i="29"/>
  <c r="DH15" i="29"/>
  <c r="DG15" i="29"/>
  <c r="DF15" i="29"/>
  <c r="DE15" i="29"/>
  <c r="DD15" i="29"/>
  <c r="DC15" i="29"/>
  <c r="DB15" i="29"/>
  <c r="DA15" i="29"/>
  <c r="CZ15" i="29"/>
  <c r="CY15" i="29"/>
  <c r="CX15" i="29"/>
  <c r="CW15" i="29"/>
  <c r="CV15" i="29"/>
  <c r="CU15" i="29"/>
  <c r="CT15" i="29"/>
  <c r="CN15" i="29"/>
  <c r="CM15" i="29"/>
  <c r="CL15" i="29"/>
  <c r="CK15" i="29"/>
  <c r="CJ15" i="29"/>
  <c r="CI15" i="29"/>
  <c r="CH15" i="29"/>
  <c r="CG15" i="29"/>
  <c r="CF15" i="29"/>
  <c r="CE15" i="29"/>
  <c r="CD15" i="29"/>
  <c r="CC15" i="29"/>
  <c r="CB15" i="29"/>
  <c r="CA15" i="29"/>
  <c r="BZ15" i="29"/>
  <c r="BY15" i="29"/>
  <c r="BX15" i="29"/>
  <c r="BW15" i="29"/>
  <c r="BV15" i="29"/>
  <c r="BU15" i="29"/>
  <c r="BT15" i="29"/>
  <c r="BS15" i="29"/>
  <c r="BR15" i="29"/>
  <c r="BQ15" i="29"/>
  <c r="BP15" i="29"/>
  <c r="BO15" i="29"/>
  <c r="BN15" i="29"/>
  <c r="BM15" i="29"/>
  <c r="BL15" i="29"/>
  <c r="BK15" i="29"/>
  <c r="BJ15" i="29"/>
  <c r="BI15" i="29"/>
  <c r="BH15" i="29"/>
  <c r="BG15" i="29"/>
  <c r="BF15" i="29"/>
  <c r="BE15" i="29"/>
  <c r="BD15" i="29"/>
  <c r="BC15" i="29"/>
  <c r="BB15" i="29"/>
  <c r="BA15" i="29"/>
  <c r="AZ15" i="29"/>
  <c r="AY15" i="29"/>
  <c r="AX15" i="29"/>
  <c r="AW15" i="29"/>
  <c r="AV15" i="29"/>
  <c r="AU15" i="29"/>
  <c r="AT15" i="29"/>
  <c r="AS15" i="29"/>
  <c r="AR15" i="29"/>
  <c r="AQ15" i="29"/>
  <c r="AP15" i="29"/>
  <c r="AO15" i="29"/>
  <c r="AN15" i="29"/>
  <c r="AM15" i="29"/>
  <c r="AL15" i="29"/>
  <c r="AK15" i="29"/>
  <c r="AJ15" i="29"/>
  <c r="AI15" i="29"/>
  <c r="AH15" i="29"/>
  <c r="AG15" i="29"/>
  <c r="AF15" i="29"/>
  <c r="AE15" i="29"/>
  <c r="AD15" i="29"/>
  <c r="AC15" i="29"/>
  <c r="AB15" i="29"/>
  <c r="AA15" i="29"/>
  <c r="Z15" i="29"/>
  <c r="Y15" i="29"/>
  <c r="X15" i="29"/>
  <c r="W15" i="29"/>
  <c r="V15" i="29"/>
  <c r="U15" i="29"/>
  <c r="T15" i="29"/>
  <c r="S15" i="29"/>
  <c r="R15" i="29"/>
  <c r="Q15" i="29"/>
  <c r="P15" i="29"/>
  <c r="O15" i="29"/>
  <c r="N15" i="29"/>
  <c r="M15" i="29"/>
  <c r="L15" i="29"/>
  <c r="K15" i="29"/>
  <c r="J15" i="29"/>
  <c r="I15" i="29"/>
  <c r="H15" i="29"/>
  <c r="G15" i="29"/>
  <c r="F15" i="29"/>
  <c r="E15" i="29"/>
  <c r="D15" i="29"/>
  <c r="C15" i="29"/>
  <c r="B15" i="29"/>
  <c r="EY14" i="29"/>
  <c r="EX14" i="29"/>
  <c r="EW14" i="29"/>
  <c r="EV14" i="29"/>
  <c r="EU14" i="29"/>
  <c r="ET14" i="29"/>
  <c r="ES14" i="29"/>
  <c r="ER14" i="29"/>
  <c r="EQ14" i="29"/>
  <c r="DU14" i="29"/>
  <c r="DT14" i="29"/>
  <c r="DS14" i="29"/>
  <c r="DR14" i="29"/>
  <c r="DQ14" i="29"/>
  <c r="DP14" i="29"/>
  <c r="DO14" i="29"/>
  <c r="DN14" i="29"/>
  <c r="DM14" i="29"/>
  <c r="DL14" i="29"/>
  <c r="DK14" i="29"/>
  <c r="DJ14" i="29"/>
  <c r="DI14" i="29"/>
  <c r="DH14" i="29"/>
  <c r="DG14" i="29"/>
  <c r="DF14" i="29"/>
  <c r="DE14" i="29"/>
  <c r="DD14" i="29"/>
  <c r="DC14" i="29"/>
  <c r="DB14" i="29"/>
  <c r="DA14" i="29"/>
  <c r="CZ14" i="29"/>
  <c r="CY14" i="29"/>
  <c r="CX14" i="29"/>
  <c r="CW14" i="29"/>
  <c r="CV14" i="29"/>
  <c r="CU14" i="29"/>
  <c r="CT14" i="29"/>
  <c r="CS14" i="29"/>
  <c r="CR14" i="29"/>
  <c r="CQ14" i="29"/>
  <c r="CP14" i="29"/>
  <c r="CO14" i="29"/>
  <c r="CN14" i="29"/>
  <c r="CM14" i="29"/>
  <c r="CL14" i="29"/>
  <c r="CK14" i="29"/>
  <c r="CJ14" i="29"/>
  <c r="CI14" i="29"/>
  <c r="CH14" i="29"/>
  <c r="CG14" i="29"/>
  <c r="CF14" i="29"/>
  <c r="CE14" i="29"/>
  <c r="CD14" i="29"/>
  <c r="CC14" i="29"/>
  <c r="CB14" i="29"/>
  <c r="CA14" i="29"/>
  <c r="BZ14" i="29"/>
  <c r="BY14" i="29"/>
  <c r="BX14" i="29"/>
  <c r="BW14" i="29"/>
  <c r="BV14" i="29"/>
  <c r="BU14" i="29"/>
  <c r="BT14" i="29"/>
  <c r="BS14" i="29"/>
  <c r="BR14" i="29"/>
  <c r="BQ14" i="29"/>
  <c r="BP14" i="29"/>
  <c r="BO14" i="29"/>
  <c r="BN14" i="29"/>
  <c r="BM14" i="29"/>
  <c r="BL14" i="29"/>
  <c r="BK14" i="29"/>
  <c r="BJ14" i="29"/>
  <c r="BI14" i="29"/>
  <c r="BH14" i="29"/>
  <c r="BG14" i="29"/>
  <c r="BF14" i="29"/>
  <c r="BE14" i="29"/>
  <c r="BD14" i="29"/>
  <c r="BC14" i="29"/>
  <c r="BB14" i="29"/>
  <c r="BA14" i="29"/>
  <c r="AZ14" i="29"/>
  <c r="AY14" i="29"/>
  <c r="AX14" i="29"/>
  <c r="AW14" i="29"/>
  <c r="AV14" i="29"/>
  <c r="AU14" i="29"/>
  <c r="AT14" i="29"/>
  <c r="AS14" i="29"/>
  <c r="AR14" i="29"/>
  <c r="AQ14" i="29"/>
  <c r="AP14" i="29"/>
  <c r="AO14" i="29"/>
  <c r="AN14" i="29"/>
  <c r="AM14" i="29"/>
  <c r="AL14" i="29"/>
  <c r="AK14" i="29"/>
  <c r="AJ14" i="29"/>
  <c r="AI14" i="29"/>
  <c r="AH14" i="29"/>
  <c r="AG14" i="29"/>
  <c r="AF14" i="29"/>
  <c r="AE14" i="29"/>
  <c r="AD14" i="29"/>
  <c r="AC14" i="29"/>
  <c r="AB14" i="29"/>
  <c r="AA14" i="29"/>
  <c r="Z14" i="29"/>
  <c r="Y14" i="29"/>
  <c r="X14" i="29"/>
  <c r="W14" i="29"/>
  <c r="V14" i="29"/>
  <c r="U14" i="29"/>
  <c r="T14" i="29"/>
  <c r="S14" i="29"/>
  <c r="R14" i="29"/>
  <c r="Q14" i="29"/>
  <c r="P14" i="29"/>
  <c r="O14" i="29"/>
  <c r="N14" i="29"/>
  <c r="M14" i="29"/>
  <c r="L14" i="29"/>
  <c r="K14" i="29"/>
  <c r="J14" i="29"/>
  <c r="I14" i="29"/>
  <c r="H14" i="29"/>
  <c r="G14" i="29"/>
  <c r="F14" i="29"/>
  <c r="E14" i="29"/>
  <c r="D14" i="29"/>
  <c r="C14" i="29"/>
  <c r="B14" i="29"/>
  <c r="EY13" i="29"/>
  <c r="EX13" i="29"/>
  <c r="EW13" i="29"/>
  <c r="EV13" i="29"/>
  <c r="EU13" i="29"/>
  <c r="ET13" i="29"/>
  <c r="ES13" i="29"/>
  <c r="ER13" i="29"/>
  <c r="EQ13" i="29"/>
  <c r="EP13" i="29"/>
  <c r="DU13" i="29"/>
  <c r="DT13" i="29"/>
  <c r="DS13" i="29"/>
  <c r="DR13" i="29"/>
  <c r="DQ13" i="29"/>
  <c r="DP13" i="29"/>
  <c r="DO13" i="29"/>
  <c r="DN13" i="29"/>
  <c r="DM13" i="29"/>
  <c r="DL13" i="29"/>
  <c r="DK13" i="29"/>
  <c r="DJ13" i="29"/>
  <c r="DI13" i="29"/>
  <c r="DH13" i="29"/>
  <c r="DG13" i="29"/>
  <c r="DF13" i="29"/>
  <c r="DE13" i="29"/>
  <c r="DD13" i="29"/>
  <c r="DC13" i="29"/>
  <c r="DB13" i="29"/>
  <c r="DA13" i="29"/>
  <c r="CZ13" i="29"/>
  <c r="CY13" i="29"/>
  <c r="CX13" i="29"/>
  <c r="CW13" i="29"/>
  <c r="CV13" i="29"/>
  <c r="CU13" i="29"/>
  <c r="CT13" i="29"/>
  <c r="CS13" i="29"/>
  <c r="CR13" i="29"/>
  <c r="CQ13" i="29"/>
  <c r="CP13" i="29"/>
  <c r="CO13" i="29"/>
  <c r="CN13" i="29"/>
  <c r="CM13" i="29"/>
  <c r="CL13" i="29"/>
  <c r="CK13" i="29"/>
  <c r="CJ13" i="29"/>
  <c r="CI13" i="29"/>
  <c r="CH13" i="29"/>
  <c r="CG13" i="29"/>
  <c r="CF13" i="29"/>
  <c r="CE13" i="29"/>
  <c r="CD13" i="29"/>
  <c r="CC13" i="29"/>
  <c r="CB13" i="29"/>
  <c r="CA13" i="29"/>
  <c r="BZ13" i="29"/>
  <c r="BY13" i="29"/>
  <c r="BX13" i="29"/>
  <c r="BW13" i="29"/>
  <c r="BV13" i="29"/>
  <c r="BU13" i="29"/>
  <c r="BT13" i="29"/>
  <c r="BS13" i="29"/>
  <c r="BR13" i="29"/>
  <c r="BQ13" i="29"/>
  <c r="BP13" i="29"/>
  <c r="BO13" i="29"/>
  <c r="BN13" i="29"/>
  <c r="BM13" i="29"/>
  <c r="BL13" i="29"/>
  <c r="BK13" i="29"/>
  <c r="BJ13" i="29"/>
  <c r="BI13" i="29"/>
  <c r="BH13" i="29"/>
  <c r="BG13" i="29"/>
  <c r="BF13" i="29"/>
  <c r="BE13" i="29"/>
  <c r="BD13" i="29"/>
  <c r="BC13" i="29"/>
  <c r="BB13" i="29"/>
  <c r="BA13" i="29"/>
  <c r="AZ13" i="29"/>
  <c r="AY13" i="29"/>
  <c r="AX13" i="29"/>
  <c r="AW13" i="29"/>
  <c r="AV13" i="29"/>
  <c r="AU13" i="29"/>
  <c r="AT13" i="29"/>
  <c r="AS13" i="29"/>
  <c r="AR13" i="29"/>
  <c r="AQ13" i="29"/>
  <c r="AP13" i="29"/>
  <c r="AO13" i="29"/>
  <c r="AN13" i="29"/>
  <c r="AM13" i="29"/>
  <c r="AL13" i="29"/>
  <c r="AK13" i="29"/>
  <c r="AJ13" i="29"/>
  <c r="AI13" i="29"/>
  <c r="AH13" i="29"/>
  <c r="AG13" i="29"/>
  <c r="AF13" i="29"/>
  <c r="AE13" i="29"/>
  <c r="AD13" i="29"/>
  <c r="AC13" i="29"/>
  <c r="AB13" i="29"/>
  <c r="AA13" i="29"/>
  <c r="Z13" i="29"/>
  <c r="Y13" i="29"/>
  <c r="X13" i="29"/>
  <c r="W13" i="29"/>
  <c r="V13" i="29"/>
  <c r="U13" i="29"/>
  <c r="T13" i="29"/>
  <c r="S13" i="29"/>
  <c r="R13" i="29"/>
  <c r="Q13" i="29"/>
  <c r="P13" i="29"/>
  <c r="O13" i="29"/>
  <c r="N13" i="29"/>
  <c r="M13" i="29"/>
  <c r="L13" i="29"/>
  <c r="K13" i="29"/>
  <c r="J13" i="29"/>
  <c r="I13" i="29"/>
  <c r="H13" i="29"/>
  <c r="G13" i="29"/>
  <c r="F13" i="29"/>
  <c r="E13" i="29"/>
  <c r="D13" i="29"/>
  <c r="C13" i="29"/>
  <c r="B13" i="29"/>
  <c r="EY12" i="29"/>
  <c r="EX12" i="29"/>
  <c r="EW12" i="29"/>
  <c r="EV12" i="29"/>
  <c r="EU12" i="29"/>
  <c r="ET12" i="29"/>
  <c r="ES12" i="29"/>
  <c r="ER12" i="29"/>
  <c r="EQ12" i="29"/>
  <c r="EP12" i="29"/>
  <c r="EO12" i="29"/>
  <c r="DU12" i="29"/>
  <c r="DT12" i="29"/>
  <c r="DS12" i="29"/>
  <c r="DR12" i="29"/>
  <c r="DQ12" i="29"/>
  <c r="DP12" i="29"/>
  <c r="DO12" i="29"/>
  <c r="DN12" i="29"/>
  <c r="DM12" i="29"/>
  <c r="DL12" i="29"/>
  <c r="DK12" i="29"/>
  <c r="DJ12" i="29"/>
  <c r="DI12" i="29"/>
  <c r="DH12" i="29"/>
  <c r="DG12" i="29"/>
  <c r="DF12" i="29"/>
  <c r="DE12" i="29"/>
  <c r="DD12" i="29"/>
  <c r="DC12" i="29"/>
  <c r="DB12" i="29"/>
  <c r="DA12" i="29"/>
  <c r="CZ12" i="29"/>
  <c r="CY12" i="29"/>
  <c r="CX12" i="29"/>
  <c r="CW12" i="29"/>
  <c r="CV12" i="29"/>
  <c r="CU12" i="29"/>
  <c r="CT12" i="29"/>
  <c r="CS12" i="29"/>
  <c r="CR12" i="29"/>
  <c r="CQ12" i="29"/>
  <c r="CP12" i="29"/>
  <c r="CO12" i="29"/>
  <c r="CN12" i="29"/>
  <c r="CM12" i="29"/>
  <c r="CL12" i="29"/>
  <c r="CK12" i="29"/>
  <c r="CJ12" i="29"/>
  <c r="CI12" i="29"/>
  <c r="CH12" i="29"/>
  <c r="CG12" i="29"/>
  <c r="CF12" i="29"/>
  <c r="CE12" i="29"/>
  <c r="CD12" i="29"/>
  <c r="CC12" i="29"/>
  <c r="CB12" i="29"/>
  <c r="CA12" i="29"/>
  <c r="BZ12" i="29"/>
  <c r="BY12" i="29"/>
  <c r="BX12" i="29"/>
  <c r="BW12" i="29"/>
  <c r="BV12" i="29"/>
  <c r="BU12" i="29"/>
  <c r="BT12" i="29"/>
  <c r="BS12" i="29"/>
  <c r="BR12" i="29"/>
  <c r="BQ12" i="29"/>
  <c r="BP12" i="29"/>
  <c r="BO12" i="29"/>
  <c r="BN12" i="29"/>
  <c r="BM12" i="29"/>
  <c r="BL12" i="29"/>
  <c r="BK12" i="29"/>
  <c r="BJ12" i="29"/>
  <c r="BI12" i="29"/>
  <c r="BH12" i="29"/>
  <c r="BG12" i="29"/>
  <c r="BF12" i="29"/>
  <c r="BE12" i="29"/>
  <c r="BD12" i="29"/>
  <c r="BC12" i="29"/>
  <c r="BB12" i="29"/>
  <c r="BA12" i="29"/>
  <c r="AZ12" i="29"/>
  <c r="AY12" i="29"/>
  <c r="AX12" i="29"/>
  <c r="AW12" i="29"/>
  <c r="AV12" i="29"/>
  <c r="AU12" i="29"/>
  <c r="AT12" i="29"/>
  <c r="AS12" i="29"/>
  <c r="AR12" i="29"/>
  <c r="AQ12" i="29"/>
  <c r="AP12" i="29"/>
  <c r="AO12" i="29"/>
  <c r="AN12" i="29"/>
  <c r="AM12" i="29"/>
  <c r="AL12" i="29"/>
  <c r="AK12" i="29"/>
  <c r="AJ12" i="29"/>
  <c r="AI12" i="29"/>
  <c r="AH12" i="29"/>
  <c r="AG12" i="29"/>
  <c r="AF12" i="29"/>
  <c r="AE12" i="29"/>
  <c r="AD12" i="29"/>
  <c r="AC12" i="29"/>
  <c r="AB12" i="29"/>
  <c r="AA12" i="29"/>
  <c r="Z12" i="29"/>
  <c r="Y12" i="29"/>
  <c r="X12" i="29"/>
  <c r="W12" i="29"/>
  <c r="V12" i="29"/>
  <c r="U12" i="29"/>
  <c r="T12" i="29"/>
  <c r="S12" i="29"/>
  <c r="R12" i="29"/>
  <c r="Q12" i="29"/>
  <c r="P12" i="29"/>
  <c r="O12" i="29"/>
  <c r="N12" i="29"/>
  <c r="M12" i="29"/>
  <c r="L12" i="29"/>
  <c r="K12" i="29"/>
  <c r="J12" i="29"/>
  <c r="I12" i="29"/>
  <c r="H12" i="29"/>
  <c r="G12" i="29"/>
  <c r="F12" i="29"/>
  <c r="E12" i="29"/>
  <c r="D12" i="29"/>
  <c r="C12" i="29"/>
  <c r="B12" i="29"/>
  <c r="EY11" i="29"/>
  <c r="EX11" i="29"/>
  <c r="EW11" i="29"/>
  <c r="EV11" i="29"/>
  <c r="EU11" i="29"/>
  <c r="ET11" i="29"/>
  <c r="ES11" i="29"/>
  <c r="ER11" i="29"/>
  <c r="EQ11" i="29"/>
  <c r="EP11" i="29"/>
  <c r="EO11" i="29"/>
  <c r="EN11" i="29"/>
  <c r="EM11" i="29"/>
  <c r="DU11" i="29"/>
  <c r="DT11" i="29"/>
  <c r="DS11" i="29"/>
  <c r="DR11" i="29"/>
  <c r="DQ11" i="29"/>
  <c r="DP11" i="29"/>
  <c r="DO11" i="29"/>
  <c r="DN11" i="29"/>
  <c r="DM11" i="29"/>
  <c r="DL11" i="29"/>
  <c r="DK11" i="29"/>
  <c r="DJ11" i="29"/>
  <c r="DI11" i="29"/>
  <c r="DH11" i="29"/>
  <c r="DG11" i="29"/>
  <c r="DF11" i="29"/>
  <c r="DE11" i="29"/>
  <c r="DD11" i="29"/>
  <c r="DC11" i="29"/>
  <c r="DB11" i="29"/>
  <c r="DA11" i="29"/>
  <c r="CZ11" i="29"/>
  <c r="CY11" i="29"/>
  <c r="CX11" i="29"/>
  <c r="CW11" i="29"/>
  <c r="CV11" i="29"/>
  <c r="CU11" i="29"/>
  <c r="CT11" i="29"/>
  <c r="CS11" i="29"/>
  <c r="CR11" i="29"/>
  <c r="CQ11" i="29"/>
  <c r="CP11" i="29"/>
  <c r="CO11" i="29"/>
  <c r="CN11" i="29"/>
  <c r="CM11" i="29"/>
  <c r="CL11" i="29"/>
  <c r="CK11" i="29"/>
  <c r="CJ11" i="29"/>
  <c r="CI11" i="29"/>
  <c r="CH11" i="29"/>
  <c r="CG11" i="29"/>
  <c r="CF11" i="29"/>
  <c r="CE11" i="29"/>
  <c r="CD11" i="29"/>
  <c r="CC11" i="29"/>
  <c r="CB11" i="29"/>
  <c r="CA11" i="29"/>
  <c r="BZ11" i="29"/>
  <c r="BY11" i="29"/>
  <c r="BX11" i="29"/>
  <c r="BW11" i="29"/>
  <c r="BV11" i="29"/>
  <c r="BU11" i="29"/>
  <c r="BT11" i="29"/>
  <c r="BS11" i="29"/>
  <c r="BR11" i="29"/>
  <c r="BQ11" i="29"/>
  <c r="BP11" i="29"/>
  <c r="BO11" i="29"/>
  <c r="BN11" i="29"/>
  <c r="BM11" i="29"/>
  <c r="BL11" i="29"/>
  <c r="BK11" i="29"/>
  <c r="BJ11" i="29"/>
  <c r="BI11" i="29"/>
  <c r="BH11" i="29"/>
  <c r="BG11" i="29"/>
  <c r="BF11" i="29"/>
  <c r="BE11" i="29"/>
  <c r="BD11" i="29"/>
  <c r="BC11" i="29"/>
  <c r="BB11" i="29"/>
  <c r="BA11" i="29"/>
  <c r="AZ11" i="29"/>
  <c r="AY11" i="29"/>
  <c r="AX11" i="29"/>
  <c r="AW11" i="29"/>
  <c r="AV11" i="29"/>
  <c r="AU11" i="29"/>
  <c r="AT11" i="29"/>
  <c r="AS11" i="29"/>
  <c r="AR11" i="29"/>
  <c r="AQ11" i="29"/>
  <c r="AP11" i="29"/>
  <c r="AO11" i="29"/>
  <c r="AN11" i="29"/>
  <c r="AM11" i="29"/>
  <c r="AL11" i="29"/>
  <c r="AK11" i="29"/>
  <c r="AJ11" i="29"/>
  <c r="AI11" i="29"/>
  <c r="AH11" i="29"/>
  <c r="AG11" i="29"/>
  <c r="AF11" i="29"/>
  <c r="AE11" i="29"/>
  <c r="AD11" i="29"/>
  <c r="AC11" i="29"/>
  <c r="AB11" i="29"/>
  <c r="AA11" i="29"/>
  <c r="Z11" i="29"/>
  <c r="Y11" i="29"/>
  <c r="X11" i="29"/>
  <c r="W11" i="29"/>
  <c r="V11" i="29"/>
  <c r="U11" i="29"/>
  <c r="T11" i="29"/>
  <c r="S11" i="29"/>
  <c r="R11" i="29"/>
  <c r="Q11" i="29"/>
  <c r="P11" i="29"/>
  <c r="O11" i="29"/>
  <c r="N11" i="29"/>
  <c r="M11" i="29"/>
  <c r="L11" i="29"/>
  <c r="K11" i="29"/>
  <c r="J11" i="29"/>
  <c r="I11" i="29"/>
  <c r="H11" i="29"/>
  <c r="G11" i="29"/>
  <c r="F11" i="29"/>
  <c r="E11" i="29"/>
  <c r="D11" i="29"/>
  <c r="C11" i="29"/>
  <c r="B11" i="29"/>
  <c r="EY10" i="29"/>
  <c r="EX10" i="29"/>
  <c r="EW10" i="29"/>
  <c r="EV10" i="29"/>
  <c r="EU10" i="29"/>
  <c r="ET10" i="29"/>
  <c r="ES10" i="29"/>
  <c r="ER10" i="29"/>
  <c r="EQ10" i="29"/>
  <c r="EP10" i="29"/>
  <c r="EO10" i="29"/>
  <c r="EN10" i="29"/>
  <c r="EM10" i="29"/>
  <c r="EL10" i="29"/>
  <c r="EK10" i="29"/>
  <c r="DU10" i="29"/>
  <c r="DT10" i="29"/>
  <c r="DS10" i="29"/>
  <c r="DR10" i="29"/>
  <c r="DQ10" i="29"/>
  <c r="DP10" i="29"/>
  <c r="DO10" i="29"/>
  <c r="DN10" i="29"/>
  <c r="DM10" i="29"/>
  <c r="DL10" i="29"/>
  <c r="DK10" i="29"/>
  <c r="DJ10" i="29"/>
  <c r="DI10" i="29"/>
  <c r="DH10" i="29"/>
  <c r="DG10" i="29"/>
  <c r="DF10" i="29"/>
  <c r="DE10" i="29"/>
  <c r="DD10" i="29"/>
  <c r="DC10" i="29"/>
  <c r="DB10" i="29"/>
  <c r="DA10" i="29"/>
  <c r="CZ10" i="29"/>
  <c r="CY10" i="29"/>
  <c r="CX10" i="29"/>
  <c r="CW10" i="29"/>
  <c r="CV10" i="29"/>
  <c r="CU10" i="29"/>
  <c r="CT10" i="29"/>
  <c r="CS10" i="29"/>
  <c r="CR10" i="29"/>
  <c r="CQ10" i="29"/>
  <c r="CP10" i="29"/>
  <c r="CO10" i="29"/>
  <c r="CN10" i="29"/>
  <c r="CM10" i="29"/>
  <c r="CL10" i="29"/>
  <c r="CK10" i="29"/>
  <c r="CJ10" i="29"/>
  <c r="CI10" i="29"/>
  <c r="CH10" i="29"/>
  <c r="CG10" i="29"/>
  <c r="CF10" i="29"/>
  <c r="CE10" i="29"/>
  <c r="CD10" i="29"/>
  <c r="CC10" i="29"/>
  <c r="CB10" i="29"/>
  <c r="CA10" i="29"/>
  <c r="BZ10" i="29"/>
  <c r="BY10" i="29"/>
  <c r="BX10" i="29"/>
  <c r="BW10" i="29"/>
  <c r="BV10" i="29"/>
  <c r="BU10" i="29"/>
  <c r="BT10" i="29"/>
  <c r="BS10" i="29"/>
  <c r="BR10" i="29"/>
  <c r="BQ10" i="29"/>
  <c r="BP10" i="29"/>
  <c r="BO10" i="29"/>
  <c r="BN10" i="29"/>
  <c r="BM10" i="29"/>
  <c r="BL10" i="29"/>
  <c r="BK10" i="29"/>
  <c r="BJ10" i="29"/>
  <c r="BI10" i="29"/>
  <c r="BH10" i="29"/>
  <c r="BG10" i="29"/>
  <c r="BF10" i="29"/>
  <c r="BE10" i="29"/>
  <c r="BD10" i="29"/>
  <c r="BC10" i="29"/>
  <c r="BB10" i="29"/>
  <c r="BA10" i="29"/>
  <c r="AZ10" i="29"/>
  <c r="AY10" i="29"/>
  <c r="AX10" i="29"/>
  <c r="AW10" i="29"/>
  <c r="AV10" i="29"/>
  <c r="AU10" i="29"/>
  <c r="AT10" i="29"/>
  <c r="AS10" i="29"/>
  <c r="AR10" i="29"/>
  <c r="AQ10" i="29"/>
  <c r="AP10" i="29"/>
  <c r="AO10" i="29"/>
  <c r="AN10" i="29"/>
  <c r="AM10" i="29"/>
  <c r="AL10" i="29"/>
  <c r="AK10" i="29"/>
  <c r="AJ10" i="29"/>
  <c r="AI10" i="29"/>
  <c r="AH10" i="29"/>
  <c r="AG10" i="29"/>
  <c r="AF10" i="29"/>
  <c r="AE10" i="29"/>
  <c r="AD10" i="29"/>
  <c r="AC10" i="29"/>
  <c r="AB10" i="29"/>
  <c r="AA10" i="29"/>
  <c r="Z10" i="29"/>
  <c r="Y10" i="29"/>
  <c r="X10" i="29"/>
  <c r="W10" i="29"/>
  <c r="V10" i="29"/>
  <c r="U10" i="29"/>
  <c r="T10" i="29"/>
  <c r="S10" i="29"/>
  <c r="R10" i="29"/>
  <c r="Q10" i="29"/>
  <c r="P10" i="29"/>
  <c r="O10" i="29"/>
  <c r="N10" i="29"/>
  <c r="M10" i="29"/>
  <c r="L10" i="29"/>
  <c r="K10" i="29"/>
  <c r="J10" i="29"/>
  <c r="I10" i="29"/>
  <c r="H10" i="29"/>
  <c r="G10" i="29"/>
  <c r="F10" i="29"/>
  <c r="E10" i="29"/>
  <c r="D10" i="29"/>
  <c r="C10" i="29"/>
  <c r="B10" i="29"/>
  <c r="EY9" i="29"/>
  <c r="EX9" i="29"/>
  <c r="EW9" i="29"/>
  <c r="EV9" i="29"/>
  <c r="EU9" i="29"/>
  <c r="ET9" i="29"/>
  <c r="ES9" i="29"/>
  <c r="ER9" i="29"/>
  <c r="EQ9" i="29"/>
  <c r="EP9" i="29"/>
  <c r="EO9" i="29"/>
  <c r="EN9" i="29"/>
  <c r="EM9" i="29"/>
  <c r="EL9" i="29"/>
  <c r="EK9" i="29"/>
  <c r="DU9" i="29"/>
  <c r="DT9" i="29"/>
  <c r="DS9" i="29"/>
  <c r="DR9" i="29"/>
  <c r="DQ9" i="29"/>
  <c r="DP9" i="29"/>
  <c r="DO9" i="29"/>
  <c r="DN9" i="29"/>
  <c r="DM9" i="29"/>
  <c r="DL9" i="29"/>
  <c r="DK9" i="29"/>
  <c r="DJ9" i="29"/>
  <c r="DI9" i="29"/>
  <c r="DH9" i="29"/>
  <c r="DG9" i="29"/>
  <c r="DF9" i="29"/>
  <c r="DE9" i="29"/>
  <c r="DD9" i="29"/>
  <c r="DC9" i="29"/>
  <c r="DB9" i="29"/>
  <c r="DA9" i="29"/>
  <c r="CZ9" i="29"/>
  <c r="CY9" i="29"/>
  <c r="CX9" i="29"/>
  <c r="CW9" i="29"/>
  <c r="CV9" i="29"/>
  <c r="CU9" i="29"/>
  <c r="CT9" i="29"/>
  <c r="CS9" i="29"/>
  <c r="CR9" i="29"/>
  <c r="CQ9" i="29"/>
  <c r="CP9" i="29"/>
  <c r="CO9" i="29"/>
  <c r="CN9" i="29"/>
  <c r="CM9" i="29"/>
  <c r="CL9" i="29"/>
  <c r="CK9" i="29"/>
  <c r="CJ9" i="29"/>
  <c r="CI9" i="29"/>
  <c r="CH9" i="29"/>
  <c r="CG9" i="29"/>
  <c r="CF9" i="29"/>
  <c r="CE9" i="29"/>
  <c r="CD9" i="29"/>
  <c r="CC9" i="29"/>
  <c r="CB9" i="29"/>
  <c r="CA9" i="29"/>
  <c r="BZ9" i="29"/>
  <c r="BY9" i="29"/>
  <c r="BX9" i="29"/>
  <c r="BW9" i="29"/>
  <c r="BV9" i="29"/>
  <c r="BU9" i="29"/>
  <c r="BT9" i="29"/>
  <c r="BS9" i="29"/>
  <c r="BR9" i="29"/>
  <c r="BQ9" i="29"/>
  <c r="BP9" i="29"/>
  <c r="BO9" i="29"/>
  <c r="BN9" i="29"/>
  <c r="BM9" i="29"/>
  <c r="BL9" i="29"/>
  <c r="BK9" i="29"/>
  <c r="BJ9" i="29"/>
  <c r="BI9" i="29"/>
  <c r="BH9" i="29"/>
  <c r="BG9" i="29"/>
  <c r="BF9" i="29"/>
  <c r="BE9" i="29"/>
  <c r="BD9" i="29"/>
  <c r="BC9" i="29"/>
  <c r="BB9" i="29"/>
  <c r="BA9" i="29"/>
  <c r="AZ9" i="29"/>
  <c r="AY9" i="29"/>
  <c r="AX9" i="29"/>
  <c r="AW9" i="29"/>
  <c r="AV9" i="29"/>
  <c r="AU9" i="29"/>
  <c r="AT9" i="29"/>
  <c r="AS9" i="29"/>
  <c r="AR9" i="29"/>
  <c r="AQ9" i="29"/>
  <c r="AP9" i="29"/>
  <c r="AO9" i="29"/>
  <c r="AN9" i="29"/>
  <c r="AM9" i="29"/>
  <c r="AL9" i="29"/>
  <c r="AK9" i="29"/>
  <c r="AJ9" i="29"/>
  <c r="AI9" i="29"/>
  <c r="AH9" i="29"/>
  <c r="AG9" i="29"/>
  <c r="AF9" i="29"/>
  <c r="AE9" i="29"/>
  <c r="AD9" i="29"/>
  <c r="AC9" i="29"/>
  <c r="AB9" i="29"/>
  <c r="AA9" i="29"/>
  <c r="Z9" i="29"/>
  <c r="Y9" i="29"/>
  <c r="X9" i="29"/>
  <c r="W9" i="29"/>
  <c r="V9" i="29"/>
  <c r="U9" i="29"/>
  <c r="T9" i="29"/>
  <c r="S9" i="29"/>
  <c r="R9" i="29"/>
  <c r="Q9" i="29"/>
  <c r="P9" i="29"/>
  <c r="O9" i="29"/>
  <c r="N9" i="29"/>
  <c r="M9" i="29"/>
  <c r="L9" i="29"/>
  <c r="K9" i="29"/>
  <c r="J9" i="29"/>
  <c r="I9" i="29"/>
  <c r="H9" i="29"/>
  <c r="G9" i="29"/>
  <c r="F9" i="29"/>
  <c r="E9" i="29"/>
  <c r="D9" i="29"/>
  <c r="C9" i="29"/>
  <c r="B9" i="29"/>
  <c r="EY8" i="29"/>
  <c r="EX8" i="29"/>
  <c r="EW8" i="29"/>
  <c r="EV8" i="29"/>
  <c r="EU8" i="29"/>
  <c r="ET8" i="29"/>
  <c r="ES8" i="29"/>
  <c r="ER8" i="29"/>
  <c r="EQ8" i="29"/>
  <c r="EP8" i="29"/>
  <c r="EO8" i="29"/>
  <c r="EN8" i="29"/>
  <c r="EM8" i="29"/>
  <c r="EL8" i="29"/>
  <c r="EK8" i="29"/>
  <c r="EJ8" i="29"/>
  <c r="DU8" i="29"/>
  <c r="DT8" i="29"/>
  <c r="DS8" i="29"/>
  <c r="DR8" i="29"/>
  <c r="DQ8" i="29"/>
  <c r="DP8" i="29"/>
  <c r="DO8" i="29"/>
  <c r="DN8" i="29"/>
  <c r="DM8" i="29"/>
  <c r="DL8" i="29"/>
  <c r="DK8" i="29"/>
  <c r="DJ8" i="29"/>
  <c r="DI8" i="29"/>
  <c r="DH8" i="29"/>
  <c r="DG8" i="29"/>
  <c r="DF8" i="29"/>
  <c r="DE8" i="29"/>
  <c r="DD8" i="29"/>
  <c r="DC8" i="29"/>
  <c r="DB8" i="29"/>
  <c r="DA8" i="29"/>
  <c r="CZ8" i="29"/>
  <c r="CY8" i="29"/>
  <c r="CX8" i="29"/>
  <c r="CW8" i="29"/>
  <c r="CV8" i="29"/>
  <c r="CU8" i="29"/>
  <c r="CT8" i="29"/>
  <c r="CS8" i="29"/>
  <c r="CR8" i="29"/>
  <c r="CQ8" i="29"/>
  <c r="CP8" i="29"/>
  <c r="CO8" i="29"/>
  <c r="CN8" i="29"/>
  <c r="CM8" i="29"/>
  <c r="CL8" i="29"/>
  <c r="CK8" i="29"/>
  <c r="CJ8" i="29"/>
  <c r="CI8" i="29"/>
  <c r="CH8" i="29"/>
  <c r="CG8" i="29"/>
  <c r="CF8" i="29"/>
  <c r="CE8" i="29"/>
  <c r="CD8" i="29"/>
  <c r="CC8" i="29"/>
  <c r="CB8" i="29"/>
  <c r="CA8" i="29"/>
  <c r="BZ8" i="29"/>
  <c r="BY8" i="29"/>
  <c r="BX8" i="29"/>
  <c r="BW8" i="29"/>
  <c r="BV8" i="29"/>
  <c r="BU8" i="29"/>
  <c r="BT8" i="29"/>
  <c r="BS8" i="29"/>
  <c r="BR8" i="29"/>
  <c r="BQ8" i="29"/>
  <c r="BP8" i="29"/>
  <c r="BO8" i="29"/>
  <c r="BN8" i="29"/>
  <c r="BM8" i="29"/>
  <c r="BL8" i="29"/>
  <c r="BK8" i="29"/>
  <c r="BJ8" i="29"/>
  <c r="BI8" i="29"/>
  <c r="BH8" i="29"/>
  <c r="BG8" i="29"/>
  <c r="BF8" i="29"/>
  <c r="BE8" i="29"/>
  <c r="BD8" i="29"/>
  <c r="BC8" i="29"/>
  <c r="BB8" i="29"/>
  <c r="BA8" i="29"/>
  <c r="AZ8" i="29"/>
  <c r="AY8" i="29"/>
  <c r="AX8" i="29"/>
  <c r="AW8" i="29"/>
  <c r="AV8" i="29"/>
  <c r="AU8" i="29"/>
  <c r="AT8" i="29"/>
  <c r="AS8" i="29"/>
  <c r="AR8" i="29"/>
  <c r="AQ8" i="29"/>
  <c r="AP8" i="29"/>
  <c r="AO8" i="29"/>
  <c r="AN8" i="29"/>
  <c r="AM8" i="29"/>
  <c r="AL8" i="29"/>
  <c r="AK8" i="29"/>
  <c r="AJ8" i="29"/>
  <c r="AI8" i="29"/>
  <c r="AH8" i="29"/>
  <c r="AG8" i="29"/>
  <c r="AF8" i="29"/>
  <c r="AE8" i="29"/>
  <c r="AD8" i="29"/>
  <c r="AC8" i="29"/>
  <c r="AB8" i="29"/>
  <c r="AA8" i="29"/>
  <c r="Z8" i="29"/>
  <c r="Y8" i="29"/>
  <c r="X8" i="29"/>
  <c r="W8" i="29"/>
  <c r="V8" i="29"/>
  <c r="U8" i="29"/>
  <c r="T8" i="29"/>
  <c r="S8" i="29"/>
  <c r="R8" i="29"/>
  <c r="Q8" i="29"/>
  <c r="P8" i="29"/>
  <c r="O8" i="29"/>
  <c r="N8" i="29"/>
  <c r="M8" i="29"/>
  <c r="L8" i="29"/>
  <c r="K8" i="29"/>
  <c r="J8" i="29"/>
  <c r="I8" i="29"/>
  <c r="H8" i="29"/>
  <c r="G8" i="29"/>
  <c r="F8" i="29"/>
  <c r="E8" i="29"/>
  <c r="D8" i="29"/>
  <c r="C8" i="29"/>
  <c r="B8" i="29"/>
  <c r="EY7" i="29"/>
  <c r="EX7" i="29"/>
  <c r="EW7" i="29"/>
  <c r="EV7" i="29"/>
  <c r="EU7" i="29"/>
  <c r="ET7" i="29"/>
  <c r="ES7" i="29"/>
  <c r="ER7" i="29"/>
  <c r="EQ7" i="29"/>
  <c r="EP7" i="29"/>
  <c r="EO7" i="29"/>
  <c r="EN7" i="29"/>
  <c r="EM7" i="29"/>
  <c r="EL7" i="29"/>
  <c r="EK7" i="29"/>
  <c r="EJ7" i="29"/>
  <c r="EI7" i="29"/>
  <c r="EH7" i="29"/>
  <c r="EG7" i="29"/>
  <c r="DW7" i="29"/>
  <c r="DV7" i="29"/>
  <c r="DU7" i="29"/>
  <c r="DT7" i="29"/>
  <c r="DS7" i="29"/>
  <c r="DR7" i="29"/>
  <c r="DQ7" i="29"/>
  <c r="DP7" i="29"/>
  <c r="DO7" i="29"/>
  <c r="DN7" i="29"/>
  <c r="DM7" i="29"/>
  <c r="DL7" i="29"/>
  <c r="DK7" i="29"/>
  <c r="DJ7" i="29"/>
  <c r="DI7" i="29"/>
  <c r="DH7" i="29"/>
  <c r="DG7" i="29"/>
  <c r="DF7" i="29"/>
  <c r="DE7" i="29"/>
  <c r="DD7" i="29"/>
  <c r="DC7" i="29"/>
  <c r="DB7" i="29"/>
  <c r="DA7" i="29"/>
  <c r="CZ7" i="29"/>
  <c r="CY7" i="29"/>
  <c r="CX7" i="29"/>
  <c r="CW7" i="29"/>
  <c r="CV7" i="29"/>
  <c r="CU7" i="29"/>
  <c r="CT7" i="29"/>
  <c r="CS7" i="29"/>
  <c r="CR7" i="29"/>
  <c r="CQ7" i="29"/>
  <c r="CP7" i="29"/>
  <c r="CO7" i="29"/>
  <c r="CN7" i="29"/>
  <c r="CM7" i="29"/>
  <c r="CL7" i="29"/>
  <c r="CK7" i="29"/>
  <c r="CJ7" i="29"/>
  <c r="CI7" i="29"/>
  <c r="CH7" i="29"/>
  <c r="CG7" i="29"/>
  <c r="CF7" i="29"/>
  <c r="CE7" i="29"/>
  <c r="CD7" i="29"/>
  <c r="CC7" i="29"/>
  <c r="CB7" i="29"/>
  <c r="CA7" i="29"/>
  <c r="BZ7" i="29"/>
  <c r="BY7" i="29"/>
  <c r="BX7" i="29"/>
  <c r="BW7" i="29"/>
  <c r="BV7" i="29"/>
  <c r="BU7" i="29"/>
  <c r="BT7" i="29"/>
  <c r="BS7" i="29"/>
  <c r="BR7" i="29"/>
  <c r="BQ7" i="29"/>
  <c r="BP7" i="29"/>
  <c r="BO7" i="29"/>
  <c r="BN7" i="29"/>
  <c r="BM7" i="29"/>
  <c r="BL7" i="29"/>
  <c r="BK7" i="29"/>
  <c r="BJ7" i="29"/>
  <c r="BI7" i="29"/>
  <c r="BH7" i="29"/>
  <c r="BG7" i="29"/>
  <c r="BF7" i="29"/>
  <c r="BE7" i="29"/>
  <c r="BD7" i="29"/>
  <c r="BC7" i="29"/>
  <c r="BB7" i="29"/>
  <c r="BA7" i="29"/>
  <c r="AZ7" i="29"/>
  <c r="AY7" i="29"/>
  <c r="AX7" i="29"/>
  <c r="AW7" i="29"/>
  <c r="AV7" i="29"/>
  <c r="AU7" i="29"/>
  <c r="AT7" i="29"/>
  <c r="AS7" i="29"/>
  <c r="AR7" i="29"/>
  <c r="AQ7" i="29"/>
  <c r="AP7" i="29"/>
  <c r="AO7" i="29"/>
  <c r="AN7" i="29"/>
  <c r="AM7" i="29"/>
  <c r="AL7" i="29"/>
  <c r="AK7" i="29"/>
  <c r="AJ7" i="29"/>
  <c r="AI7" i="29"/>
  <c r="AH7" i="29"/>
  <c r="AG7" i="29"/>
  <c r="AF7" i="29"/>
  <c r="AE7" i="29"/>
  <c r="AD7" i="29"/>
  <c r="AC7" i="29"/>
  <c r="AB7" i="29"/>
  <c r="AA7" i="29"/>
  <c r="Z7" i="29"/>
  <c r="Y7" i="29"/>
  <c r="X7" i="29"/>
  <c r="W7" i="29"/>
  <c r="V7" i="29"/>
  <c r="U7" i="29"/>
  <c r="T7" i="29"/>
  <c r="S7" i="29"/>
  <c r="R7" i="29"/>
  <c r="Q7" i="29"/>
  <c r="P7" i="29"/>
  <c r="O7" i="29"/>
  <c r="N7" i="29"/>
  <c r="M7" i="29"/>
  <c r="L7" i="29"/>
  <c r="K7" i="29"/>
  <c r="J7" i="29"/>
  <c r="I7" i="29"/>
  <c r="H7" i="29"/>
  <c r="G7" i="29"/>
  <c r="F7" i="29"/>
  <c r="E7" i="29"/>
  <c r="D7" i="29"/>
  <c r="C7" i="29"/>
  <c r="B7" i="29"/>
  <c r="EY6" i="29"/>
  <c r="EX6" i="29"/>
  <c r="EW6" i="29"/>
  <c r="EV6" i="29"/>
  <c r="EU6" i="29"/>
  <c r="ET6" i="29"/>
  <c r="ES6" i="29"/>
  <c r="ER6" i="29"/>
  <c r="EQ6" i="29"/>
  <c r="EP6" i="29"/>
  <c r="EO6" i="29"/>
  <c r="EN6" i="29"/>
  <c r="EM6" i="29"/>
  <c r="EL6" i="29"/>
  <c r="EK6" i="29"/>
  <c r="EJ6" i="29"/>
  <c r="EI6" i="29"/>
  <c r="EH6" i="29"/>
  <c r="EG6" i="29"/>
  <c r="EF6" i="29"/>
  <c r="EE6" i="29"/>
  <c r="ED6" i="29"/>
  <c r="EC6" i="29"/>
  <c r="EB6" i="29"/>
  <c r="EA6" i="29"/>
  <c r="DZ6" i="29"/>
  <c r="DY6" i="29"/>
  <c r="DX6" i="29"/>
  <c r="DW6" i="29"/>
  <c r="DV6" i="29"/>
  <c r="DU6" i="29"/>
  <c r="DT6" i="29"/>
  <c r="DS6" i="29"/>
  <c r="DR6" i="29"/>
  <c r="DQ6" i="29"/>
  <c r="DP6" i="29"/>
  <c r="DO6" i="29"/>
  <c r="DN6" i="29"/>
  <c r="DM6" i="29"/>
  <c r="DL6" i="29"/>
  <c r="DK6" i="29"/>
  <c r="DJ6" i="29"/>
  <c r="DI6" i="29"/>
  <c r="DH6" i="29"/>
  <c r="DG6" i="29"/>
  <c r="DF6" i="29"/>
  <c r="DE6" i="29"/>
  <c r="DD6" i="29"/>
  <c r="DC6" i="29"/>
  <c r="DB6" i="29"/>
  <c r="DA6" i="29"/>
  <c r="CZ6" i="29"/>
  <c r="CY6" i="29"/>
  <c r="CX6" i="29"/>
  <c r="CW6" i="29"/>
  <c r="CV6" i="29"/>
  <c r="CU6" i="29"/>
  <c r="CT6" i="29"/>
  <c r="CS6" i="29"/>
  <c r="CR6" i="29"/>
  <c r="CQ6" i="29"/>
  <c r="CP6" i="29"/>
  <c r="CO6" i="29"/>
  <c r="CN6" i="29"/>
  <c r="CM6" i="29"/>
  <c r="CL6" i="29"/>
  <c r="CK6" i="29"/>
  <c r="CJ6" i="29"/>
  <c r="CI6" i="29"/>
  <c r="CH6" i="29"/>
  <c r="CG6" i="29"/>
  <c r="CF6" i="29"/>
  <c r="CE6" i="29"/>
  <c r="CD6" i="29"/>
  <c r="CC6" i="29"/>
  <c r="CB6" i="29"/>
  <c r="CA6" i="29"/>
  <c r="BZ6" i="29"/>
  <c r="BY6" i="29"/>
  <c r="BX6" i="29"/>
  <c r="BW6" i="29"/>
  <c r="BV6" i="29"/>
  <c r="BU6" i="29"/>
  <c r="BT6" i="29"/>
  <c r="BS6" i="29"/>
  <c r="BR6" i="29"/>
  <c r="BQ6" i="29"/>
  <c r="BP6" i="29"/>
  <c r="BO6" i="29"/>
  <c r="BN6" i="29"/>
  <c r="BM6" i="29"/>
  <c r="BL6" i="29"/>
  <c r="BK6" i="29"/>
  <c r="BJ6" i="29"/>
  <c r="BI6" i="29"/>
  <c r="BH6" i="29"/>
  <c r="BG6" i="29"/>
  <c r="BF6" i="29"/>
  <c r="BE6" i="29"/>
  <c r="BD6" i="29"/>
  <c r="BC6" i="29"/>
  <c r="BB6" i="29"/>
  <c r="BA6" i="29"/>
  <c r="AZ6" i="29"/>
  <c r="AY6" i="29"/>
  <c r="AX6" i="29"/>
  <c r="AW6" i="29"/>
  <c r="AV6" i="29"/>
  <c r="AU6" i="29"/>
  <c r="AT6" i="29"/>
  <c r="AS6" i="29"/>
  <c r="AR6" i="29"/>
  <c r="AQ6" i="29"/>
  <c r="AP6" i="29"/>
  <c r="AO6" i="29"/>
  <c r="AN6" i="29"/>
  <c r="AM6" i="29"/>
  <c r="AL6" i="29"/>
  <c r="AK6" i="29"/>
  <c r="AJ6" i="29"/>
  <c r="AI6" i="29"/>
  <c r="AH6" i="29"/>
  <c r="AG6" i="29"/>
  <c r="AF6" i="29"/>
  <c r="AE6" i="29"/>
  <c r="AD6" i="29"/>
  <c r="AC6" i="29"/>
  <c r="AB6" i="29"/>
  <c r="AA6" i="29"/>
  <c r="Z6" i="29"/>
  <c r="Y6" i="29"/>
  <c r="X6" i="29"/>
  <c r="W6" i="29"/>
  <c r="V6" i="29"/>
  <c r="U6" i="29"/>
  <c r="T6" i="29"/>
  <c r="S6" i="29"/>
  <c r="R6" i="29"/>
  <c r="Q6" i="29"/>
  <c r="P6" i="29"/>
  <c r="O6" i="29"/>
  <c r="N6" i="29"/>
  <c r="M6" i="29"/>
  <c r="L6" i="29"/>
  <c r="K6" i="29"/>
  <c r="J6" i="29"/>
  <c r="I6" i="29"/>
  <c r="H6" i="29"/>
  <c r="G6" i="29"/>
  <c r="F6" i="29"/>
  <c r="E6" i="29"/>
  <c r="D6" i="29"/>
  <c r="C6" i="29"/>
  <c r="B6" i="29"/>
  <c r="EY5" i="29"/>
  <c r="EX5" i="29"/>
  <c r="EW5" i="29"/>
  <c r="EV5" i="29"/>
  <c r="EU5" i="29"/>
  <c r="ET5" i="29"/>
  <c r="ES5" i="29"/>
  <c r="ER5" i="29"/>
  <c r="EQ5" i="29"/>
  <c r="EP5" i="29"/>
  <c r="EO5" i="29"/>
  <c r="EN5" i="29"/>
  <c r="EM5" i="29"/>
  <c r="EL5" i="29"/>
  <c r="EK5" i="29"/>
  <c r="EJ5" i="29"/>
  <c r="EI5" i="29"/>
  <c r="EH5" i="29"/>
  <c r="EG5" i="29"/>
  <c r="EF5" i="29"/>
  <c r="EE5" i="29"/>
  <c r="ED5" i="29"/>
  <c r="EC5" i="29"/>
  <c r="EB5" i="29"/>
  <c r="EA5" i="29"/>
  <c r="DZ5" i="29"/>
  <c r="DY5" i="29"/>
  <c r="DX5" i="29"/>
  <c r="DW5" i="29"/>
  <c r="DV5" i="29"/>
  <c r="DU5" i="29"/>
  <c r="DT5" i="29"/>
  <c r="DS5" i="29"/>
  <c r="DR5" i="29"/>
  <c r="DQ5" i="29"/>
  <c r="DP5" i="29"/>
  <c r="DO5" i="29"/>
  <c r="DN5" i="29"/>
  <c r="DM5" i="29"/>
  <c r="DL5" i="29"/>
  <c r="DK5" i="29"/>
  <c r="DJ5" i="29"/>
  <c r="DI5" i="29"/>
  <c r="DH5" i="29"/>
  <c r="DG5" i="29"/>
  <c r="DF5" i="29"/>
  <c r="DE5" i="29"/>
  <c r="DD5" i="29"/>
  <c r="DC5" i="29"/>
  <c r="DB5" i="29"/>
  <c r="DA5" i="29"/>
  <c r="CZ5" i="29"/>
  <c r="CY5" i="29"/>
  <c r="CX5" i="29"/>
  <c r="CW5" i="29"/>
  <c r="CV5" i="29"/>
  <c r="CU5" i="29"/>
  <c r="CT5" i="29"/>
  <c r="CS5" i="29"/>
  <c r="CR5" i="29"/>
  <c r="CQ5" i="29"/>
  <c r="CP5" i="29"/>
  <c r="CO5" i="29"/>
  <c r="CN5" i="29"/>
  <c r="CM5" i="29"/>
  <c r="CL5" i="29"/>
  <c r="CK5" i="29"/>
  <c r="CJ5" i="29"/>
  <c r="CI5" i="29"/>
  <c r="CH5" i="29"/>
  <c r="CG5" i="29"/>
  <c r="CF5" i="29"/>
  <c r="CE5" i="29"/>
  <c r="CD5" i="29"/>
  <c r="CC5" i="29"/>
  <c r="CB5" i="29"/>
  <c r="CA5" i="29"/>
  <c r="BZ5" i="29"/>
  <c r="BY5" i="29"/>
  <c r="BX5" i="29"/>
  <c r="BW5" i="29"/>
  <c r="BV5" i="29"/>
  <c r="BU5" i="29"/>
  <c r="BT5" i="29"/>
  <c r="BS5" i="29"/>
  <c r="BR5" i="29"/>
  <c r="BQ5" i="29"/>
  <c r="BP5" i="29"/>
  <c r="BO5" i="29"/>
  <c r="BN5" i="29"/>
  <c r="BM5" i="29"/>
  <c r="BL5" i="29"/>
  <c r="BK5" i="29"/>
  <c r="BJ5" i="29"/>
  <c r="BI5" i="29"/>
  <c r="BH5" i="29"/>
  <c r="BG5" i="29"/>
  <c r="BF5" i="29"/>
  <c r="BE5" i="29"/>
  <c r="BD5" i="29"/>
  <c r="BC5" i="29"/>
  <c r="BB5" i="29"/>
  <c r="BA5" i="29"/>
  <c r="AZ5" i="29"/>
  <c r="AY5" i="29"/>
  <c r="AX5" i="29"/>
  <c r="AW5" i="29"/>
  <c r="AV5" i="29"/>
  <c r="AU5" i="29"/>
  <c r="AT5" i="29"/>
  <c r="AS5" i="29"/>
  <c r="AR5" i="29"/>
  <c r="AQ5" i="29"/>
  <c r="AP5" i="29"/>
  <c r="AO5" i="29"/>
  <c r="AN5" i="29"/>
  <c r="AM5" i="29"/>
  <c r="AL5" i="29"/>
  <c r="AK5" i="29"/>
  <c r="AJ5" i="29"/>
  <c r="AI5" i="29"/>
  <c r="AH5" i="29"/>
  <c r="AG5" i="29"/>
  <c r="AF5" i="29"/>
  <c r="AE5" i="29"/>
  <c r="AD5" i="29"/>
  <c r="AC5" i="29"/>
  <c r="AB5" i="29"/>
  <c r="AA5" i="29"/>
  <c r="Z5" i="29"/>
  <c r="Y5" i="29"/>
  <c r="X5" i="29"/>
  <c r="W5" i="29"/>
  <c r="V5" i="29"/>
  <c r="U5" i="29"/>
  <c r="T5" i="29"/>
  <c r="S5" i="29"/>
  <c r="R5" i="29"/>
  <c r="Q5" i="29"/>
  <c r="P5" i="29"/>
  <c r="O5" i="29"/>
  <c r="N5" i="29"/>
  <c r="M5" i="29"/>
  <c r="L5" i="29"/>
  <c r="K5" i="29"/>
  <c r="J5" i="29"/>
  <c r="I5" i="29"/>
  <c r="H5" i="29"/>
  <c r="G5" i="29"/>
  <c r="F5" i="29"/>
  <c r="E5" i="29"/>
  <c r="D5" i="29"/>
  <c r="C5" i="29"/>
  <c r="B5" i="29"/>
  <c r="EY4" i="29"/>
  <c r="EX4" i="29"/>
  <c r="EW4" i="29"/>
  <c r="EV4" i="29"/>
  <c r="EU4" i="29"/>
  <c r="ET4" i="29"/>
  <c r="ES4" i="29"/>
  <c r="ER4" i="29"/>
  <c r="EQ4" i="29"/>
  <c r="EP4" i="29"/>
  <c r="EO4" i="29"/>
  <c r="EN4" i="29"/>
  <c r="EM4" i="29"/>
  <c r="EL4" i="29"/>
  <c r="EK4" i="29"/>
  <c r="EJ4" i="29"/>
  <c r="EI4" i="29"/>
  <c r="EH4" i="29"/>
  <c r="EG4" i="29"/>
  <c r="EF4" i="29"/>
  <c r="EE4" i="29"/>
  <c r="ED4" i="29"/>
  <c r="EC4" i="29"/>
  <c r="EB4" i="29"/>
  <c r="EA4" i="29"/>
  <c r="DZ4" i="29"/>
  <c r="DY4" i="29"/>
  <c r="DX4" i="29"/>
  <c r="DW4" i="29"/>
  <c r="DV4" i="29"/>
  <c r="DU4" i="29"/>
  <c r="DT4" i="29"/>
  <c r="DS4" i="29"/>
  <c r="DR4" i="29"/>
  <c r="DQ4" i="29"/>
  <c r="DP4" i="29"/>
  <c r="DO4" i="29"/>
  <c r="DN4" i="29"/>
  <c r="DM4" i="29"/>
  <c r="DL4" i="29"/>
  <c r="DK4" i="29"/>
  <c r="DJ4" i="29"/>
  <c r="DI4" i="29"/>
  <c r="DH4" i="29"/>
  <c r="DG4" i="29"/>
  <c r="DF4" i="29"/>
  <c r="DE4" i="29"/>
  <c r="DD4" i="29"/>
  <c r="DC4" i="29"/>
  <c r="DB4" i="29"/>
  <c r="DA4" i="29"/>
  <c r="CZ4" i="29"/>
  <c r="CY4" i="29"/>
  <c r="CX4" i="29"/>
  <c r="CW4" i="29"/>
  <c r="CV4" i="29"/>
  <c r="CU4" i="29"/>
  <c r="CT4" i="29"/>
  <c r="CS4" i="29"/>
  <c r="CR4" i="29"/>
  <c r="CQ4" i="29"/>
  <c r="CP4" i="29"/>
  <c r="CO4" i="29"/>
  <c r="CN4" i="29"/>
  <c r="CM4" i="29"/>
  <c r="CL4" i="29"/>
  <c r="CK4" i="29"/>
  <c r="CJ4" i="29"/>
  <c r="CI4" i="29"/>
  <c r="CH4" i="29"/>
  <c r="CG4" i="29"/>
  <c r="CF4" i="29"/>
  <c r="CE4" i="29"/>
  <c r="CD4" i="29"/>
  <c r="CC4" i="29"/>
  <c r="CB4" i="29"/>
  <c r="CA4" i="29"/>
  <c r="BZ4" i="29"/>
  <c r="BY4" i="29"/>
  <c r="BX4" i="29"/>
  <c r="BW4" i="29"/>
  <c r="BV4" i="29"/>
  <c r="BU4" i="29"/>
  <c r="BT4" i="29"/>
  <c r="BS4" i="29"/>
  <c r="BR4" i="29"/>
  <c r="BQ4" i="29"/>
  <c r="BP4" i="29"/>
  <c r="BO4" i="29"/>
  <c r="BN4" i="29"/>
  <c r="BM4" i="29"/>
  <c r="BL4" i="29"/>
  <c r="BK4" i="29"/>
  <c r="BJ4" i="29"/>
  <c r="BI4" i="29"/>
  <c r="BH4" i="29"/>
  <c r="BG4" i="29"/>
  <c r="BF4" i="29"/>
  <c r="BE4" i="29"/>
  <c r="BD4" i="29"/>
  <c r="BC4" i="29"/>
  <c r="BB4" i="29"/>
  <c r="BA4" i="29"/>
  <c r="AZ4" i="29"/>
  <c r="AY4" i="29"/>
  <c r="AX4" i="29"/>
  <c r="AW4" i="29"/>
  <c r="AV4" i="29"/>
  <c r="AU4" i="29"/>
  <c r="AT4" i="29"/>
  <c r="AS4" i="29"/>
  <c r="AR4" i="29"/>
  <c r="AQ4" i="29"/>
  <c r="AP4" i="29"/>
  <c r="AO4" i="29"/>
  <c r="AN4" i="29"/>
  <c r="AM4" i="29"/>
  <c r="AL4" i="29"/>
  <c r="AK4" i="29"/>
  <c r="AJ4" i="29"/>
  <c r="AI4" i="29"/>
  <c r="AH4" i="29"/>
  <c r="AG4" i="29"/>
  <c r="AF4" i="29"/>
  <c r="AE4" i="29"/>
  <c r="AD4" i="29"/>
  <c r="AC4" i="29"/>
  <c r="AB4" i="29"/>
  <c r="AA4" i="29"/>
  <c r="Z4" i="29"/>
  <c r="Y4" i="29"/>
  <c r="X4" i="29"/>
  <c r="W4" i="29"/>
  <c r="V4" i="29"/>
  <c r="U4" i="29"/>
  <c r="T4" i="29"/>
  <c r="S4" i="29"/>
  <c r="R4" i="29"/>
  <c r="Q4" i="29"/>
  <c r="P4" i="29"/>
  <c r="O4" i="29"/>
  <c r="N4" i="29"/>
  <c r="M4" i="29"/>
  <c r="L4" i="29"/>
  <c r="K4" i="29"/>
  <c r="J4" i="29"/>
  <c r="I4" i="29"/>
  <c r="H4" i="29"/>
  <c r="G4" i="29"/>
  <c r="F4" i="29"/>
  <c r="E4" i="29"/>
  <c r="D4" i="29"/>
  <c r="C4" i="29"/>
  <c r="B4" i="29"/>
  <c r="EY3" i="29"/>
  <c r="EX3" i="29"/>
  <c r="EW3" i="29"/>
  <c r="EV3" i="29"/>
  <c r="EU3" i="29"/>
  <c r="ET3" i="29"/>
  <c r="ES3" i="29"/>
  <c r="ER3" i="29"/>
  <c r="EQ3" i="29"/>
  <c r="EP3" i="29"/>
  <c r="EO3" i="29"/>
  <c r="EN3" i="29"/>
  <c r="EM3" i="29"/>
  <c r="EL3" i="29"/>
  <c r="EK3" i="29"/>
  <c r="EJ3" i="29"/>
  <c r="EI3" i="29"/>
  <c r="EH3" i="29"/>
  <c r="EG3" i="29"/>
  <c r="EF3" i="29"/>
  <c r="EE3" i="29"/>
  <c r="ED3" i="29"/>
  <c r="EC3" i="29"/>
  <c r="EB3" i="29"/>
  <c r="EA3" i="29"/>
  <c r="DZ3" i="29"/>
  <c r="DY3" i="29"/>
  <c r="DX3" i="29"/>
  <c r="DW3" i="29"/>
  <c r="DV3" i="29"/>
  <c r="DU3" i="29"/>
  <c r="DT3" i="29"/>
  <c r="DS3" i="29"/>
  <c r="DR3" i="29"/>
  <c r="DQ3" i="29"/>
  <c r="DP3" i="29"/>
  <c r="DO3" i="29"/>
  <c r="DN3" i="29"/>
  <c r="DM3" i="29"/>
  <c r="DL3" i="29"/>
  <c r="DK3" i="29"/>
  <c r="DJ3" i="29"/>
  <c r="DI3" i="29"/>
  <c r="DH3" i="29"/>
  <c r="DG3" i="29"/>
  <c r="DF3" i="29"/>
  <c r="DE3" i="29"/>
  <c r="DD3" i="29"/>
  <c r="DC3" i="29"/>
  <c r="DB3" i="29"/>
  <c r="DA3" i="29"/>
  <c r="CZ3" i="29"/>
  <c r="CY3" i="29"/>
  <c r="CX3" i="29"/>
  <c r="CW3" i="29"/>
  <c r="CV3" i="29"/>
  <c r="CU3" i="29"/>
  <c r="CT3" i="29"/>
  <c r="CS3" i="29"/>
  <c r="CR3" i="29"/>
  <c r="CQ3" i="29"/>
  <c r="CP3" i="29"/>
  <c r="CO3" i="29"/>
  <c r="CN3" i="29"/>
  <c r="CM3" i="29"/>
  <c r="CL3" i="29"/>
  <c r="CK3" i="29"/>
  <c r="CJ3" i="29"/>
  <c r="CI3" i="29"/>
  <c r="CH3" i="29"/>
  <c r="CG3" i="29"/>
  <c r="CF3" i="29"/>
  <c r="CE3" i="29"/>
  <c r="CD3" i="29"/>
  <c r="CC3" i="29"/>
  <c r="CB3" i="29"/>
  <c r="CA3" i="29"/>
  <c r="BZ3" i="29"/>
  <c r="BY3" i="29"/>
  <c r="BX3" i="29"/>
  <c r="BW3" i="29"/>
  <c r="BV3" i="29"/>
  <c r="BU3" i="29"/>
  <c r="BT3" i="29"/>
  <c r="BS3" i="29"/>
  <c r="BR3" i="29"/>
  <c r="BQ3" i="29"/>
  <c r="BP3" i="29"/>
  <c r="BO3" i="29"/>
  <c r="BN3" i="29"/>
  <c r="BM3" i="29"/>
  <c r="BL3" i="29"/>
  <c r="BK3" i="29"/>
  <c r="BJ3" i="29"/>
  <c r="BI3" i="29"/>
  <c r="BH3" i="29"/>
  <c r="BG3" i="29"/>
  <c r="BF3" i="29"/>
  <c r="BE3" i="29"/>
  <c r="BD3" i="29"/>
  <c r="BC3" i="29"/>
  <c r="BB3" i="29"/>
  <c r="BA3" i="29"/>
  <c r="AZ3" i="29"/>
  <c r="AY3" i="29"/>
  <c r="AX3" i="29"/>
  <c r="AW3" i="29"/>
  <c r="AV3" i="29"/>
  <c r="AU3" i="29"/>
  <c r="AT3" i="29"/>
  <c r="AS3" i="29"/>
  <c r="AR3" i="29"/>
  <c r="AQ3" i="29"/>
  <c r="AP3" i="29"/>
  <c r="AO3" i="29"/>
  <c r="AN3" i="29"/>
  <c r="AM3" i="29"/>
  <c r="AL3" i="29"/>
  <c r="AK3" i="29"/>
  <c r="AJ3" i="29"/>
  <c r="AI3" i="29"/>
  <c r="AH3" i="29"/>
  <c r="AG3" i="29"/>
  <c r="AF3" i="29"/>
  <c r="AE3" i="29"/>
  <c r="AD3" i="29"/>
  <c r="AC3" i="29"/>
  <c r="AB3" i="29"/>
  <c r="AA3" i="29"/>
  <c r="Z3" i="29"/>
  <c r="Y3" i="29"/>
  <c r="X3" i="29"/>
  <c r="W3" i="29"/>
  <c r="V3" i="29"/>
  <c r="U3" i="29"/>
  <c r="T3" i="29"/>
  <c r="S3" i="29"/>
  <c r="R3" i="29"/>
  <c r="Q3" i="29"/>
  <c r="P3" i="29"/>
  <c r="O3" i="29"/>
  <c r="N3" i="29"/>
  <c r="M3" i="29"/>
  <c r="L3" i="29"/>
  <c r="K3" i="29"/>
  <c r="J3" i="29"/>
  <c r="I3" i="29"/>
  <c r="H3" i="29"/>
  <c r="G3" i="29"/>
  <c r="F3" i="29"/>
  <c r="E3" i="29"/>
  <c r="D3" i="29"/>
  <c r="C3" i="29"/>
  <c r="B3" i="29"/>
  <c r="EY2" i="29"/>
  <c r="EX2" i="29"/>
  <c r="EW2" i="29"/>
  <c r="EV2" i="29"/>
  <c r="EU2" i="29"/>
  <c r="ET2" i="29"/>
  <c r="ES2" i="29"/>
  <c r="ER2" i="29"/>
  <c r="EQ2" i="29"/>
  <c r="EP2" i="29"/>
  <c r="EO2" i="29"/>
  <c r="EN2" i="29"/>
  <c r="EM2" i="29"/>
  <c r="EL2" i="29"/>
  <c r="EK2" i="29"/>
  <c r="EJ2" i="29"/>
  <c r="EI2" i="29"/>
  <c r="EH2" i="29"/>
  <c r="EG2" i="29"/>
  <c r="EF2" i="29"/>
  <c r="EE2" i="29"/>
  <c r="ED2" i="29"/>
  <c r="EC2" i="29"/>
  <c r="EB2" i="29"/>
  <c r="EA2" i="29"/>
  <c r="DZ2" i="29"/>
  <c r="DY2" i="29"/>
  <c r="DX2" i="29"/>
  <c r="DW2" i="29"/>
  <c r="DV2" i="29"/>
  <c r="DU2" i="29"/>
  <c r="DT2" i="29"/>
  <c r="DS2" i="29"/>
  <c r="DR2" i="29"/>
  <c r="DQ2" i="29"/>
  <c r="DP2" i="29"/>
  <c r="DO2" i="29"/>
  <c r="DN2" i="29"/>
  <c r="DM2" i="29"/>
  <c r="DL2" i="29"/>
  <c r="DK2" i="29"/>
  <c r="DJ2" i="29"/>
  <c r="DI2" i="29"/>
  <c r="DH2" i="29"/>
  <c r="DG2" i="29"/>
  <c r="DF2" i="29"/>
  <c r="DE2" i="29"/>
  <c r="DD2" i="29"/>
  <c r="DC2" i="29"/>
  <c r="DB2" i="29"/>
  <c r="DA2" i="29"/>
  <c r="CZ2" i="29"/>
  <c r="CY2" i="29"/>
  <c r="CX2" i="29"/>
  <c r="CW2" i="29"/>
  <c r="CV2" i="29"/>
  <c r="CU2" i="29"/>
  <c r="CT2" i="29"/>
  <c r="CS2" i="29"/>
  <c r="CR2" i="29"/>
  <c r="CQ2" i="29"/>
  <c r="CP2" i="29"/>
  <c r="CO2" i="29"/>
  <c r="CN2" i="29"/>
  <c r="CM2" i="29"/>
  <c r="CL2" i="29"/>
  <c r="CK2" i="29"/>
  <c r="CJ2" i="29"/>
  <c r="CI2" i="29"/>
  <c r="CH2" i="29"/>
  <c r="CG2" i="29"/>
  <c r="CF2" i="29"/>
  <c r="CE2" i="29"/>
  <c r="CD2" i="29"/>
  <c r="CC2" i="29"/>
  <c r="CB2" i="29"/>
  <c r="CA2" i="29"/>
  <c r="BZ2" i="29"/>
  <c r="BY2" i="29"/>
  <c r="BX2" i="29"/>
  <c r="BW2" i="29"/>
  <c r="BV2" i="29"/>
  <c r="BU2" i="29"/>
  <c r="BT2" i="29"/>
  <c r="BS2" i="29"/>
  <c r="BR2" i="29"/>
  <c r="BQ2" i="29"/>
  <c r="BP2" i="29"/>
  <c r="BO2" i="29"/>
  <c r="BN2" i="29"/>
  <c r="BM2" i="29"/>
  <c r="BL2" i="29"/>
  <c r="BK2" i="29"/>
  <c r="BJ2" i="29"/>
  <c r="BI2" i="29"/>
  <c r="BH2" i="29"/>
  <c r="BG2" i="29"/>
  <c r="BF2" i="29"/>
  <c r="BE2" i="29"/>
  <c r="BD2" i="29"/>
  <c r="BC2" i="29"/>
  <c r="BB2" i="29"/>
  <c r="BA2" i="29"/>
  <c r="AZ2" i="29"/>
  <c r="AY2" i="29"/>
  <c r="AX2" i="29"/>
  <c r="AW2" i="29"/>
  <c r="AV2" i="29"/>
  <c r="AU2" i="29"/>
  <c r="AT2" i="29"/>
  <c r="AS2" i="29"/>
  <c r="AR2" i="29"/>
  <c r="AQ2" i="29"/>
  <c r="AP2" i="29"/>
  <c r="AO2" i="29"/>
  <c r="AN2" i="29"/>
  <c r="AM2" i="29"/>
  <c r="AL2" i="29"/>
  <c r="AK2" i="29"/>
  <c r="AJ2" i="29"/>
  <c r="AI2" i="29"/>
  <c r="AH2" i="29"/>
  <c r="AG2" i="29"/>
  <c r="AF2" i="29"/>
  <c r="AE2" i="29"/>
  <c r="AD2" i="29"/>
  <c r="AC2" i="29"/>
  <c r="AB2" i="29"/>
  <c r="AA2" i="29"/>
  <c r="Z2" i="29"/>
  <c r="Y2" i="29"/>
  <c r="X2" i="29"/>
  <c r="W2" i="29"/>
  <c r="V2" i="29"/>
  <c r="U2" i="29"/>
  <c r="T2" i="29"/>
  <c r="S2" i="29"/>
  <c r="R2" i="29"/>
  <c r="Q2" i="29"/>
  <c r="P2" i="29"/>
  <c r="O2" i="29"/>
  <c r="N2" i="29"/>
  <c r="M2" i="29"/>
  <c r="L2" i="29"/>
  <c r="K2" i="29"/>
  <c r="J2" i="29"/>
  <c r="I2" i="29"/>
  <c r="H2" i="29"/>
  <c r="G2" i="29"/>
  <c r="F2" i="29"/>
  <c r="E2" i="29"/>
  <c r="D2" i="29"/>
  <c r="C2" i="29"/>
  <c r="B2" i="29"/>
  <c r="AB897" i="26"/>
  <c r="Y897" i="26"/>
  <c r="AB896" i="26"/>
  <c r="Y896" i="26"/>
  <c r="AB895" i="26"/>
  <c r="Y895" i="26"/>
  <c r="AB894" i="26"/>
  <c r="Y894" i="26"/>
  <c r="AB893" i="26"/>
  <c r="Y893" i="26"/>
  <c r="AB892" i="26"/>
  <c r="Y892" i="26"/>
  <c r="AB891" i="26"/>
  <c r="Y891" i="26"/>
  <c r="AB890" i="26"/>
  <c r="Y890" i="26"/>
  <c r="AB889" i="26"/>
  <c r="Y889" i="26"/>
  <c r="AB888" i="26"/>
  <c r="Y888" i="26"/>
  <c r="AB884" i="26"/>
  <c r="Y884" i="26"/>
  <c r="AB883" i="26"/>
  <c r="Y883" i="26"/>
  <c r="AB882" i="26"/>
  <c r="Y882" i="26"/>
  <c r="AB878" i="26"/>
  <c r="Y878" i="26"/>
  <c r="AB877" i="26"/>
  <c r="Y877" i="26"/>
  <c r="AB876" i="26"/>
  <c r="Y876" i="26"/>
  <c r="AB875" i="26"/>
  <c r="Y875" i="26"/>
  <c r="AB874" i="26"/>
  <c r="Y874" i="26"/>
  <c r="AB869" i="26"/>
  <c r="Y869" i="26"/>
  <c r="AB868" i="26"/>
  <c r="Y868" i="26"/>
  <c r="AB867" i="26"/>
  <c r="Y867" i="26"/>
  <c r="AB866" i="26"/>
  <c r="Y866" i="26"/>
  <c r="AB865" i="26"/>
  <c r="Y865" i="26"/>
  <c r="AB864" i="26"/>
  <c r="Y864" i="26"/>
  <c r="AB863" i="26"/>
  <c r="Y863" i="26"/>
  <c r="AB862" i="26"/>
  <c r="Y862" i="26"/>
  <c r="AB861" i="26"/>
  <c r="Y861" i="26"/>
  <c r="AB860" i="26"/>
  <c r="Y860" i="26"/>
  <c r="AB859" i="26"/>
  <c r="Y859" i="26"/>
  <c r="AB855" i="26"/>
  <c r="Y855" i="26"/>
  <c r="AB852" i="26"/>
  <c r="Y852" i="26"/>
  <c r="AB851" i="26"/>
  <c r="Y851" i="26"/>
  <c r="AB850" i="26"/>
  <c r="Y850" i="26"/>
  <c r="AB849" i="26"/>
  <c r="Y849" i="26"/>
  <c r="AB848" i="26"/>
  <c r="Y848" i="26"/>
  <c r="AB847" i="26"/>
  <c r="Y847" i="26"/>
  <c r="AB846" i="26"/>
  <c r="Y846" i="26"/>
  <c r="AB845" i="26"/>
  <c r="Y845" i="26"/>
  <c r="AB844" i="26"/>
  <c r="Y844" i="26"/>
  <c r="AB843" i="26"/>
  <c r="Y843" i="26"/>
  <c r="AB840" i="26"/>
  <c r="Y840" i="26"/>
  <c r="AB839" i="26"/>
  <c r="Y839" i="26"/>
  <c r="AB838" i="26"/>
  <c r="Y838" i="26"/>
  <c r="AB837" i="26"/>
  <c r="Y837" i="26"/>
  <c r="AB836" i="26"/>
  <c r="Y836" i="26"/>
  <c r="AB833" i="26"/>
  <c r="Y833" i="26"/>
  <c r="AB832" i="26"/>
  <c r="Y832" i="26"/>
  <c r="AB831" i="26"/>
  <c r="Y831" i="26"/>
  <c r="AB830" i="26"/>
  <c r="Y830" i="26"/>
  <c r="AB829" i="26"/>
  <c r="Y829" i="26"/>
  <c r="AB828" i="26"/>
  <c r="Y828" i="26"/>
  <c r="AB827" i="26"/>
  <c r="Y827" i="26"/>
  <c r="AB826" i="26"/>
  <c r="Y826" i="26"/>
  <c r="AB825" i="26"/>
  <c r="Y825" i="26"/>
  <c r="AB822" i="26"/>
  <c r="Y822" i="26"/>
  <c r="AB821" i="26"/>
  <c r="Y821" i="26"/>
  <c r="AB820" i="26"/>
  <c r="Y820" i="26"/>
  <c r="AB816" i="26"/>
  <c r="Y816" i="26"/>
  <c r="AB815" i="26"/>
  <c r="Y815" i="26"/>
  <c r="AB814" i="26"/>
  <c r="Y814" i="26"/>
  <c r="AB813" i="26"/>
  <c r="Y813" i="26"/>
  <c r="AB812" i="26"/>
  <c r="Y812" i="26"/>
  <c r="AB811" i="26"/>
  <c r="Y811" i="26"/>
  <c r="AB807" i="26"/>
  <c r="Y807" i="26"/>
  <c r="AB806" i="26"/>
  <c r="Y806" i="26"/>
  <c r="AB803" i="26"/>
  <c r="Y803" i="26"/>
  <c r="AB802" i="26"/>
  <c r="Y802" i="26"/>
  <c r="AB801" i="26"/>
  <c r="Y801" i="26"/>
  <c r="AB800" i="26"/>
  <c r="Y800" i="26"/>
  <c r="AB799" i="26"/>
  <c r="Y799" i="26"/>
  <c r="AB798" i="26"/>
  <c r="Y798" i="26"/>
  <c r="AB797" i="26"/>
  <c r="Y797" i="26"/>
  <c r="AB796" i="26"/>
  <c r="Y796" i="26"/>
  <c r="AB795" i="26"/>
  <c r="Y795" i="26"/>
  <c r="AB792" i="26"/>
  <c r="Y792" i="26"/>
  <c r="AB791" i="26"/>
  <c r="Y791" i="26"/>
  <c r="AB790" i="26"/>
  <c r="Y790" i="26"/>
  <c r="AB789" i="26"/>
  <c r="Y789" i="26"/>
  <c r="AB788" i="26"/>
  <c r="Y788" i="26"/>
  <c r="AB787" i="26"/>
  <c r="Y787" i="26"/>
  <c r="AB786" i="26"/>
  <c r="Y786" i="26"/>
  <c r="AB785" i="26"/>
  <c r="Y785" i="26"/>
  <c r="AB784" i="26"/>
  <c r="Y784" i="26"/>
  <c r="AB780" i="26"/>
  <c r="Y780" i="26"/>
  <c r="AB779" i="26"/>
  <c r="Y779" i="26"/>
  <c r="AB778" i="26"/>
  <c r="Y778" i="26"/>
  <c r="AB777" i="26"/>
  <c r="Y777" i="26"/>
  <c r="AB776" i="26"/>
  <c r="Y776" i="26"/>
  <c r="AB775" i="26"/>
  <c r="Y775" i="26"/>
  <c r="AB774" i="26"/>
  <c r="Y774" i="26"/>
  <c r="AB773" i="26"/>
  <c r="Y773" i="26"/>
  <c r="AB772" i="26"/>
  <c r="Y772" i="26"/>
  <c r="AB771" i="26"/>
  <c r="Y771" i="26"/>
  <c r="AB770" i="26"/>
  <c r="Y770" i="26"/>
  <c r="Y766" i="26"/>
  <c r="Y765" i="26"/>
  <c r="Y764" i="26"/>
  <c r="Y763" i="26"/>
  <c r="Y762" i="26"/>
  <c r="Y761" i="26"/>
  <c r="Y760" i="26"/>
  <c r="Y759" i="26"/>
  <c r="Y755" i="26"/>
  <c r="Y754" i="26"/>
  <c r="Y753" i="26"/>
  <c r="Y752" i="26"/>
  <c r="AB749" i="26"/>
  <c r="Y749" i="26"/>
  <c r="AB748" i="26"/>
  <c r="Y748" i="26"/>
  <c r="AB747" i="26"/>
  <c r="Y747" i="26"/>
  <c r="AB744" i="26"/>
  <c r="Y744" i="26"/>
  <c r="AB743" i="26"/>
  <c r="Y743" i="26"/>
  <c r="Y739" i="26"/>
  <c r="Y738" i="26"/>
  <c r="Y737" i="26"/>
  <c r="Y736" i="26"/>
  <c r="Y735" i="26"/>
  <c r="Y734" i="26"/>
  <c r="Y733" i="26"/>
  <c r="Y732" i="26"/>
  <c r="Y731" i="26"/>
  <c r="Y730" i="26"/>
  <c r="Y729" i="26"/>
  <c r="Y728" i="26"/>
  <c r="Y727" i="26"/>
  <c r="Y726" i="26"/>
  <c r="Y725" i="26"/>
  <c r="Y724" i="26"/>
  <c r="Y723" i="26"/>
  <c r="Y722" i="26"/>
  <c r="Y721" i="26"/>
  <c r="Y720" i="26"/>
  <c r="AB716" i="26"/>
  <c r="Y716" i="26"/>
  <c r="AB715" i="26"/>
  <c r="Y715" i="26"/>
  <c r="Y711" i="26"/>
  <c r="Y710" i="26"/>
  <c r="Y709" i="26"/>
  <c r="Y708" i="26"/>
  <c r="Y707" i="26"/>
  <c r="Y706" i="26"/>
  <c r="Y705" i="26"/>
  <c r="Y704" i="26"/>
  <c r="Y703" i="26"/>
  <c r="Y702" i="26"/>
  <c r="Y701" i="26"/>
  <c r="Y700" i="26"/>
  <c r="AB696" i="26"/>
  <c r="Y696" i="26"/>
  <c r="AB695" i="26"/>
  <c r="Y695" i="26"/>
  <c r="Y690" i="26"/>
  <c r="Y689" i="26"/>
  <c r="Y688" i="26"/>
  <c r="Y687" i="26"/>
  <c r="Y686" i="26"/>
  <c r="Y685" i="26"/>
  <c r="Y684" i="26"/>
  <c r="Y683" i="26"/>
  <c r="Y682" i="26"/>
  <c r="Y681" i="26"/>
  <c r="Y680" i="26"/>
  <c r="Y679" i="26"/>
  <c r="Y678" i="26"/>
  <c r="Y677" i="26"/>
  <c r="Y676" i="26"/>
  <c r="Y675" i="26"/>
  <c r="AB672" i="26"/>
  <c r="Y672" i="26"/>
  <c r="AB671" i="26"/>
  <c r="Y671" i="26"/>
  <c r="AB668" i="26"/>
  <c r="Y668" i="26"/>
  <c r="AB667" i="26"/>
  <c r="Y667" i="26"/>
  <c r="Y663" i="26"/>
  <c r="Y662" i="26"/>
  <c r="Y661" i="26"/>
  <c r="Y660" i="26"/>
  <c r="Y659" i="26"/>
  <c r="Y658" i="26"/>
  <c r="Y657" i="26"/>
  <c r="Y656" i="26"/>
  <c r="Y655" i="26"/>
  <c r="Y654" i="26"/>
  <c r="Y653" i="26"/>
  <c r="Y652" i="26"/>
  <c r="Y651" i="26"/>
  <c r="Y650" i="26"/>
  <c r="Y649" i="26"/>
  <c r="Y648" i="26"/>
  <c r="AB644" i="26"/>
  <c r="Y644" i="26"/>
  <c r="AB643" i="26"/>
  <c r="Y643" i="26"/>
  <c r="Y639" i="26"/>
  <c r="Y638" i="26"/>
  <c r="Y637" i="26"/>
  <c r="Y636" i="26"/>
  <c r="Y635" i="26"/>
  <c r="Y634" i="26"/>
  <c r="Y633" i="26"/>
  <c r="Y632" i="26"/>
  <c r="Y631" i="26"/>
  <c r="Y630" i="26"/>
  <c r="Y629" i="26"/>
  <c r="Y628" i="26"/>
  <c r="Y627" i="26"/>
  <c r="Y626" i="26"/>
  <c r="Y625" i="26"/>
  <c r="AB622" i="26"/>
  <c r="Y622" i="26"/>
  <c r="AB621" i="26"/>
  <c r="Y621" i="26"/>
  <c r="AB618" i="26"/>
  <c r="Y618" i="26"/>
  <c r="AB617" i="26"/>
  <c r="Y617" i="26"/>
  <c r="AB616" i="26"/>
  <c r="Y616" i="26"/>
  <c r="AB615" i="26"/>
  <c r="Y615" i="26"/>
  <c r="AB614" i="26"/>
  <c r="Y614" i="26"/>
  <c r="AB613" i="26"/>
  <c r="Y613" i="26"/>
  <c r="AB612" i="26"/>
  <c r="Y612" i="26"/>
  <c r="AB611" i="26"/>
  <c r="Y611" i="26"/>
  <c r="AB610" i="26"/>
  <c r="Y610" i="26"/>
  <c r="AB609" i="26"/>
  <c r="Y609" i="26"/>
  <c r="AB606" i="26"/>
  <c r="Y606" i="26"/>
  <c r="AB605" i="26"/>
  <c r="Y605" i="26"/>
  <c r="AB604" i="26"/>
  <c r="Y604" i="26"/>
  <c r="AB603" i="26"/>
  <c r="Y603" i="26"/>
  <c r="AB602" i="26"/>
  <c r="Y602" i="26"/>
  <c r="AB601" i="26"/>
  <c r="Y601" i="26"/>
  <c r="Y598" i="26"/>
  <c r="Y597" i="26"/>
  <c r="AB594" i="26"/>
  <c r="Y594" i="26"/>
  <c r="AB593" i="26"/>
  <c r="Y593" i="26"/>
  <c r="AB592" i="26"/>
  <c r="Y592" i="26"/>
  <c r="AB591" i="26"/>
  <c r="Y591" i="26"/>
  <c r="AB590" i="26"/>
  <c r="Y590" i="26"/>
  <c r="AB589" i="26"/>
  <c r="Y589" i="26"/>
  <c r="AB588" i="26"/>
  <c r="Y588" i="26"/>
  <c r="AB587" i="26"/>
  <c r="Y587" i="26"/>
  <c r="AB586" i="26"/>
  <c r="Y586" i="26"/>
  <c r="AB585" i="26"/>
  <c r="Y585" i="26"/>
  <c r="AB584" i="26"/>
  <c r="Y584" i="26"/>
  <c r="AB583" i="26"/>
  <c r="Y583" i="26"/>
  <c r="AB582" i="26"/>
  <c r="Y582" i="26"/>
  <c r="AB581" i="26"/>
  <c r="Y581" i="26"/>
  <c r="AB580" i="26"/>
  <c r="Y580" i="26"/>
  <c r="AB576" i="26"/>
  <c r="Y576" i="26"/>
  <c r="AB575" i="26"/>
  <c r="Y575" i="26"/>
  <c r="AB574" i="26"/>
  <c r="Y574" i="26"/>
  <c r="AB573" i="26"/>
  <c r="Y573" i="26"/>
  <c r="AB572" i="26"/>
  <c r="Y572" i="26"/>
  <c r="AB571" i="26"/>
  <c r="Y571" i="26"/>
  <c r="AB570" i="26"/>
  <c r="Y570" i="26"/>
  <c r="AB569" i="26"/>
  <c r="Y569" i="26"/>
  <c r="AB565" i="26"/>
  <c r="Y565" i="26"/>
  <c r="AB564" i="26"/>
  <c r="Y564" i="26"/>
  <c r="AB563" i="26"/>
  <c r="Y563" i="26"/>
  <c r="AB562" i="26"/>
  <c r="Y562" i="26"/>
  <c r="AB561" i="26"/>
  <c r="Y561" i="26"/>
  <c r="AB560" i="26"/>
  <c r="Y560" i="26"/>
  <c r="AB559" i="26"/>
  <c r="Y559" i="26"/>
  <c r="AB558" i="26"/>
  <c r="Y558" i="26"/>
  <c r="AB557" i="26"/>
  <c r="Y557" i="26"/>
  <c r="AB554" i="26"/>
  <c r="Y554" i="26"/>
  <c r="AB553" i="26"/>
  <c r="Y553" i="26"/>
  <c r="AB552" i="26"/>
  <c r="Y552" i="26"/>
  <c r="AB551" i="26"/>
  <c r="Y551" i="26"/>
  <c r="AB550" i="26"/>
  <c r="Y550" i="26"/>
  <c r="AB549" i="26"/>
  <c r="Y549" i="26"/>
  <c r="AB548" i="26"/>
  <c r="Y548" i="26"/>
  <c r="AB547" i="26"/>
  <c r="Y547" i="26"/>
  <c r="AB546" i="26"/>
  <c r="Y546" i="26"/>
  <c r="Y541" i="26"/>
  <c r="Y540" i="26"/>
  <c r="Y539" i="26"/>
  <c r="Y538" i="26"/>
  <c r="Y537" i="26"/>
  <c r="Y536" i="26"/>
  <c r="Y535" i="26"/>
  <c r="Y534" i="26"/>
  <c r="Y533" i="26"/>
  <c r="Y532" i="26"/>
  <c r="Y531" i="26"/>
  <c r="Y530" i="26"/>
  <c r="Y529" i="26"/>
  <c r="Y528" i="26"/>
  <c r="Y527" i="26"/>
  <c r="Y526" i="26"/>
  <c r="Y525" i="26"/>
  <c r="Y524" i="26"/>
  <c r="Y523" i="26"/>
  <c r="Y260" i="26"/>
  <c r="Y522" i="26"/>
  <c r="Y259" i="26"/>
  <c r="Y521" i="26"/>
  <c r="Y258" i="26"/>
  <c r="Y257" i="26"/>
  <c r="Y256" i="26"/>
  <c r="Y255" i="26"/>
  <c r="Y517" i="26"/>
  <c r="Y254" i="26"/>
  <c r="Y516" i="26"/>
  <c r="Y253" i="26"/>
  <c r="Y515" i="26"/>
  <c r="Y252" i="26"/>
  <c r="Y514" i="26"/>
  <c r="Y251" i="26"/>
  <c r="Y513" i="26"/>
  <c r="Y250" i="26"/>
  <c r="Z250" i="26" s="1"/>
  <c r="Z313" i="26" s="1"/>
  <c r="Y512" i="26"/>
  <c r="Y249" i="26"/>
  <c r="Y511" i="26"/>
  <c r="Y248" i="26"/>
  <c r="Y510" i="26"/>
  <c r="Y247" i="26"/>
  <c r="Y509" i="26"/>
  <c r="Y246" i="26"/>
  <c r="Y508" i="26"/>
  <c r="Y245" i="26"/>
  <c r="Y507" i="26"/>
  <c r="Y244" i="26"/>
  <c r="Y506" i="26"/>
  <c r="Y243" i="26"/>
  <c r="Y242" i="26"/>
  <c r="Y241" i="26"/>
  <c r="Y240" i="26"/>
  <c r="AB502" i="26"/>
  <c r="Y502" i="26"/>
  <c r="Y239" i="26"/>
  <c r="AB501" i="26"/>
  <c r="Y501" i="26"/>
  <c r="Y238" i="26"/>
  <c r="Y237" i="26"/>
  <c r="Y236" i="26"/>
  <c r="Y235" i="26"/>
  <c r="Y498" i="26"/>
  <c r="Y234" i="26"/>
  <c r="Y497" i="26"/>
  <c r="Y233" i="26"/>
  <c r="Y232" i="26"/>
  <c r="Y231" i="26"/>
  <c r="Y230" i="26"/>
  <c r="Z230" i="26" s="1"/>
  <c r="Z286" i="26" s="1"/>
  <c r="Y493" i="26"/>
  <c r="Y229" i="26"/>
  <c r="Y492" i="26"/>
  <c r="Y228" i="26"/>
  <c r="Y491" i="26"/>
  <c r="Y227" i="26"/>
  <c r="Y490" i="26"/>
  <c r="Y226" i="26"/>
  <c r="Y489" i="26"/>
  <c r="Y225" i="26"/>
  <c r="Y488" i="26"/>
  <c r="Y224" i="26"/>
  <c r="Y487" i="26"/>
  <c r="Y223" i="26"/>
  <c r="Y486" i="26"/>
  <c r="Y222" i="26"/>
  <c r="Y221" i="26"/>
  <c r="Y220" i="26"/>
  <c r="Y219" i="26"/>
  <c r="AB482" i="26"/>
  <c r="Y482" i="26"/>
  <c r="Y218" i="26"/>
  <c r="AB481" i="26"/>
  <c r="Y481" i="26"/>
  <c r="Y217" i="26"/>
  <c r="Y216" i="26"/>
  <c r="Y215" i="26"/>
  <c r="Y478" i="26"/>
  <c r="Y214" i="26"/>
  <c r="Y477" i="26"/>
  <c r="Y213" i="26"/>
  <c r="Y476" i="26"/>
  <c r="Y212" i="26"/>
  <c r="Z212" i="26" s="1"/>
  <c r="Z348" i="26" s="1"/>
  <c r="Y475" i="26"/>
  <c r="Y211" i="26"/>
  <c r="Y474" i="26"/>
  <c r="Y210" i="26"/>
  <c r="Y473" i="26"/>
  <c r="Y209" i="26"/>
  <c r="Y472" i="26"/>
  <c r="Y208" i="26"/>
  <c r="Y471" i="26"/>
  <c r="Y207" i="26"/>
  <c r="Y206" i="26"/>
  <c r="Y205" i="26"/>
  <c r="Y204" i="26"/>
  <c r="Y467" i="26"/>
  <c r="Y203" i="26"/>
  <c r="Y466" i="26"/>
  <c r="Y202" i="26"/>
  <c r="Y201" i="26"/>
  <c r="Y200" i="26"/>
  <c r="Y199" i="26"/>
  <c r="Y462" i="26"/>
  <c r="Y198" i="26"/>
  <c r="Z198" i="26" s="1"/>
  <c r="Y461" i="26"/>
  <c r="Y197" i="26"/>
  <c r="Y460" i="26"/>
  <c r="Y196" i="26"/>
  <c r="Y459" i="26"/>
  <c r="Y195" i="26"/>
  <c r="Y458" i="26"/>
  <c r="Y194" i="26"/>
  <c r="Y457" i="26"/>
  <c r="Y193" i="26"/>
  <c r="Y456" i="26"/>
  <c r="Y192" i="26"/>
  <c r="Y455" i="26"/>
  <c r="Y191" i="26"/>
  <c r="Y190" i="26"/>
  <c r="Y189" i="26"/>
  <c r="Y188" i="26"/>
  <c r="Y451" i="26"/>
  <c r="Y187" i="26"/>
  <c r="Y450" i="26"/>
  <c r="Y186" i="26"/>
  <c r="Y449" i="26"/>
  <c r="Y185" i="26"/>
  <c r="Y448" i="26"/>
  <c r="Y184" i="26"/>
  <c r="Y447" i="26"/>
  <c r="Y183" i="26"/>
  <c r="Z183" i="26" s="1"/>
  <c r="Z478" i="26" s="1"/>
  <c r="Y446" i="26"/>
  <c r="Y182" i="26"/>
  <c r="Y445" i="26"/>
  <c r="Y181" i="26"/>
  <c r="Y444" i="26"/>
  <c r="Y180" i="26"/>
  <c r="Y443" i="26"/>
  <c r="Y179" i="26"/>
  <c r="Y178" i="26"/>
  <c r="Y177" i="26"/>
  <c r="Y176" i="26"/>
  <c r="Y439" i="26"/>
  <c r="Y175" i="26"/>
  <c r="Y438" i="26"/>
  <c r="Y174" i="26"/>
  <c r="Y437" i="26"/>
  <c r="Y173" i="26"/>
  <c r="Z173" i="26" s="1"/>
  <c r="Y436" i="26"/>
  <c r="Y172" i="26"/>
  <c r="Y435" i="26"/>
  <c r="Y171" i="26"/>
  <c r="Y434" i="26"/>
  <c r="Y170" i="26"/>
  <c r="Y169" i="26"/>
  <c r="Y168" i="26"/>
  <c r="Y431" i="26"/>
  <c r="Y167" i="26"/>
  <c r="Y430" i="26"/>
  <c r="Y166" i="26"/>
  <c r="Y429" i="26"/>
  <c r="Y165" i="26"/>
  <c r="Z165" i="26" s="1"/>
  <c r="Y164" i="26"/>
  <c r="Y163" i="26"/>
  <c r="Y162" i="26"/>
  <c r="Y425" i="26"/>
  <c r="Y161" i="26"/>
  <c r="Y424" i="26"/>
  <c r="Y160" i="26"/>
  <c r="Y423" i="26"/>
  <c r="Y159" i="26"/>
  <c r="Y422" i="26"/>
  <c r="Y158" i="26"/>
  <c r="Y157" i="26"/>
  <c r="Y156" i="26"/>
  <c r="Y155" i="26"/>
  <c r="Y418" i="26"/>
  <c r="Y154" i="26"/>
  <c r="Y417" i="26"/>
  <c r="Y153" i="26"/>
  <c r="Y416" i="26"/>
  <c r="Y152" i="26"/>
  <c r="Y415" i="26"/>
  <c r="Y151" i="26"/>
  <c r="Y150" i="26"/>
  <c r="Y149" i="26"/>
  <c r="AB412" i="26"/>
  <c r="Y412" i="26"/>
  <c r="Y148" i="26"/>
  <c r="AB411" i="26"/>
  <c r="Y411" i="26"/>
  <c r="Y147" i="26"/>
  <c r="Z147" i="26" s="1"/>
  <c r="Y146" i="26"/>
  <c r="Y145" i="26"/>
  <c r="Y144" i="26"/>
  <c r="Y407" i="26"/>
  <c r="Y143" i="26"/>
  <c r="Y406" i="26"/>
  <c r="Y142" i="26"/>
  <c r="Y405" i="26"/>
  <c r="Y141" i="26"/>
  <c r="Y404" i="26"/>
  <c r="Y140" i="26"/>
  <c r="Y403" i="26"/>
  <c r="Y139" i="26"/>
  <c r="Y402" i="26"/>
  <c r="Y138" i="26"/>
  <c r="Y401" i="26"/>
  <c r="Y137" i="26"/>
  <c r="Y400" i="26"/>
  <c r="Y136" i="26"/>
  <c r="Y399" i="26"/>
  <c r="Y135" i="26"/>
  <c r="Y398" i="26"/>
  <c r="Y134" i="26"/>
  <c r="Y397" i="26"/>
  <c r="Y133" i="26"/>
  <c r="Y396" i="26"/>
  <c r="Y132" i="26"/>
  <c r="Y395" i="26"/>
  <c r="Y131" i="26"/>
  <c r="Y394" i="26"/>
  <c r="Y130" i="26"/>
  <c r="Y393" i="26"/>
  <c r="Y129" i="26"/>
  <c r="Y128" i="26"/>
  <c r="Y127" i="26"/>
  <c r="Y126" i="26"/>
  <c r="Z126" i="26" s="1"/>
  <c r="AB389" i="26"/>
  <c r="Y389" i="26"/>
  <c r="Y125" i="26"/>
  <c r="AB388" i="26"/>
  <c r="Y388" i="26"/>
  <c r="Y124" i="26"/>
  <c r="AB387" i="26"/>
  <c r="Y387" i="26"/>
  <c r="Y123" i="26"/>
  <c r="Y122" i="26"/>
  <c r="Y121" i="26"/>
  <c r="Y120" i="26"/>
  <c r="Y119" i="26"/>
  <c r="AB382" i="26"/>
  <c r="Y382" i="26"/>
  <c r="Y118" i="26"/>
  <c r="AB381" i="26"/>
  <c r="Y381" i="26"/>
  <c r="Y117" i="26"/>
  <c r="AB380" i="26"/>
  <c r="Y380" i="26"/>
  <c r="Y116" i="26"/>
  <c r="AB379" i="26"/>
  <c r="Y379" i="26"/>
  <c r="Y115" i="26"/>
  <c r="AB378" i="26"/>
  <c r="Y378" i="26"/>
  <c r="Y114" i="26"/>
  <c r="Y113" i="26"/>
  <c r="Y112" i="26"/>
  <c r="Y111" i="26"/>
  <c r="Y110" i="26"/>
  <c r="AB373" i="26"/>
  <c r="Y373" i="26"/>
  <c r="Y109" i="26"/>
  <c r="AB372" i="26"/>
  <c r="Y372" i="26"/>
  <c r="Y108" i="26"/>
  <c r="Z108" i="26" s="1"/>
  <c r="AB371" i="26"/>
  <c r="Y371" i="26"/>
  <c r="Y107" i="26"/>
  <c r="AB370" i="26"/>
  <c r="Y370" i="26"/>
  <c r="Y106" i="26"/>
  <c r="AB369" i="26"/>
  <c r="Y369" i="26"/>
  <c r="Y105" i="26"/>
  <c r="AB368" i="26"/>
  <c r="Y368" i="26"/>
  <c r="Y104" i="26"/>
  <c r="AB367" i="26"/>
  <c r="Y367" i="26"/>
  <c r="Y103" i="26"/>
  <c r="AB366" i="26"/>
  <c r="Y366" i="26"/>
  <c r="Y102" i="26"/>
  <c r="AB365" i="26"/>
  <c r="Y365" i="26"/>
  <c r="Y101" i="26"/>
  <c r="AB364" i="26"/>
  <c r="Y364" i="26"/>
  <c r="Y100" i="26"/>
  <c r="AB363" i="26"/>
  <c r="Y363" i="26"/>
  <c r="Y99" i="26"/>
  <c r="AB362" i="26"/>
  <c r="Y362" i="26"/>
  <c r="Y98" i="26"/>
  <c r="AB361" i="26"/>
  <c r="Y361" i="26"/>
  <c r="Y97" i="26"/>
  <c r="Y96" i="26"/>
  <c r="Y95" i="26"/>
  <c r="Y94" i="26"/>
  <c r="AB357" i="26"/>
  <c r="Y357" i="26"/>
  <c r="Y93" i="26"/>
  <c r="AB356" i="26"/>
  <c r="Y356" i="26"/>
  <c r="Y92" i="26"/>
  <c r="Z92" i="26" s="1"/>
  <c r="Z616" i="26" s="1"/>
  <c r="AB355" i="26"/>
  <c r="Y355" i="26"/>
  <c r="Y91" i="26"/>
  <c r="AB354" i="26"/>
  <c r="Y354" i="26"/>
  <c r="Y90" i="26"/>
  <c r="AB353" i="26"/>
  <c r="Y353" i="26"/>
  <c r="Y89" i="26"/>
  <c r="AB352" i="26"/>
  <c r="Y352" i="26"/>
  <c r="Y88" i="26"/>
  <c r="AB351" i="26"/>
  <c r="Y351" i="26"/>
  <c r="Y87" i="26"/>
  <c r="AB350" i="26"/>
  <c r="Y350" i="26"/>
  <c r="Y86" i="26"/>
  <c r="AB349" i="26"/>
  <c r="Y349" i="26"/>
  <c r="Y85" i="26"/>
  <c r="AB348" i="26"/>
  <c r="Y348" i="26"/>
  <c r="Y84" i="26"/>
  <c r="AB347" i="26"/>
  <c r="Y347" i="26"/>
  <c r="Y83" i="26"/>
  <c r="AB346" i="26"/>
  <c r="Y346" i="26"/>
  <c r="Y82" i="26"/>
  <c r="AB345" i="26"/>
  <c r="Y345" i="26"/>
  <c r="Y81" i="26"/>
  <c r="AB344" i="26"/>
  <c r="Y344" i="26"/>
  <c r="Y80" i="26"/>
  <c r="AB343" i="26"/>
  <c r="Y343" i="26"/>
  <c r="Y79" i="26"/>
  <c r="AB342" i="26"/>
  <c r="Y342" i="26"/>
  <c r="Y78" i="26"/>
  <c r="AB341" i="26"/>
  <c r="Y341" i="26"/>
  <c r="Y77" i="26"/>
  <c r="Y76" i="26"/>
  <c r="Y75" i="26"/>
  <c r="Y74" i="26"/>
  <c r="Z74" i="26" s="1"/>
  <c r="Y73" i="26"/>
  <c r="AB336" i="26"/>
  <c r="Y336" i="26"/>
  <c r="Y72" i="26"/>
  <c r="AB335" i="26"/>
  <c r="Y335" i="26"/>
  <c r="Y71" i="26"/>
  <c r="AB334" i="26"/>
  <c r="Y334" i="26"/>
  <c r="Y70" i="26"/>
  <c r="AB333" i="26"/>
  <c r="Y333" i="26"/>
  <c r="Y69" i="26"/>
  <c r="AB332" i="26"/>
  <c r="Y332" i="26"/>
  <c r="Y68" i="26"/>
  <c r="AB331" i="26"/>
  <c r="Y331" i="26"/>
  <c r="Y67" i="26"/>
  <c r="Y66" i="26"/>
  <c r="Y65" i="26"/>
  <c r="Y64" i="26"/>
  <c r="Y63" i="26"/>
  <c r="AB327" i="26"/>
  <c r="Y327" i="26"/>
  <c r="Y62" i="26"/>
  <c r="Y61" i="26"/>
  <c r="Y60" i="26"/>
  <c r="Y59" i="26"/>
  <c r="Y58" i="26"/>
  <c r="AB322" i="26"/>
  <c r="Y322" i="26"/>
  <c r="Y57" i="26"/>
  <c r="AB321" i="26"/>
  <c r="Y321" i="26"/>
  <c r="Y56" i="26"/>
  <c r="Z56" i="26" s="1"/>
  <c r="AA56" i="26" s="1"/>
  <c r="AC56" i="26" s="1"/>
  <c r="AB320" i="26"/>
  <c r="Y320" i="26"/>
  <c r="Y55" i="26"/>
  <c r="AB319" i="26"/>
  <c r="Y319" i="26"/>
  <c r="Y54" i="26"/>
  <c r="AB318" i="26"/>
  <c r="Y318" i="26"/>
  <c r="Y53" i="26"/>
  <c r="AB317" i="26"/>
  <c r="Y317" i="26"/>
  <c r="Y52" i="26"/>
  <c r="AB316" i="26"/>
  <c r="Y316" i="26"/>
  <c r="Y51" i="26"/>
  <c r="AB315" i="26"/>
  <c r="Y315" i="26"/>
  <c r="Y50" i="26"/>
  <c r="AB314" i="26"/>
  <c r="Y314" i="26"/>
  <c r="Y49" i="26"/>
  <c r="AB313" i="26"/>
  <c r="Y313" i="26"/>
  <c r="Y48" i="26"/>
  <c r="AB312" i="26"/>
  <c r="Y312" i="26"/>
  <c r="Y47" i="26"/>
  <c r="AB311" i="26"/>
  <c r="Y311" i="26"/>
  <c r="Y46" i="26"/>
  <c r="AB310" i="26"/>
  <c r="Y310" i="26"/>
  <c r="Y45" i="26"/>
  <c r="AB309" i="26"/>
  <c r="Y309" i="26"/>
  <c r="Y44" i="26"/>
  <c r="AB308" i="26"/>
  <c r="Y308" i="26"/>
  <c r="Y43" i="26"/>
  <c r="AB307" i="26"/>
  <c r="Y307" i="26"/>
  <c r="Y42" i="26"/>
  <c r="AB306" i="26"/>
  <c r="Y306" i="26"/>
  <c r="Y41" i="26"/>
  <c r="AB305" i="26"/>
  <c r="Y305" i="26"/>
  <c r="Y40" i="26"/>
  <c r="AB304" i="26"/>
  <c r="Y304" i="26"/>
  <c r="Y39" i="26"/>
  <c r="AB303" i="26"/>
  <c r="Y303" i="26"/>
  <c r="Y38" i="26"/>
  <c r="Y37" i="26"/>
  <c r="Y36" i="26"/>
  <c r="Y35" i="26"/>
  <c r="AB299" i="26"/>
  <c r="Y299" i="26"/>
  <c r="Y34" i="26"/>
  <c r="Z34" i="26" s="1"/>
  <c r="Z716" i="26" s="1"/>
  <c r="AB298" i="26"/>
  <c r="Y298" i="26"/>
  <c r="Y33" i="26"/>
  <c r="Y32" i="26"/>
  <c r="Y31" i="26"/>
  <c r="Y30" i="26"/>
  <c r="AB294" i="26"/>
  <c r="Y294" i="26"/>
  <c r="Y29" i="26"/>
  <c r="AB293" i="26"/>
  <c r="Y293" i="26"/>
  <c r="Y28" i="26"/>
  <c r="AB292" i="26"/>
  <c r="Y292" i="26"/>
  <c r="Y27" i="26"/>
  <c r="AB291" i="26"/>
  <c r="Y291" i="26"/>
  <c r="Y26" i="26"/>
  <c r="AB290" i="26"/>
  <c r="Y290" i="26"/>
  <c r="Y25" i="26"/>
  <c r="AB289" i="26"/>
  <c r="Y289" i="26"/>
  <c r="Y24" i="26"/>
  <c r="AB288" i="26"/>
  <c r="Y288" i="26"/>
  <c r="Y23" i="26"/>
  <c r="Z23" i="26" s="1"/>
  <c r="AB287" i="26"/>
  <c r="Y287" i="26"/>
  <c r="Y22" i="26"/>
  <c r="AB286" i="26"/>
  <c r="Y286" i="26"/>
  <c r="Y21" i="26"/>
  <c r="AB285" i="26"/>
  <c r="Y285" i="26"/>
  <c r="Y20" i="26"/>
  <c r="AB284" i="26"/>
  <c r="Y284" i="26"/>
  <c r="Y19" i="26"/>
  <c r="AB283" i="26"/>
  <c r="Y283" i="26"/>
  <c r="Y18" i="26"/>
  <c r="AB282" i="26"/>
  <c r="Y282" i="26"/>
  <c r="Y17" i="26"/>
  <c r="AB281" i="26"/>
  <c r="Y281" i="26"/>
  <c r="Y16" i="26"/>
  <c r="AB280" i="26"/>
  <c r="Y280" i="26"/>
  <c r="Y15" i="26"/>
  <c r="AB279" i="26"/>
  <c r="Y279" i="26"/>
  <c r="Y14" i="26"/>
  <c r="AB278" i="26"/>
  <c r="Y278" i="26"/>
  <c r="Y13" i="26"/>
  <c r="AB277" i="26"/>
  <c r="Y277" i="26"/>
  <c r="Y12" i="26"/>
  <c r="Y11" i="26"/>
  <c r="Y10" i="26"/>
  <c r="Y9" i="26"/>
  <c r="Y8" i="26"/>
  <c r="Y272" i="26"/>
  <c r="Y7" i="26"/>
  <c r="AB271" i="26"/>
  <c r="Y271" i="26"/>
  <c r="Y6" i="26"/>
  <c r="AB270" i="26"/>
  <c r="Y270" i="26"/>
  <c r="Y5" i="26"/>
  <c r="AB269" i="26"/>
  <c r="Y269" i="26"/>
  <c r="Y4" i="26"/>
  <c r="Y3" i="26"/>
  <c r="Z3" i="26" s="1"/>
  <c r="Z822" i="26" s="1"/>
  <c r="E1362" i="26" l="1"/>
  <c r="F1362" i="26" s="1"/>
  <c r="E1321" i="26"/>
  <c r="F1321" i="26" s="1"/>
  <c r="E1311" i="26"/>
  <c r="F1311" i="26" s="1"/>
  <c r="E1196" i="26"/>
  <c r="F1196" i="26" s="1"/>
  <c r="F1084" i="26"/>
  <c r="E1084" i="26"/>
  <c r="E1075" i="26"/>
  <c r="F1075" i="26" s="1"/>
  <c r="E1055" i="26"/>
  <c r="F1055" i="26" s="1"/>
  <c r="F1015" i="26"/>
  <c r="E1015" i="26"/>
  <c r="E967" i="26"/>
  <c r="F967" i="26" s="1"/>
  <c r="E1351" i="26"/>
  <c r="F1351" i="26" s="1"/>
  <c r="E1341" i="26"/>
  <c r="F1341" i="26" s="1"/>
  <c r="E1331" i="26"/>
  <c r="F1331" i="26" s="1"/>
  <c r="F1165" i="26"/>
  <c r="E1165" i="26"/>
  <c r="E1155" i="26"/>
  <c r="F1155" i="26" s="1"/>
  <c r="E1074" i="26"/>
  <c r="F1074" i="26" s="1"/>
  <c r="F908" i="26"/>
  <c r="E908" i="26"/>
  <c r="E1340" i="26"/>
  <c r="F1340" i="26" s="1"/>
  <c r="E1330" i="26"/>
  <c r="F1330" i="26" s="1"/>
  <c r="E1279" i="26"/>
  <c r="F1279" i="26" s="1"/>
  <c r="E1247" i="26"/>
  <c r="F1247" i="26" s="1"/>
  <c r="F1186" i="26"/>
  <c r="E1186" i="26"/>
  <c r="E1176" i="26"/>
  <c r="F1176" i="26" s="1"/>
  <c r="E1164" i="26"/>
  <c r="F1164" i="26" s="1"/>
  <c r="F1154" i="26"/>
  <c r="E1154" i="26"/>
  <c r="E1144" i="26"/>
  <c r="F1144" i="26" s="1"/>
  <c r="E1133" i="26"/>
  <c r="F1133" i="26" s="1"/>
  <c r="E1123" i="26"/>
  <c r="F1123" i="26" s="1"/>
  <c r="E1103" i="26"/>
  <c r="F1103" i="26" s="1"/>
  <c r="F1004" i="26"/>
  <c r="E1004" i="26"/>
  <c r="E937" i="26"/>
  <c r="F937" i="26" s="1"/>
  <c r="E927" i="26"/>
  <c r="F927" i="26" s="1"/>
  <c r="F1319" i="26"/>
  <c r="E1319" i="26"/>
  <c r="E1309" i="26"/>
  <c r="F1309" i="26" s="1"/>
  <c r="E1299" i="26"/>
  <c r="F1299" i="26" s="1"/>
  <c r="E1257" i="26"/>
  <c r="F1257" i="26" s="1"/>
  <c r="E1215" i="26"/>
  <c r="F1215" i="26" s="1"/>
  <c r="F1175" i="26"/>
  <c r="E1175" i="26"/>
  <c r="E1143" i="26"/>
  <c r="F1143" i="26" s="1"/>
  <c r="E1132" i="26"/>
  <c r="F1132" i="26" s="1"/>
  <c r="F1122" i="26"/>
  <c r="E1122" i="26"/>
  <c r="E1063" i="26"/>
  <c r="F1063" i="26" s="1"/>
  <c r="E1053" i="26"/>
  <c r="F1053" i="26" s="1"/>
  <c r="E994" i="26"/>
  <c r="F994" i="26" s="1"/>
  <c r="E975" i="26"/>
  <c r="F975" i="26" s="1"/>
  <c r="F956" i="26"/>
  <c r="E956" i="26"/>
  <c r="E946" i="26"/>
  <c r="F946" i="26" s="1"/>
  <c r="E936" i="26"/>
  <c r="F936" i="26" s="1"/>
  <c r="F1308" i="26"/>
  <c r="E1308" i="26"/>
  <c r="E1298" i="26"/>
  <c r="F1298" i="26" s="1"/>
  <c r="E1288" i="26"/>
  <c r="F1288" i="26" s="1"/>
  <c r="E1267" i="26"/>
  <c r="F1267" i="26" s="1"/>
  <c r="E1256" i="26"/>
  <c r="F1256" i="26" s="1"/>
  <c r="F1235" i="26"/>
  <c r="E1235" i="26"/>
  <c r="E1142" i="26"/>
  <c r="F1142" i="26" s="1"/>
  <c r="E1052" i="26"/>
  <c r="F1052" i="26" s="1"/>
  <c r="F1043" i="26"/>
  <c r="E1043" i="26"/>
  <c r="E1023" i="26"/>
  <c r="F1023" i="26" s="1"/>
  <c r="E984" i="26"/>
  <c r="F984" i="26" s="1"/>
  <c r="E935" i="26"/>
  <c r="F935" i="26" s="1"/>
  <c r="E1379" i="26"/>
  <c r="F1379" i="26" s="1"/>
  <c r="F1359" i="26"/>
  <c r="E1359" i="26"/>
  <c r="E1287" i="26"/>
  <c r="F1287" i="26" s="1"/>
  <c r="E1277" i="26"/>
  <c r="F1277" i="26" s="1"/>
  <c r="F1266" i="26"/>
  <c r="E1266" i="26"/>
  <c r="E1255" i="26"/>
  <c r="F1255" i="26" s="1"/>
  <c r="E1245" i="26"/>
  <c r="F1245" i="26" s="1"/>
  <c r="E1234" i="26"/>
  <c r="F1234" i="26" s="1"/>
  <c r="E1224" i="26"/>
  <c r="F1224" i="26" s="1"/>
  <c r="F1111" i="26"/>
  <c r="E1111" i="26"/>
  <c r="E1101" i="26"/>
  <c r="F1101" i="26" s="1"/>
  <c r="E1042" i="26"/>
  <c r="F1042" i="26" s="1"/>
  <c r="F1032" i="26"/>
  <c r="E1032" i="26"/>
  <c r="E983" i="26"/>
  <c r="F983" i="26" s="1"/>
  <c r="E1388" i="26"/>
  <c r="F1388" i="26" s="1"/>
  <c r="E1378" i="26"/>
  <c r="F1378" i="26" s="1"/>
  <c r="E1276" i="26"/>
  <c r="F1276" i="26" s="1"/>
  <c r="F1244" i="26"/>
  <c r="E1244" i="26"/>
  <c r="E1223" i="26"/>
  <c r="F1223" i="26" s="1"/>
  <c r="E1213" i="26"/>
  <c r="F1213" i="26" s="1"/>
  <c r="F1203" i="26"/>
  <c r="E1203" i="26"/>
  <c r="E1100" i="26"/>
  <c r="F1100" i="26" s="1"/>
  <c r="E1091" i="26"/>
  <c r="F1091" i="26" s="1"/>
  <c r="E1071" i="26"/>
  <c r="F1071" i="26" s="1"/>
  <c r="E1031" i="26"/>
  <c r="F1031" i="26" s="1"/>
  <c r="F905" i="26"/>
  <c r="E905" i="26"/>
  <c r="Q226" i="25"/>
  <c r="E1337" i="26"/>
  <c r="F1337" i="26" s="1"/>
  <c r="F1327" i="26"/>
  <c r="E1327" i="26"/>
  <c r="E1212" i="26"/>
  <c r="F1212" i="26" s="1"/>
  <c r="E1202" i="26"/>
  <c r="F1202" i="26" s="1"/>
  <c r="E1183" i="26"/>
  <c r="F1183" i="26" s="1"/>
  <c r="E1151" i="26"/>
  <c r="F1151" i="26" s="1"/>
  <c r="E1090" i="26"/>
  <c r="F1090" i="26" s="1"/>
  <c r="E1021" i="26"/>
  <c r="F1021" i="26" s="1"/>
  <c r="E1011" i="26"/>
  <c r="F1011" i="26" s="1"/>
  <c r="F924" i="26"/>
  <c r="E924" i="26"/>
  <c r="E914" i="26"/>
  <c r="F914" i="26" s="1"/>
  <c r="E904" i="26"/>
  <c r="F904" i="26" s="1"/>
  <c r="F1367" i="26"/>
  <c r="E1367" i="26"/>
  <c r="E1357" i="26"/>
  <c r="F1357" i="26" s="1"/>
  <c r="E1347" i="26"/>
  <c r="F1347" i="26" s="1"/>
  <c r="E1119" i="26"/>
  <c r="F1119" i="26" s="1"/>
  <c r="E1020" i="26"/>
  <c r="F1020" i="26" s="1"/>
  <c r="F1010" i="26"/>
  <c r="E1010" i="26"/>
  <c r="E991" i="26"/>
  <c r="F991" i="26" s="1"/>
  <c r="E972" i="26"/>
  <c r="F972" i="26" s="1"/>
  <c r="F953" i="26"/>
  <c r="E953" i="26"/>
  <c r="E943" i="26"/>
  <c r="F943" i="26" s="1"/>
  <c r="E1356" i="26"/>
  <c r="F1356" i="26" s="1"/>
  <c r="E1346" i="26"/>
  <c r="F1346" i="26" s="1"/>
  <c r="E1305" i="26"/>
  <c r="F1305" i="26" s="1"/>
  <c r="F1295" i="26"/>
  <c r="E1295" i="26"/>
  <c r="E1191" i="26"/>
  <c r="F1191" i="26" s="1"/>
  <c r="E1160" i="26"/>
  <c r="F1160" i="26" s="1"/>
  <c r="F1139" i="26"/>
  <c r="E1139" i="26"/>
  <c r="E1079" i="26"/>
  <c r="F1079" i="26" s="1"/>
  <c r="E1069" i="26"/>
  <c r="F1069" i="26" s="1"/>
  <c r="E1000" i="26"/>
  <c r="F1000" i="26" s="1"/>
  <c r="E962" i="26"/>
  <c r="F962" i="26" s="1"/>
  <c r="F952" i="26"/>
  <c r="E952" i="26"/>
  <c r="J131" i="30"/>
  <c r="M131" i="30"/>
  <c r="N131" i="30" s="1"/>
  <c r="P131" i="30" s="1"/>
  <c r="E1335" i="26"/>
  <c r="F1335" i="26" s="1"/>
  <c r="F1325" i="26"/>
  <c r="E1325" i="26"/>
  <c r="E1315" i="26"/>
  <c r="F1315" i="26" s="1"/>
  <c r="E1263" i="26"/>
  <c r="F1263" i="26" s="1"/>
  <c r="E1231" i="26"/>
  <c r="F1231" i="26" s="1"/>
  <c r="E1181" i="26"/>
  <c r="F1181" i="26" s="1"/>
  <c r="F1171" i="26"/>
  <c r="E1171" i="26"/>
  <c r="E1159" i="26"/>
  <c r="F1159" i="26" s="1"/>
  <c r="E1149" i="26"/>
  <c r="F1149" i="26" s="1"/>
  <c r="F1138" i="26"/>
  <c r="E1138" i="26"/>
  <c r="E1128" i="26"/>
  <c r="F1128" i="26" s="1"/>
  <c r="E1068" i="26"/>
  <c r="F1068" i="26" s="1"/>
  <c r="E1059" i="26"/>
  <c r="F1059" i="26" s="1"/>
  <c r="E1039" i="26"/>
  <c r="F1039" i="26" s="1"/>
  <c r="F999" i="26"/>
  <c r="E999" i="26"/>
  <c r="E951" i="26"/>
  <c r="F951" i="26" s="1"/>
  <c r="F1385" i="26"/>
  <c r="E1385" i="26"/>
  <c r="E1375" i="26"/>
  <c r="F1375" i="26" s="1"/>
  <c r="E1324" i="26"/>
  <c r="F1324" i="26" s="1"/>
  <c r="E1314" i="26"/>
  <c r="F1314" i="26" s="1"/>
  <c r="E1273" i="26"/>
  <c r="F1273" i="26" s="1"/>
  <c r="F1241" i="26"/>
  <c r="E1241" i="26"/>
  <c r="E1180" i="26"/>
  <c r="F1180" i="26" s="1"/>
  <c r="F1170" i="26"/>
  <c r="E1170" i="26"/>
  <c r="F1148" i="26"/>
  <c r="E1148" i="26"/>
  <c r="E1127" i="26"/>
  <c r="F1127" i="26" s="1"/>
  <c r="E1117" i="26"/>
  <c r="F1117" i="26" s="1"/>
  <c r="E1058" i="26"/>
  <c r="F1058" i="26" s="1"/>
  <c r="E1303" i="26"/>
  <c r="F1303" i="26" s="1"/>
  <c r="F1293" i="26"/>
  <c r="E1293" i="26"/>
  <c r="E1283" i="26"/>
  <c r="F1283" i="26" s="1"/>
  <c r="F1272" i="26"/>
  <c r="E1272" i="26"/>
  <c r="F1251" i="26"/>
  <c r="E1251" i="26"/>
  <c r="E1240" i="26"/>
  <c r="F1240" i="26" s="1"/>
  <c r="E1199" i="26"/>
  <c r="F1199" i="26" s="1"/>
  <c r="E1116" i="26"/>
  <c r="F1116" i="26" s="1"/>
  <c r="E1107" i="26"/>
  <c r="F1107" i="26" s="1"/>
  <c r="F1087" i="26"/>
  <c r="E1087" i="26"/>
  <c r="E921" i="26"/>
  <c r="F921" i="26" s="1"/>
  <c r="F911" i="26"/>
  <c r="E911" i="26"/>
  <c r="F1292" i="26"/>
  <c r="E1292" i="26"/>
  <c r="E1282" i="26"/>
  <c r="F1282" i="26" s="1"/>
  <c r="E1271" i="26"/>
  <c r="F1271" i="26" s="1"/>
  <c r="E1261" i="26"/>
  <c r="F1261" i="26" s="1"/>
  <c r="E1250" i="26"/>
  <c r="F1250" i="26" s="1"/>
  <c r="F1239" i="26"/>
  <c r="E1239" i="26"/>
  <c r="E1229" i="26"/>
  <c r="F1229" i="26" s="1"/>
  <c r="F1219" i="26"/>
  <c r="E1219" i="26"/>
  <c r="F1106" i="26"/>
  <c r="E1106" i="26"/>
  <c r="E1047" i="26"/>
  <c r="F1047" i="26" s="1"/>
  <c r="E1037" i="26"/>
  <c r="F1037" i="26" s="1"/>
  <c r="E1007" i="26"/>
  <c r="F1007" i="26" s="1"/>
  <c r="E988" i="26"/>
  <c r="F988" i="26" s="1"/>
  <c r="F940" i="26"/>
  <c r="E940" i="26"/>
  <c r="E930" i="26"/>
  <c r="F930" i="26" s="1"/>
  <c r="F920" i="26"/>
  <c r="E920" i="26"/>
  <c r="F1383" i="26"/>
  <c r="E1383" i="26"/>
  <c r="E1373" i="26"/>
  <c r="F1373" i="26" s="1"/>
  <c r="E1353" i="26"/>
  <c r="F1353" i="26" s="1"/>
  <c r="E1343" i="26"/>
  <c r="F1343" i="26" s="1"/>
  <c r="E1260" i="26"/>
  <c r="F1260" i="26" s="1"/>
  <c r="F1228" i="26"/>
  <c r="E1228" i="26"/>
  <c r="E1218" i="26"/>
  <c r="F1218" i="26" s="1"/>
  <c r="F1208" i="26"/>
  <c r="E1208" i="26"/>
  <c r="F1167" i="26"/>
  <c r="E1167" i="26"/>
  <c r="E1036" i="26"/>
  <c r="F1036" i="26" s="1"/>
  <c r="E978" i="26"/>
  <c r="F978" i="26" s="1"/>
  <c r="E959" i="26"/>
  <c r="F959" i="26" s="1"/>
  <c r="E919" i="26"/>
  <c r="F919" i="26" s="1"/>
  <c r="F1372" i="26"/>
  <c r="E1372" i="26"/>
  <c r="E1363" i="26"/>
  <c r="F1363" i="26" s="1"/>
  <c r="F1207" i="26"/>
  <c r="E1207" i="26"/>
  <c r="F1197" i="26"/>
  <c r="E1197" i="26"/>
  <c r="E1135" i="26"/>
  <c r="F1135" i="26" s="1"/>
  <c r="E1095" i="26"/>
  <c r="F1095" i="26" s="1"/>
  <c r="E1085" i="26"/>
  <c r="F1085" i="26" s="1"/>
  <c r="E1026" i="26"/>
  <c r="F1026" i="26" s="1"/>
  <c r="F1016" i="26"/>
  <c r="E1016" i="26"/>
  <c r="E968" i="26"/>
  <c r="F968" i="26" s="1"/>
  <c r="A1" i="36"/>
  <c r="U22" i="30"/>
  <c r="U24" i="30"/>
  <c r="K57" i="30" s="1"/>
  <c r="U26" i="30"/>
  <c r="U28" i="30"/>
  <c r="U30" i="30"/>
  <c r="U32" i="30"/>
  <c r="U34" i="30"/>
  <c r="U36" i="30"/>
  <c r="U38" i="30"/>
  <c r="U40" i="30"/>
  <c r="K73" i="30" s="1"/>
  <c r="U42" i="30"/>
  <c r="U44" i="30"/>
  <c r="U46" i="30"/>
  <c r="H57" i="30"/>
  <c r="K5" i="36"/>
  <c r="H73" i="30"/>
  <c r="K14" i="36"/>
  <c r="H68" i="30"/>
  <c r="K11" i="36"/>
  <c r="H58" i="30"/>
  <c r="K6" i="36"/>
  <c r="H64" i="30"/>
  <c r="K9" i="36"/>
  <c r="H70" i="30"/>
  <c r="K12" i="36"/>
  <c r="H74" i="30"/>
  <c r="K15" i="36"/>
  <c r="H60" i="30"/>
  <c r="K7" i="36"/>
  <c r="H76" i="30"/>
  <c r="K16" i="36"/>
  <c r="K4" i="36"/>
  <c r="H66" i="30"/>
  <c r="K10" i="36"/>
  <c r="H72" i="30"/>
  <c r="K13" i="36"/>
  <c r="H62" i="30"/>
  <c r="K8" i="36"/>
  <c r="H78" i="30"/>
  <c r="K17" i="36"/>
  <c r="D49" i="30"/>
  <c r="U21" i="30"/>
  <c r="V21" i="30" s="1"/>
  <c r="E100" i="30"/>
  <c r="AP22" i="30"/>
  <c r="U23" i="30"/>
  <c r="U25" i="30"/>
  <c r="U27" i="30"/>
  <c r="U29" i="30"/>
  <c r="K62" i="30" s="1"/>
  <c r="U31" i="30"/>
  <c r="K64" i="30" s="1"/>
  <c r="U33" i="30"/>
  <c r="K66" i="30" s="1"/>
  <c r="U35" i="30"/>
  <c r="K68" i="30" s="1"/>
  <c r="U37" i="30"/>
  <c r="K70" i="30" s="1"/>
  <c r="U39" i="30"/>
  <c r="K72" i="30" s="1"/>
  <c r="U41" i="30"/>
  <c r="K74" i="30" s="1"/>
  <c r="U43" i="30"/>
  <c r="K76" i="30" s="1"/>
  <c r="U45" i="30"/>
  <c r="K78" i="30" s="1"/>
  <c r="I131" i="30"/>
  <c r="G132" i="30"/>
  <c r="H134" i="30"/>
  <c r="K133" i="30"/>
  <c r="Z179" i="41"/>
  <c r="X179" i="41"/>
  <c r="AA179" i="41"/>
  <c r="AE179" i="41" s="1"/>
  <c r="P188" i="41"/>
  <c r="Q188" i="41" s="1"/>
  <c r="R188" i="41"/>
  <c r="N232" i="41"/>
  <c r="V232" i="41"/>
  <c r="X232" i="41" s="1"/>
  <c r="K18" i="41"/>
  <c r="L17" i="41"/>
  <c r="Y188" i="41"/>
  <c r="Z188" i="41"/>
  <c r="V219" i="41"/>
  <c r="AA219" i="41" s="1"/>
  <c r="AE219" i="41" s="1"/>
  <c r="N219" i="41"/>
  <c r="AA188" i="41"/>
  <c r="AE188" i="41" s="1"/>
  <c r="M200" i="41"/>
  <c r="D255" i="41" s="1"/>
  <c r="U200" i="41"/>
  <c r="R199" i="41"/>
  <c r="P199" i="41"/>
  <c r="Q199" i="41" s="1"/>
  <c r="V243" i="41"/>
  <c r="AA243" i="41" s="1"/>
  <c r="AE243" i="41" s="1"/>
  <c r="N243" i="41"/>
  <c r="L244" i="41"/>
  <c r="X199" i="41"/>
  <c r="Y199" i="41"/>
  <c r="Z199" i="41"/>
  <c r="R179" i="41"/>
  <c r="P179" i="41"/>
  <c r="Q179" i="41" s="1"/>
  <c r="T211" i="25"/>
  <c r="T214" i="25"/>
  <c r="T215" i="25"/>
  <c r="T212" i="25"/>
  <c r="T182" i="25"/>
  <c r="G246" i="25"/>
  <c r="G245" i="25"/>
  <c r="Q211" i="25"/>
  <c r="Q225" i="25"/>
  <c r="E112" i="30"/>
  <c r="G79" i="30"/>
  <c r="T213" i="25"/>
  <c r="T204" i="25"/>
  <c r="T163" i="25"/>
  <c r="T203" i="25"/>
  <c r="E205" i="25"/>
  <c r="B256" i="25" s="1"/>
  <c r="T183" i="25"/>
  <c r="T164" i="25"/>
  <c r="B249" i="25"/>
  <c r="T206" i="25"/>
  <c r="T239" i="25"/>
  <c r="T207" i="25"/>
  <c r="G72" i="30"/>
  <c r="N22" i="30"/>
  <c r="AT22" i="30" s="1"/>
  <c r="AU22" i="30" s="1"/>
  <c r="AV22" i="30" s="1"/>
  <c r="AY22" i="30" s="1"/>
  <c r="AZ22" i="30" s="1"/>
  <c r="BD22" i="30" s="1"/>
  <c r="N24" i="30"/>
  <c r="N26" i="30"/>
  <c r="O26" i="30" s="1"/>
  <c r="N30" i="30"/>
  <c r="N32" i="30"/>
  <c r="O32" i="30" s="1"/>
  <c r="N36" i="30"/>
  <c r="O36" i="30" s="1"/>
  <c r="N38" i="30"/>
  <c r="O38" i="30" s="1"/>
  <c r="N40" i="30"/>
  <c r="N42" i="30"/>
  <c r="N46" i="30"/>
  <c r="G67" i="30"/>
  <c r="G63" i="30"/>
  <c r="G76" i="30"/>
  <c r="G60" i="30"/>
  <c r="G75" i="30"/>
  <c r="G59" i="30"/>
  <c r="G69" i="30"/>
  <c r="G62" i="30"/>
  <c r="G65" i="30"/>
  <c r="E114" i="30"/>
  <c r="E104" i="30"/>
  <c r="G71" i="30"/>
  <c r="G77" i="30"/>
  <c r="M159" i="25"/>
  <c r="N159" i="25" s="1"/>
  <c r="M222" i="25"/>
  <c r="L223" i="25" s="1"/>
  <c r="M223" i="25" s="1"/>
  <c r="N223" i="25" s="1"/>
  <c r="P223" i="25" s="1"/>
  <c r="Q223" i="25" s="1"/>
  <c r="M208" i="25"/>
  <c r="L209" i="25" s="1"/>
  <c r="M209" i="25" s="1"/>
  <c r="N209" i="25" s="1"/>
  <c r="U169" i="25"/>
  <c r="U224" i="25"/>
  <c r="T156" i="25"/>
  <c r="U184" i="25"/>
  <c r="M182" i="25"/>
  <c r="V182" i="25" s="1"/>
  <c r="X182" i="25" s="1"/>
  <c r="M221" i="25"/>
  <c r="N221" i="25" s="1"/>
  <c r="M192" i="25"/>
  <c r="L193" i="25" s="1"/>
  <c r="M193" i="25" s="1"/>
  <c r="M194" i="25"/>
  <c r="N194" i="25" s="1"/>
  <c r="M180" i="25"/>
  <c r="V180" i="25" s="1"/>
  <c r="M181" i="25"/>
  <c r="N181" i="25" s="1"/>
  <c r="M175" i="25"/>
  <c r="L176" i="25" s="1"/>
  <c r="M176" i="25" s="1"/>
  <c r="N176" i="25" s="1"/>
  <c r="P176" i="25" s="1"/>
  <c r="Q176" i="25" s="1"/>
  <c r="M239" i="25"/>
  <c r="N239" i="25" s="1"/>
  <c r="N224" i="25"/>
  <c r="M212" i="25"/>
  <c r="L213" i="25" s="1"/>
  <c r="M213" i="25" s="1"/>
  <c r="N213" i="25" s="1"/>
  <c r="E241" i="25"/>
  <c r="E242" i="25" s="1"/>
  <c r="E243" i="25" s="1"/>
  <c r="E244" i="25" s="1"/>
  <c r="T244" i="25" s="1"/>
  <c r="U203" i="25"/>
  <c r="M173" i="25"/>
  <c r="V173" i="25" s="1"/>
  <c r="AA173" i="25" s="1"/>
  <c r="AE173" i="25" s="1"/>
  <c r="M236" i="25"/>
  <c r="V236" i="25" s="1"/>
  <c r="U211" i="25"/>
  <c r="M201" i="25"/>
  <c r="V201" i="25" s="1"/>
  <c r="AA201" i="25" s="1"/>
  <c r="AE201" i="25" s="1"/>
  <c r="T237" i="25"/>
  <c r="U226" i="25"/>
  <c r="M189" i="25"/>
  <c r="L190" i="25" s="1"/>
  <c r="M190" i="25" s="1"/>
  <c r="L191" i="25" s="1"/>
  <c r="M191" i="25" s="1"/>
  <c r="T209" i="25"/>
  <c r="M214" i="25"/>
  <c r="V214" i="25" s="1"/>
  <c r="Z214" i="25" s="1"/>
  <c r="T225" i="25"/>
  <c r="E217" i="25"/>
  <c r="E218" i="25" s="1"/>
  <c r="E219" i="25" s="1"/>
  <c r="T219" i="25" s="1"/>
  <c r="M167" i="25"/>
  <c r="L168" i="25" s="1"/>
  <c r="M168" i="25" s="1"/>
  <c r="N168" i="25" s="1"/>
  <c r="P168" i="25" s="1"/>
  <c r="Q168" i="25" s="1"/>
  <c r="M210" i="25"/>
  <c r="U195" i="25"/>
  <c r="M171" i="25"/>
  <c r="V171" i="25" s="1"/>
  <c r="Z171" i="25" s="1"/>
  <c r="M233" i="25"/>
  <c r="N233" i="25" s="1"/>
  <c r="T158" i="25"/>
  <c r="M172" i="25"/>
  <c r="N172" i="25" s="1"/>
  <c r="T171" i="25"/>
  <c r="T228" i="25"/>
  <c r="T190" i="25"/>
  <c r="E197" i="25"/>
  <c r="T197" i="25" s="1"/>
  <c r="M206" i="25"/>
  <c r="V206" i="25" s="1"/>
  <c r="X206" i="25" s="1"/>
  <c r="U234" i="25"/>
  <c r="T224" i="25"/>
  <c r="T191" i="25"/>
  <c r="U220" i="25"/>
  <c r="Y220" i="25" s="1"/>
  <c r="T189" i="25"/>
  <c r="T192" i="25"/>
  <c r="U238" i="25"/>
  <c r="T167" i="25"/>
  <c r="T166" i="25"/>
  <c r="L185" i="25"/>
  <c r="M185" i="25" s="1"/>
  <c r="M163" i="25"/>
  <c r="L164" i="25" s="1"/>
  <c r="M164" i="25" s="1"/>
  <c r="N164" i="25" s="1"/>
  <c r="P164" i="25" s="1"/>
  <c r="Q164" i="25" s="1"/>
  <c r="U165" i="25"/>
  <c r="T157" i="25"/>
  <c r="L196" i="25"/>
  <c r="M196" i="25" s="1"/>
  <c r="N196" i="25" s="1"/>
  <c r="P196" i="25" s="1"/>
  <c r="Q196" i="25" s="1"/>
  <c r="T216" i="25"/>
  <c r="T226" i="25"/>
  <c r="T168" i="25"/>
  <c r="U155" i="25"/>
  <c r="T193" i="25"/>
  <c r="T165" i="25"/>
  <c r="V224" i="25"/>
  <c r="T201" i="25"/>
  <c r="L227" i="25"/>
  <c r="M227" i="25" s="1"/>
  <c r="N155" i="25"/>
  <c r="P155" i="25" s="1"/>
  <c r="Q155" i="25" s="1"/>
  <c r="L156" i="25"/>
  <c r="M156" i="25" s="1"/>
  <c r="L157" i="25" s="1"/>
  <c r="M157" i="25" s="1"/>
  <c r="T208" i="25"/>
  <c r="N184" i="25"/>
  <c r="L204" i="25"/>
  <c r="M204" i="25" s="1"/>
  <c r="N204" i="25" s="1"/>
  <c r="P204" i="25" s="1"/>
  <c r="Q204" i="25" s="1"/>
  <c r="N165" i="25"/>
  <c r="L166" i="25"/>
  <c r="M166" i="25" s="1"/>
  <c r="N166" i="25" s="1"/>
  <c r="P166" i="25" s="1"/>
  <c r="Q166" i="25" s="1"/>
  <c r="N195" i="25"/>
  <c r="L235" i="25"/>
  <c r="M235" i="25" s="1"/>
  <c r="V184" i="25"/>
  <c r="V234" i="25"/>
  <c r="N238" i="25"/>
  <c r="N234" i="25"/>
  <c r="V169" i="25"/>
  <c r="L170" i="25"/>
  <c r="U170" i="25" s="1"/>
  <c r="N220" i="25"/>
  <c r="N169" i="25"/>
  <c r="N203" i="25"/>
  <c r="T169" i="25"/>
  <c r="U225" i="25"/>
  <c r="E186" i="25"/>
  <c r="E187" i="25" s="1"/>
  <c r="E178" i="25"/>
  <c r="E179" i="25" s="1"/>
  <c r="B253" i="25" s="1"/>
  <c r="T180" i="25"/>
  <c r="T240" i="25"/>
  <c r="T236" i="25"/>
  <c r="T222" i="25"/>
  <c r="T233" i="25"/>
  <c r="T202" i="25"/>
  <c r="T194" i="25"/>
  <c r="T235" i="25"/>
  <c r="E162" i="25"/>
  <c r="B248" i="25" s="1"/>
  <c r="T234" i="25"/>
  <c r="T159" i="25"/>
  <c r="T161" i="25"/>
  <c r="T177" i="25"/>
  <c r="T223" i="25"/>
  <c r="T174" i="25"/>
  <c r="T173" i="25"/>
  <c r="T196" i="25"/>
  <c r="T181" i="25"/>
  <c r="E170" i="25"/>
  <c r="B252" i="25" s="1"/>
  <c r="T160" i="25"/>
  <c r="T238" i="25"/>
  <c r="T227" i="25"/>
  <c r="B250" i="25"/>
  <c r="E230" i="25"/>
  <c r="E231" i="25" s="1"/>
  <c r="E232" i="25" s="1"/>
  <c r="T232" i="25" s="1"/>
  <c r="V225" i="25"/>
  <c r="R225" i="25"/>
  <c r="V203" i="25"/>
  <c r="V195" i="25"/>
  <c r="V211" i="25"/>
  <c r="R211" i="25"/>
  <c r="V226" i="25"/>
  <c r="R226" i="25"/>
  <c r="T229" i="25"/>
  <c r="V165" i="25"/>
  <c r="V238" i="25"/>
  <c r="AA173" i="26"/>
  <c r="AC173" i="26" s="1"/>
  <c r="Z506" i="26"/>
  <c r="Z443" i="26"/>
  <c r="Z770" i="26"/>
  <c r="EV31" i="27" s="1"/>
  <c r="EV31" i="29" s="1"/>
  <c r="Z24" i="26"/>
  <c r="EJ32" i="27" s="1"/>
  <c r="EJ32" i="29" s="1"/>
  <c r="Z69" i="27"/>
  <c r="Z349" i="26"/>
  <c r="Z350" i="26" s="1"/>
  <c r="Z351" i="26" s="1"/>
  <c r="Z365" i="26"/>
  <c r="Z53" i="27" s="1"/>
  <c r="Z53" i="29" s="1"/>
  <c r="N29" i="30"/>
  <c r="N31" i="30"/>
  <c r="N33" i="30"/>
  <c r="N35" i="30"/>
  <c r="N37" i="30"/>
  <c r="AT37" i="30" s="1"/>
  <c r="AU37" i="30" s="1"/>
  <c r="AV37" i="30" s="1"/>
  <c r="AY37" i="30" s="1"/>
  <c r="AZ37" i="30" s="1"/>
  <c r="BD37" i="30" s="1"/>
  <c r="N39" i="30"/>
  <c r="N41" i="30"/>
  <c r="N45" i="30"/>
  <c r="AT45" i="30" s="1"/>
  <c r="AU45" i="30" s="1"/>
  <c r="AV45" i="30" s="1"/>
  <c r="AY45" i="30" s="1"/>
  <c r="AZ45" i="30" s="1"/>
  <c r="BD45" i="30" s="1"/>
  <c r="H55" i="30"/>
  <c r="H56" i="30"/>
  <c r="G56" i="30"/>
  <c r="G55" i="30"/>
  <c r="K88" i="30"/>
  <c r="L88" i="30" s="1"/>
  <c r="O88" i="30" s="1"/>
  <c r="K89" i="30"/>
  <c r="N89" i="30" s="1"/>
  <c r="K92" i="30"/>
  <c r="N92" i="30" s="1"/>
  <c r="K90" i="30"/>
  <c r="L90" i="30" s="1"/>
  <c r="O91" i="30"/>
  <c r="N91" i="30"/>
  <c r="P91" i="30" s="1"/>
  <c r="V23" i="30"/>
  <c r="Y23" i="30" s="1"/>
  <c r="Z23" i="30" s="1"/>
  <c r="AB23" i="30" s="1"/>
  <c r="G54" i="30"/>
  <c r="N44" i="30"/>
  <c r="AT44" i="30" s="1"/>
  <c r="AU44" i="30" s="1"/>
  <c r="AV44" i="30" s="1"/>
  <c r="AY44" i="30" s="1"/>
  <c r="AZ44" i="30" s="1"/>
  <c r="BD44" i="30" s="1"/>
  <c r="K58" i="30"/>
  <c r="N23" i="30"/>
  <c r="N25" i="30"/>
  <c r="K60" i="30"/>
  <c r="N34" i="30"/>
  <c r="AT34" i="30" s="1"/>
  <c r="AU34" i="30" s="1"/>
  <c r="AV34" i="30" s="1"/>
  <c r="AY34" i="30" s="1"/>
  <c r="AZ34" i="30" s="1"/>
  <c r="BD34" i="30" s="1"/>
  <c r="N43" i="30"/>
  <c r="N28" i="30"/>
  <c r="AT28" i="30" s="1"/>
  <c r="AU28" i="30" s="1"/>
  <c r="AV28" i="30" s="1"/>
  <c r="AY28" i="30" s="1"/>
  <c r="AZ28" i="30" s="1"/>
  <c r="BD28" i="30" s="1"/>
  <c r="N27" i="30"/>
  <c r="E28" i="30"/>
  <c r="AP28" i="30" s="1"/>
  <c r="H54" i="30"/>
  <c r="J49" i="30"/>
  <c r="E33" i="30"/>
  <c r="AP33" i="30" s="1"/>
  <c r="E40" i="30"/>
  <c r="L49" i="30"/>
  <c r="E24" i="30"/>
  <c r="E21" i="30"/>
  <c r="E37" i="30"/>
  <c r="E31" i="30"/>
  <c r="E25" i="30"/>
  <c r="AP25" i="30" s="1"/>
  <c r="E41" i="30"/>
  <c r="AP41" i="30" s="1"/>
  <c r="N21" i="30"/>
  <c r="AT21" i="30" s="1"/>
  <c r="E35" i="30"/>
  <c r="E45" i="30"/>
  <c r="AP45" i="30" s="1"/>
  <c r="K49" i="30"/>
  <c r="K50" i="30" s="1"/>
  <c r="Z184" i="26"/>
  <c r="Z444" i="26" s="1"/>
  <c r="Z174" i="26"/>
  <c r="DC67" i="27" s="1"/>
  <c r="DC67" i="29" s="1"/>
  <c r="AA365" i="26"/>
  <c r="AC365" i="26" s="1"/>
  <c r="DY10" i="27"/>
  <c r="DY10" i="29" s="1"/>
  <c r="EC10" i="27"/>
  <c r="EC10" i="29" s="1"/>
  <c r="EB10" i="27"/>
  <c r="EB10" i="29" s="1"/>
  <c r="Z4" i="26"/>
  <c r="Z249" i="26"/>
  <c r="AA249" i="26" s="1"/>
  <c r="AC249" i="26" s="1"/>
  <c r="Z251" i="26"/>
  <c r="J76" i="27" s="1"/>
  <c r="J76" i="29" s="1"/>
  <c r="Z213" i="26"/>
  <c r="AA213" i="26" s="1"/>
  <c r="AC213" i="26" s="1"/>
  <c r="AA212" i="26"/>
  <c r="AC212" i="26" s="1"/>
  <c r="Z211" i="26"/>
  <c r="AA211" i="26" s="1"/>
  <c r="AC211" i="26" s="1"/>
  <c r="AA108" i="26"/>
  <c r="AC108" i="26" s="1"/>
  <c r="Z109" i="26"/>
  <c r="BU35" i="27" s="1"/>
  <c r="BU35" i="29" s="1"/>
  <c r="AA616" i="26"/>
  <c r="AC616" i="26" s="1"/>
  <c r="Z91" i="26"/>
  <c r="D53" i="27"/>
  <c r="D53" i="29" s="1"/>
  <c r="CS33" i="27"/>
  <c r="CS33" i="29" s="1"/>
  <c r="CX33" i="27"/>
  <c r="CX33" i="29" s="1"/>
  <c r="CW33" i="27"/>
  <c r="CW33" i="29" s="1"/>
  <c r="CV33" i="27"/>
  <c r="CV33" i="29" s="1"/>
  <c r="CU33" i="27"/>
  <c r="CU33" i="29" s="1"/>
  <c r="CT33" i="27"/>
  <c r="CT33" i="29" s="1"/>
  <c r="CR33" i="27"/>
  <c r="CR33" i="29" s="1"/>
  <c r="DH33" i="27"/>
  <c r="DH33" i="29" s="1"/>
  <c r="CQ33" i="27"/>
  <c r="CQ33" i="29" s="1"/>
  <c r="DE33" i="27"/>
  <c r="DE33" i="29" s="1"/>
  <c r="CZ33" i="27"/>
  <c r="CZ33" i="29" s="1"/>
  <c r="DG33" i="27"/>
  <c r="DG33" i="29" s="1"/>
  <c r="CY33" i="27"/>
  <c r="CY33" i="29" s="1"/>
  <c r="DB33" i="27"/>
  <c r="DB33" i="29" s="1"/>
  <c r="Z73" i="26"/>
  <c r="Z75" i="26"/>
  <c r="DA33" i="27"/>
  <c r="DA33" i="29" s="1"/>
  <c r="DF33" i="27"/>
  <c r="DF33" i="29" s="1"/>
  <c r="DD33" i="27"/>
  <c r="DD33" i="29" s="1"/>
  <c r="DC33" i="27"/>
  <c r="DC33" i="29" s="1"/>
  <c r="AA74" i="26"/>
  <c r="AC74" i="26" s="1"/>
  <c r="DV44" i="27"/>
  <c r="DV44" i="29" s="1"/>
  <c r="EJ44" i="27"/>
  <c r="EJ44" i="29" s="1"/>
  <c r="EG44" i="27"/>
  <c r="EG44" i="29" s="1"/>
  <c r="EE44" i="27"/>
  <c r="EE44" i="29" s="1"/>
  <c r="ED44" i="27"/>
  <c r="ED44" i="29" s="1"/>
  <c r="EA44" i="27"/>
  <c r="EA44" i="29" s="1"/>
  <c r="DZ44" i="27"/>
  <c r="DZ44" i="29" s="1"/>
  <c r="DY44" i="27"/>
  <c r="DY44" i="29" s="1"/>
  <c r="EK44" i="27"/>
  <c r="EK44" i="29" s="1"/>
  <c r="EI44" i="27"/>
  <c r="EI44" i="29" s="1"/>
  <c r="EH44" i="27"/>
  <c r="EH44" i="29" s="1"/>
  <c r="EB44" i="27"/>
  <c r="EB44" i="29" s="1"/>
  <c r="EC44" i="27"/>
  <c r="EC44" i="29" s="1"/>
  <c r="DX44" i="27"/>
  <c r="DX44" i="29" s="1"/>
  <c r="DW44" i="27"/>
  <c r="DW44" i="29" s="1"/>
  <c r="AA34" i="26"/>
  <c r="AC34" i="26" s="1"/>
  <c r="Z35" i="26"/>
  <c r="AI68" i="27"/>
  <c r="AI68" i="29" s="1"/>
  <c r="AG68" i="27"/>
  <c r="AG68" i="29" s="1"/>
  <c r="AF68" i="27"/>
  <c r="AF68" i="29" s="1"/>
  <c r="AU68" i="27"/>
  <c r="AU68" i="29" s="1"/>
  <c r="AO68" i="27"/>
  <c r="AO68" i="29" s="1"/>
  <c r="AK68" i="27"/>
  <c r="AK68" i="29" s="1"/>
  <c r="AP68" i="27"/>
  <c r="AP68" i="29" s="1"/>
  <c r="DQ54" i="27"/>
  <c r="DQ54" i="29" s="1"/>
  <c r="DA54" i="27"/>
  <c r="DA54" i="29" s="1"/>
  <c r="DN54" i="27"/>
  <c r="DN54" i="29" s="1"/>
  <c r="DM54" i="27"/>
  <c r="DM54" i="29" s="1"/>
  <c r="DL54" i="27"/>
  <c r="DL54" i="29" s="1"/>
  <c r="DG54" i="27"/>
  <c r="DG54" i="29" s="1"/>
  <c r="DE54" i="27"/>
  <c r="DE54" i="29" s="1"/>
  <c r="DF54" i="27"/>
  <c r="DF54" i="29" s="1"/>
  <c r="DC54" i="27"/>
  <c r="DC54" i="29" s="1"/>
  <c r="DB54" i="27"/>
  <c r="DB54" i="29" s="1"/>
  <c r="CZ54" i="27"/>
  <c r="CZ54" i="29" s="1"/>
  <c r="CY54" i="27"/>
  <c r="CY54" i="29" s="1"/>
  <c r="DS54" i="27"/>
  <c r="DS54" i="29" s="1"/>
  <c r="DR54" i="27"/>
  <c r="DR54" i="29" s="1"/>
  <c r="DK54" i="27"/>
  <c r="DK54" i="29" s="1"/>
  <c r="DP54" i="27"/>
  <c r="DP54" i="29" s="1"/>
  <c r="DO54" i="27"/>
  <c r="DO54" i="29" s="1"/>
  <c r="DJ54" i="27"/>
  <c r="DJ54" i="29" s="1"/>
  <c r="DI54" i="27"/>
  <c r="DI54" i="29" s="1"/>
  <c r="DH54" i="27"/>
  <c r="DH54" i="29" s="1"/>
  <c r="DD54" i="27"/>
  <c r="DD54" i="29" s="1"/>
  <c r="Z125" i="26"/>
  <c r="Z127" i="26"/>
  <c r="CJ54" i="27"/>
  <c r="CJ54" i="29" s="1"/>
  <c r="CV54" i="27"/>
  <c r="CV54" i="29" s="1"/>
  <c r="CE54" i="27"/>
  <c r="CE54" i="29" s="1"/>
  <c r="CU54" i="27"/>
  <c r="CU54" i="29" s="1"/>
  <c r="CD54" i="27"/>
  <c r="CD54" i="29" s="1"/>
  <c r="CT54" i="27"/>
  <c r="CT54" i="29" s="1"/>
  <c r="CC54" i="27"/>
  <c r="CC54" i="29" s="1"/>
  <c r="CO54" i="27"/>
  <c r="CO54" i="29" s="1"/>
  <c r="CM54" i="27"/>
  <c r="CM54" i="29" s="1"/>
  <c r="CG54" i="27"/>
  <c r="CG54" i="29" s="1"/>
  <c r="CW54" i="27"/>
  <c r="CW54" i="29" s="1"/>
  <c r="CS54" i="27"/>
  <c r="CS54" i="29" s="1"/>
  <c r="CR54" i="27"/>
  <c r="CR54" i="29" s="1"/>
  <c r="CQ54" i="27"/>
  <c r="CQ54" i="29" s="1"/>
  <c r="CL54" i="27"/>
  <c r="CL54" i="29" s="1"/>
  <c r="CK54" i="27"/>
  <c r="CK54" i="29" s="1"/>
  <c r="CI54" i="27"/>
  <c r="CI54" i="29" s="1"/>
  <c r="CH54" i="27"/>
  <c r="CH54" i="29" s="1"/>
  <c r="CF54" i="27"/>
  <c r="CF54" i="29" s="1"/>
  <c r="CP54" i="27"/>
  <c r="CP54" i="29" s="1"/>
  <c r="CN54" i="27"/>
  <c r="CN54" i="29" s="1"/>
  <c r="Z146" i="26"/>
  <c r="Z148" i="26"/>
  <c r="EX31" i="27"/>
  <c r="EX31" i="29" s="1"/>
  <c r="EW31" i="27"/>
  <c r="EW31" i="29" s="1"/>
  <c r="AA770" i="26"/>
  <c r="AC770" i="26" s="1"/>
  <c r="ES32" i="27"/>
  <c r="ES32" i="29" s="1"/>
  <c r="EC32" i="27"/>
  <c r="EC32" i="29" s="1"/>
  <c r="EU32" i="27"/>
  <c r="EU32" i="29" s="1"/>
  <c r="ED32" i="27"/>
  <c r="ED32" i="29" s="1"/>
  <c r="ET32" i="27"/>
  <c r="ET32" i="29" s="1"/>
  <c r="ER32" i="27"/>
  <c r="ER32" i="29" s="1"/>
  <c r="EQ32" i="27"/>
  <c r="EQ32" i="29" s="1"/>
  <c r="EO32" i="27"/>
  <c r="EO32" i="29" s="1"/>
  <c r="EN32" i="27"/>
  <c r="EN32" i="29" s="1"/>
  <c r="EK32" i="27"/>
  <c r="EK32" i="29" s="1"/>
  <c r="EF32" i="27"/>
  <c r="EF32" i="29" s="1"/>
  <c r="EM32" i="27"/>
  <c r="EM32" i="29" s="1"/>
  <c r="EL32" i="27"/>
  <c r="EL32" i="29" s="1"/>
  <c r="Z771" i="26"/>
  <c r="EI32" i="27"/>
  <c r="EI32" i="29" s="1"/>
  <c r="EH32" i="27"/>
  <c r="EH32" i="29" s="1"/>
  <c r="EG32" i="27"/>
  <c r="EG32" i="29" s="1"/>
  <c r="EE32" i="27"/>
  <c r="EE32" i="29" s="1"/>
  <c r="Z25" i="26"/>
  <c r="AA126" i="26"/>
  <c r="AC126" i="26" s="1"/>
  <c r="AA147" i="26"/>
  <c r="AC147" i="26" s="1"/>
  <c r="EF44" i="27"/>
  <c r="EF44" i="29" s="1"/>
  <c r="CC32" i="27"/>
  <c r="CC32" i="29" s="1"/>
  <c r="BZ32" i="27"/>
  <c r="BZ32" i="29" s="1"/>
  <c r="BX32" i="27"/>
  <c r="BX32" i="29" s="1"/>
  <c r="CN32" i="27"/>
  <c r="CN32" i="29" s="1"/>
  <c r="BW32" i="27"/>
  <c r="BW32" i="29" s="1"/>
  <c r="CM32" i="27"/>
  <c r="CM32" i="29" s="1"/>
  <c r="CH32" i="27"/>
  <c r="CH32" i="29" s="1"/>
  <c r="CB32" i="27"/>
  <c r="CB32" i="29" s="1"/>
  <c r="CJ32" i="27"/>
  <c r="CJ32" i="29" s="1"/>
  <c r="CI32" i="27"/>
  <c r="CI32" i="29" s="1"/>
  <c r="CG32" i="27"/>
  <c r="CG32" i="29" s="1"/>
  <c r="CD32" i="27"/>
  <c r="CD32" i="29" s="1"/>
  <c r="CA32" i="27"/>
  <c r="CA32" i="29" s="1"/>
  <c r="Z90" i="26"/>
  <c r="Z614" i="26" s="1"/>
  <c r="DW11" i="27"/>
  <c r="DW11" i="29" s="1"/>
  <c r="EH11" i="27"/>
  <c r="EH11" i="29" s="1"/>
  <c r="EG11" i="27"/>
  <c r="EG11" i="29" s="1"/>
  <c r="DY11" i="27"/>
  <c r="DY11" i="29" s="1"/>
  <c r="AB53" i="27"/>
  <c r="AB53" i="29" s="1"/>
  <c r="AA53" i="27"/>
  <c r="AA53" i="29" s="1"/>
  <c r="Z364" i="26"/>
  <c r="Z366" i="26"/>
  <c r="CI68" i="27"/>
  <c r="CI68" i="29" s="1"/>
  <c r="CH68" i="27"/>
  <c r="CH68" i="29" s="1"/>
  <c r="CG68" i="27"/>
  <c r="CG68" i="29" s="1"/>
  <c r="CF68" i="27"/>
  <c r="CF68" i="29" s="1"/>
  <c r="CE68" i="27"/>
  <c r="CE68" i="29" s="1"/>
  <c r="CD68" i="27"/>
  <c r="CD68" i="29" s="1"/>
  <c r="CK68" i="27"/>
  <c r="CK68" i="29" s="1"/>
  <c r="BU68" i="27"/>
  <c r="BU68" i="29" s="1"/>
  <c r="BX68" i="27"/>
  <c r="BX68" i="29" s="1"/>
  <c r="BW68" i="27"/>
  <c r="BW68" i="29" s="1"/>
  <c r="BV68" i="27"/>
  <c r="BV68" i="29" s="1"/>
  <c r="BT68" i="27"/>
  <c r="BT68" i="29" s="1"/>
  <c r="CN68" i="27"/>
  <c r="CN68" i="29" s="1"/>
  <c r="CM68" i="27"/>
  <c r="CM68" i="29" s="1"/>
  <c r="CJ68" i="27"/>
  <c r="CJ68" i="29" s="1"/>
  <c r="CB68" i="27"/>
  <c r="CB68" i="29" s="1"/>
  <c r="CA68" i="27"/>
  <c r="CA68" i="29" s="1"/>
  <c r="BZ68" i="27"/>
  <c r="BZ68" i="29" s="1"/>
  <c r="BY68" i="27"/>
  <c r="BY68" i="29" s="1"/>
  <c r="Z185" i="26"/>
  <c r="Z445" i="26" s="1"/>
  <c r="AA184" i="26"/>
  <c r="AC184" i="26" s="1"/>
  <c r="DY31" i="27"/>
  <c r="DY31" i="29" s="1"/>
  <c r="DX31" i="27"/>
  <c r="DX31" i="29" s="1"/>
  <c r="DW31" i="27"/>
  <c r="DW31" i="29" s="1"/>
  <c r="DV31" i="27"/>
  <c r="DV31" i="29" s="1"/>
  <c r="DU31" i="27"/>
  <c r="DU31" i="29" s="1"/>
  <c r="DT31" i="27"/>
  <c r="DT31" i="29" s="1"/>
  <c r="DS31" i="27"/>
  <c r="DS31" i="29" s="1"/>
  <c r="DP31" i="27"/>
  <c r="DP31" i="29" s="1"/>
  <c r="EA31" i="27"/>
  <c r="EA31" i="29" s="1"/>
  <c r="DK31" i="27"/>
  <c r="DK31" i="29" s="1"/>
  <c r="DZ31" i="27"/>
  <c r="DZ31" i="29" s="1"/>
  <c r="DR31" i="27"/>
  <c r="DR31" i="29" s="1"/>
  <c r="DQ31" i="27"/>
  <c r="DQ31" i="29" s="1"/>
  <c r="DO31" i="27"/>
  <c r="DO31" i="29" s="1"/>
  <c r="DN31" i="27"/>
  <c r="DN31" i="29" s="1"/>
  <c r="DJ31" i="27"/>
  <c r="DJ31" i="29" s="1"/>
  <c r="DM31" i="27"/>
  <c r="DM31" i="29" s="1"/>
  <c r="Z57" i="26"/>
  <c r="Z55" i="26"/>
  <c r="DL31" i="27"/>
  <c r="DL31" i="29" s="1"/>
  <c r="E53" i="27"/>
  <c r="E53" i="29" s="1"/>
  <c r="Z287" i="26"/>
  <c r="Z285" i="26"/>
  <c r="DK67" i="27"/>
  <c r="DK67" i="29" s="1"/>
  <c r="CU67" i="27"/>
  <c r="CU67" i="29" s="1"/>
  <c r="DJ67" i="27"/>
  <c r="DJ67" i="29" s="1"/>
  <c r="CT67" i="27"/>
  <c r="CT67" i="29" s="1"/>
  <c r="DI67" i="27"/>
  <c r="DI67" i="29" s="1"/>
  <c r="CS67" i="27"/>
  <c r="CS67" i="29" s="1"/>
  <c r="DH67" i="27"/>
  <c r="DH67" i="29" s="1"/>
  <c r="CR67" i="27"/>
  <c r="CR67" i="29" s="1"/>
  <c r="DG67" i="27"/>
  <c r="DG67" i="29" s="1"/>
  <c r="CQ67" i="27"/>
  <c r="CQ67" i="29" s="1"/>
  <c r="DF67" i="27"/>
  <c r="DF67" i="29" s="1"/>
  <c r="DE67" i="27"/>
  <c r="DE67" i="29" s="1"/>
  <c r="CW67" i="27"/>
  <c r="CW67" i="29" s="1"/>
  <c r="DD67" i="27"/>
  <c r="DD67" i="29" s="1"/>
  <c r="DB67" i="27"/>
  <c r="DB67" i="29" s="1"/>
  <c r="DA67" i="27"/>
  <c r="DA67" i="29" s="1"/>
  <c r="CZ67" i="27"/>
  <c r="CZ67" i="29" s="1"/>
  <c r="CY67" i="27"/>
  <c r="CY67" i="29" s="1"/>
  <c r="CX67" i="27"/>
  <c r="CX67" i="29" s="1"/>
  <c r="CV67" i="27"/>
  <c r="CV67" i="29" s="1"/>
  <c r="AA174" i="26"/>
  <c r="AC174" i="26" s="1"/>
  <c r="Z175" i="26"/>
  <c r="Z486" i="26" s="1"/>
  <c r="AA286" i="26"/>
  <c r="AC286" i="26" s="1"/>
  <c r="EU31" i="27"/>
  <c r="EU31" i="29" s="1"/>
  <c r="EP31" i="27"/>
  <c r="EP31" i="29" s="1"/>
  <c r="EO31" i="27"/>
  <c r="EO31" i="29" s="1"/>
  <c r="EN31" i="27"/>
  <c r="EN31" i="29" s="1"/>
  <c r="EM31" i="27"/>
  <c r="EM31" i="29" s="1"/>
  <c r="EL31" i="27"/>
  <c r="EL31" i="29" s="1"/>
  <c r="EK31" i="27"/>
  <c r="EK31" i="29" s="1"/>
  <c r="EJ31" i="27"/>
  <c r="EJ31" i="29" s="1"/>
  <c r="EG31" i="27"/>
  <c r="EG31" i="29" s="1"/>
  <c r="ER31" i="27"/>
  <c r="ER31" i="29" s="1"/>
  <c r="EF31" i="27"/>
  <c r="EF31" i="29" s="1"/>
  <c r="EE31" i="27"/>
  <c r="EE31" i="29" s="1"/>
  <c r="ED31" i="27"/>
  <c r="ED31" i="29" s="1"/>
  <c r="EC31" i="27"/>
  <c r="EC31" i="29" s="1"/>
  <c r="ET31" i="27"/>
  <c r="ET31" i="29" s="1"/>
  <c r="AA23" i="26"/>
  <c r="AC23" i="26" s="1"/>
  <c r="Z22" i="26"/>
  <c r="ES31" i="27"/>
  <c r="ES31" i="29" s="1"/>
  <c r="EQ31" i="27"/>
  <c r="EQ31" i="29" s="1"/>
  <c r="EI31" i="27"/>
  <c r="EI31" i="29" s="1"/>
  <c r="EH31" i="27"/>
  <c r="EH31" i="29" s="1"/>
  <c r="BO51" i="27"/>
  <c r="BO51" i="29" s="1"/>
  <c r="BN51" i="27"/>
  <c r="BN51" i="29" s="1"/>
  <c r="BM51" i="27"/>
  <c r="BM51" i="29" s="1"/>
  <c r="BX51" i="27"/>
  <c r="BX51" i="29" s="1"/>
  <c r="BH51" i="27"/>
  <c r="BH51" i="29" s="1"/>
  <c r="BV51" i="27"/>
  <c r="BV51" i="29" s="1"/>
  <c r="BF51" i="27"/>
  <c r="BF51" i="29" s="1"/>
  <c r="BJ51" i="27"/>
  <c r="BJ51" i="29" s="1"/>
  <c r="BG51" i="27"/>
  <c r="BG51" i="29" s="1"/>
  <c r="BZ51" i="27"/>
  <c r="BZ51" i="29" s="1"/>
  <c r="BY51" i="27"/>
  <c r="BY51" i="29" s="1"/>
  <c r="BW51" i="27"/>
  <c r="BW51" i="29" s="1"/>
  <c r="BU51" i="27"/>
  <c r="BU51" i="29" s="1"/>
  <c r="BT51" i="27"/>
  <c r="BT51" i="29" s="1"/>
  <c r="BS51" i="27"/>
  <c r="BS51" i="29" s="1"/>
  <c r="BR51" i="27"/>
  <c r="BR51" i="29" s="1"/>
  <c r="BQ51" i="27"/>
  <c r="BQ51" i="29" s="1"/>
  <c r="BP51" i="27"/>
  <c r="BP51" i="29" s="1"/>
  <c r="BL51" i="27"/>
  <c r="BL51" i="29" s="1"/>
  <c r="BK51" i="27"/>
  <c r="BK51" i="29" s="1"/>
  <c r="Z164" i="26"/>
  <c r="Z558" i="26"/>
  <c r="AA165" i="26"/>
  <c r="AC165" i="26" s="1"/>
  <c r="EA10" i="27"/>
  <c r="EA10" i="29" s="1"/>
  <c r="EH10" i="27"/>
  <c r="EH10" i="29" s="1"/>
  <c r="EG10" i="27"/>
  <c r="EG10" i="29" s="1"/>
  <c r="EF10" i="27"/>
  <c r="EF10" i="29" s="1"/>
  <c r="EE10" i="27"/>
  <c r="EE10" i="29" s="1"/>
  <c r="ED10" i="27"/>
  <c r="ED10" i="29" s="1"/>
  <c r="DX10" i="27"/>
  <c r="DX10" i="29" s="1"/>
  <c r="DW10" i="27"/>
  <c r="DW10" i="29" s="1"/>
  <c r="DZ10" i="27"/>
  <c r="DZ10" i="29" s="1"/>
  <c r="BP73" i="27"/>
  <c r="BP73" i="29" s="1"/>
  <c r="AZ73" i="27"/>
  <c r="AZ73" i="29" s="1"/>
  <c r="BO73" i="27"/>
  <c r="BO73" i="29" s="1"/>
  <c r="AY73" i="27"/>
  <c r="AY73" i="29" s="1"/>
  <c r="BN73" i="27"/>
  <c r="BN73" i="29" s="1"/>
  <c r="AX73" i="27"/>
  <c r="AX73" i="29" s="1"/>
  <c r="BL73" i="27"/>
  <c r="BL73" i="29" s="1"/>
  <c r="BK73" i="27"/>
  <c r="BK73" i="29" s="1"/>
  <c r="BG73" i="27"/>
  <c r="BG73" i="29" s="1"/>
  <c r="BC73" i="27"/>
  <c r="BC73" i="29" s="1"/>
  <c r="BB73" i="27"/>
  <c r="BB73" i="29" s="1"/>
  <c r="BA73" i="27"/>
  <c r="BA73" i="29" s="1"/>
  <c r="BR73" i="27"/>
  <c r="BR73" i="29" s="1"/>
  <c r="BE73" i="27"/>
  <c r="BE73" i="29" s="1"/>
  <c r="BQ73" i="27"/>
  <c r="BQ73" i="29" s="1"/>
  <c r="BM73" i="27"/>
  <c r="BM73" i="29" s="1"/>
  <c r="BJ73" i="27"/>
  <c r="BJ73" i="29" s="1"/>
  <c r="BI73" i="27"/>
  <c r="BI73" i="29" s="1"/>
  <c r="BH73" i="27"/>
  <c r="BH73" i="29" s="1"/>
  <c r="BF73" i="27"/>
  <c r="BF73" i="29" s="1"/>
  <c r="BD73" i="27"/>
  <c r="BD73" i="29" s="1"/>
  <c r="Z199" i="26"/>
  <c r="Z197" i="26"/>
  <c r="AA198" i="26"/>
  <c r="AC198" i="26" s="1"/>
  <c r="AA3" i="26"/>
  <c r="AC3" i="26" s="1"/>
  <c r="G75" i="27"/>
  <c r="G75" i="29" s="1"/>
  <c r="Z70" i="27"/>
  <c r="Z93" i="26"/>
  <c r="Z617" i="26" s="1"/>
  <c r="S76" i="27"/>
  <c r="S76" i="29" s="1"/>
  <c r="R76" i="27"/>
  <c r="R76" i="29" s="1"/>
  <c r="Q76" i="27"/>
  <c r="Q76" i="29" s="1"/>
  <c r="O76" i="27"/>
  <c r="O76" i="29" s="1"/>
  <c r="N76" i="27"/>
  <c r="N76" i="29" s="1"/>
  <c r="M76" i="27"/>
  <c r="M76" i="29" s="1"/>
  <c r="L76" i="27"/>
  <c r="L76" i="29" s="1"/>
  <c r="K76" i="27"/>
  <c r="K76" i="29" s="1"/>
  <c r="I76" i="27"/>
  <c r="I76" i="29" s="1"/>
  <c r="H76" i="27"/>
  <c r="H76" i="29" s="1"/>
  <c r="Y76" i="27"/>
  <c r="Y76" i="29" s="1"/>
  <c r="T76" i="27"/>
  <c r="T76" i="29" s="1"/>
  <c r="X76" i="27"/>
  <c r="X76" i="29" s="1"/>
  <c r="W76" i="27"/>
  <c r="W76" i="29" s="1"/>
  <c r="V76" i="27"/>
  <c r="V76" i="29" s="1"/>
  <c r="U76" i="27"/>
  <c r="U76" i="29" s="1"/>
  <c r="P76" i="27"/>
  <c r="P76" i="29" s="1"/>
  <c r="Z252" i="26"/>
  <c r="V53" i="27"/>
  <c r="V53" i="29" s="1"/>
  <c r="F53" i="27"/>
  <c r="F53" i="29" s="1"/>
  <c r="Y53" i="27"/>
  <c r="Y53" i="29" s="1"/>
  <c r="H53" i="27"/>
  <c r="H53" i="29" s="1"/>
  <c r="X53" i="27"/>
  <c r="X53" i="29" s="1"/>
  <c r="G53" i="27"/>
  <c r="G53" i="29" s="1"/>
  <c r="W53" i="27"/>
  <c r="W53" i="29" s="1"/>
  <c r="Q53" i="27"/>
  <c r="Q53" i="29" s="1"/>
  <c r="O53" i="27"/>
  <c r="O53" i="29" s="1"/>
  <c r="M53" i="27"/>
  <c r="M53" i="29" s="1"/>
  <c r="K53" i="27"/>
  <c r="K53" i="29" s="1"/>
  <c r="J53" i="27"/>
  <c r="J53" i="29" s="1"/>
  <c r="I53" i="27"/>
  <c r="I53" i="29" s="1"/>
  <c r="T53" i="27"/>
  <c r="T53" i="29" s="1"/>
  <c r="L53" i="27"/>
  <c r="L53" i="29" s="1"/>
  <c r="Z231" i="26"/>
  <c r="U53" i="27"/>
  <c r="U53" i="29" s="1"/>
  <c r="S53" i="27"/>
  <c r="S53" i="29" s="1"/>
  <c r="R53" i="27"/>
  <c r="R53" i="29" s="1"/>
  <c r="P53" i="27"/>
  <c r="P53" i="29" s="1"/>
  <c r="N53" i="27"/>
  <c r="N53" i="29" s="1"/>
  <c r="Z229" i="26"/>
  <c r="AA230" i="26"/>
  <c r="AC230" i="26" s="1"/>
  <c r="BI34" i="27"/>
  <c r="BI34" i="29" s="1"/>
  <c r="BR34" i="27"/>
  <c r="BR34" i="29" s="1"/>
  <c r="BQ34" i="27"/>
  <c r="BQ34" i="29" s="1"/>
  <c r="BP34" i="27"/>
  <c r="BP34" i="29" s="1"/>
  <c r="BO34" i="27"/>
  <c r="BO34" i="29" s="1"/>
  <c r="BN34" i="27"/>
  <c r="BN34" i="29" s="1"/>
  <c r="BM34" i="27"/>
  <c r="BM34" i="29" s="1"/>
  <c r="BL34" i="27"/>
  <c r="BL34" i="29" s="1"/>
  <c r="BH34" i="27"/>
  <c r="BH34" i="29" s="1"/>
  <c r="BT34" i="27"/>
  <c r="BT34" i="29" s="1"/>
  <c r="BC34" i="27"/>
  <c r="BC34" i="29" s="1"/>
  <c r="BU34" i="27"/>
  <c r="BU34" i="29" s="1"/>
  <c r="BS34" i="27"/>
  <c r="BS34" i="29" s="1"/>
  <c r="BK34" i="27"/>
  <c r="BK34" i="29" s="1"/>
  <c r="BJ34" i="27"/>
  <c r="BJ34" i="29" s="1"/>
  <c r="BG34" i="27"/>
  <c r="BG34" i="29" s="1"/>
  <c r="BF34" i="27"/>
  <c r="BF34" i="29" s="1"/>
  <c r="BE34" i="27"/>
  <c r="BE34" i="29" s="1"/>
  <c r="BD34" i="27"/>
  <c r="BD34" i="29" s="1"/>
  <c r="Z107" i="26"/>
  <c r="BB34" i="27"/>
  <c r="BB34" i="29" s="1"/>
  <c r="DF66" i="27"/>
  <c r="DF66" i="29" s="1"/>
  <c r="DE66" i="27"/>
  <c r="DE66" i="29" s="1"/>
  <c r="DD66" i="27"/>
  <c r="DD66" i="29" s="1"/>
  <c r="DB66" i="27"/>
  <c r="DB66" i="29" s="1"/>
  <c r="CZ66" i="27"/>
  <c r="CZ66" i="29" s="1"/>
  <c r="DK66" i="27"/>
  <c r="DK66" i="29" s="1"/>
  <c r="DJ66" i="27"/>
  <c r="DJ66" i="29" s="1"/>
  <c r="DI66" i="27"/>
  <c r="DI66" i="29" s="1"/>
  <c r="DH66" i="27"/>
  <c r="DH66" i="29" s="1"/>
  <c r="DG66" i="27"/>
  <c r="DG66" i="29" s="1"/>
  <c r="DC66" i="27"/>
  <c r="DC66" i="29" s="1"/>
  <c r="DA66" i="27"/>
  <c r="DA66" i="29" s="1"/>
  <c r="CY66" i="27"/>
  <c r="CY66" i="29" s="1"/>
  <c r="CX66" i="27"/>
  <c r="CX66" i="29" s="1"/>
  <c r="CW66" i="27"/>
  <c r="CW66" i="29" s="1"/>
  <c r="CV66" i="27"/>
  <c r="CV66" i="29" s="1"/>
  <c r="CQ66" i="27"/>
  <c r="CQ66" i="29" s="1"/>
  <c r="CU66" i="27"/>
  <c r="CU66" i="29" s="1"/>
  <c r="CT66" i="27"/>
  <c r="CT66" i="29" s="1"/>
  <c r="CS66" i="27"/>
  <c r="CS66" i="29" s="1"/>
  <c r="CR66" i="27"/>
  <c r="CR66" i="29" s="1"/>
  <c r="BI51" i="27"/>
  <c r="BI51" i="29" s="1"/>
  <c r="Z166" i="26"/>
  <c r="D1391" i="26"/>
  <c r="E1391" i="26" s="1"/>
  <c r="AA348" i="26"/>
  <c r="AC348" i="26" s="1"/>
  <c r="L74" i="27"/>
  <c r="L74" i="29" s="1"/>
  <c r="CA33" i="27"/>
  <c r="CA33" i="29" s="1"/>
  <c r="CE33" i="27"/>
  <c r="CE33" i="29" s="1"/>
  <c r="CD33" i="27"/>
  <c r="CD33" i="29" s="1"/>
  <c r="CC33" i="27"/>
  <c r="CC33" i="29" s="1"/>
  <c r="CB33" i="27"/>
  <c r="CB33" i="29" s="1"/>
  <c r="BZ33" i="27"/>
  <c r="BZ33" i="29" s="1"/>
  <c r="BY33" i="27"/>
  <c r="BY33" i="29" s="1"/>
  <c r="BX33" i="27"/>
  <c r="BX33" i="29" s="1"/>
  <c r="CL33" i="27"/>
  <c r="CL33" i="29" s="1"/>
  <c r="CG33" i="27"/>
  <c r="CG33" i="29" s="1"/>
  <c r="CM33" i="27"/>
  <c r="CM33" i="29" s="1"/>
  <c r="CK33" i="27"/>
  <c r="CK33" i="29" s="1"/>
  <c r="CJ33" i="27"/>
  <c r="CJ33" i="29" s="1"/>
  <c r="CI33" i="27"/>
  <c r="CI33" i="29" s="1"/>
  <c r="CH33" i="27"/>
  <c r="CH33" i="29" s="1"/>
  <c r="CF33" i="27"/>
  <c r="CF33" i="29" s="1"/>
  <c r="BW33" i="27"/>
  <c r="BW33" i="29" s="1"/>
  <c r="CN33" i="27"/>
  <c r="CN33" i="29" s="1"/>
  <c r="AA92" i="26"/>
  <c r="AC92" i="26" s="1"/>
  <c r="CD67" i="27"/>
  <c r="CD67" i="29" s="1"/>
  <c r="CC67" i="27"/>
  <c r="CC67" i="29" s="1"/>
  <c r="CB67" i="27"/>
  <c r="CB67" i="29" s="1"/>
  <c r="CA67" i="27"/>
  <c r="CA67" i="29" s="1"/>
  <c r="BZ67" i="27"/>
  <c r="BZ67" i="29" s="1"/>
  <c r="CO67" i="27"/>
  <c r="CO67" i="29" s="1"/>
  <c r="BY67" i="27"/>
  <c r="BY67" i="29" s="1"/>
  <c r="CN67" i="27"/>
  <c r="CN67" i="29" s="1"/>
  <c r="BX67" i="27"/>
  <c r="BX67" i="29" s="1"/>
  <c r="CF67" i="27"/>
  <c r="CF67" i="29" s="1"/>
  <c r="CI67" i="27"/>
  <c r="CI67" i="29" s="1"/>
  <c r="CH67" i="27"/>
  <c r="CH67" i="29" s="1"/>
  <c r="CG67" i="27"/>
  <c r="CG67" i="29" s="1"/>
  <c r="CE67" i="27"/>
  <c r="CE67" i="29" s="1"/>
  <c r="BW67" i="27"/>
  <c r="BW67" i="29" s="1"/>
  <c r="BV67" i="27"/>
  <c r="BV67" i="29" s="1"/>
  <c r="BU67" i="27"/>
  <c r="BU67" i="29" s="1"/>
  <c r="BT67" i="27"/>
  <c r="BT67" i="29" s="1"/>
  <c r="CM67" i="27"/>
  <c r="CM67" i="29" s="1"/>
  <c r="CL67" i="27"/>
  <c r="CL67" i="29" s="1"/>
  <c r="CK67" i="27"/>
  <c r="CK67" i="29" s="1"/>
  <c r="CJ67" i="27"/>
  <c r="CJ67" i="29" s="1"/>
  <c r="AA183" i="26"/>
  <c r="AC183" i="26" s="1"/>
  <c r="AT70" i="27"/>
  <c r="AT70" i="29" s="1"/>
  <c r="AD70" i="27"/>
  <c r="AD70" i="29" s="1"/>
  <c r="AS70" i="27"/>
  <c r="AS70" i="29" s="1"/>
  <c r="AC70" i="27"/>
  <c r="AC70" i="29" s="1"/>
  <c r="AR70" i="27"/>
  <c r="AR70" i="29" s="1"/>
  <c r="AB70" i="27"/>
  <c r="AB70" i="29" s="1"/>
  <c r="AQ70" i="27"/>
  <c r="AQ70" i="29" s="1"/>
  <c r="AA70" i="27"/>
  <c r="AA70" i="29" s="1"/>
  <c r="AP70" i="27"/>
  <c r="AP70" i="29" s="1"/>
  <c r="AO70" i="27"/>
  <c r="AO70" i="29" s="1"/>
  <c r="AN70" i="27"/>
  <c r="AN70" i="29" s="1"/>
  <c r="AM70" i="27"/>
  <c r="AM70" i="29" s="1"/>
  <c r="AF70" i="27"/>
  <c r="AF70" i="29" s="1"/>
  <c r="AK70" i="27"/>
  <c r="AK70" i="29" s="1"/>
  <c r="AJ70" i="27"/>
  <c r="AJ70" i="29" s="1"/>
  <c r="AI70" i="27"/>
  <c r="AI70" i="29" s="1"/>
  <c r="AH70" i="27"/>
  <c r="AH70" i="29" s="1"/>
  <c r="AG70" i="27"/>
  <c r="AG70" i="29" s="1"/>
  <c r="AE70" i="27"/>
  <c r="AE70" i="29" s="1"/>
  <c r="AU70" i="27"/>
  <c r="AU70" i="29" s="1"/>
  <c r="AL70" i="27"/>
  <c r="AL70" i="29" s="1"/>
  <c r="Z214" i="26"/>
  <c r="Z401" i="26" s="1"/>
  <c r="AO69" i="27"/>
  <c r="AO69" i="29" s="1"/>
  <c r="AN69" i="27"/>
  <c r="AN69" i="29" s="1"/>
  <c r="AM69" i="27"/>
  <c r="AM69" i="29" s="1"/>
  <c r="AL69" i="27"/>
  <c r="AL69" i="29" s="1"/>
  <c r="AK69" i="27"/>
  <c r="AK69" i="29" s="1"/>
  <c r="AJ69" i="27"/>
  <c r="AJ69" i="29" s="1"/>
  <c r="AI69" i="27"/>
  <c r="AI69" i="29" s="1"/>
  <c r="AH69" i="27"/>
  <c r="AH69" i="29" s="1"/>
  <c r="AQ69" i="27"/>
  <c r="AQ69" i="29" s="1"/>
  <c r="AA69" i="27"/>
  <c r="AA69" i="29" s="1"/>
  <c r="AG69" i="27"/>
  <c r="AG69" i="29" s="1"/>
  <c r="AF69" i="27"/>
  <c r="AF69" i="29" s="1"/>
  <c r="AE69" i="27"/>
  <c r="AE69" i="29" s="1"/>
  <c r="AD69" i="27"/>
  <c r="AD69" i="29" s="1"/>
  <c r="AC69" i="27"/>
  <c r="AC69" i="29" s="1"/>
  <c r="AB69" i="27"/>
  <c r="AB69" i="29" s="1"/>
  <c r="AU69" i="27"/>
  <c r="AU69" i="29" s="1"/>
  <c r="AT69" i="27"/>
  <c r="AT69" i="29" s="1"/>
  <c r="AS69" i="27"/>
  <c r="AS69" i="29" s="1"/>
  <c r="AR69" i="27"/>
  <c r="AR69" i="29" s="1"/>
  <c r="AP69" i="27"/>
  <c r="AP69" i="29" s="1"/>
  <c r="N75" i="27"/>
  <c r="N75" i="29" s="1"/>
  <c r="M75" i="27"/>
  <c r="M75" i="29" s="1"/>
  <c r="L75" i="27"/>
  <c r="L75" i="29" s="1"/>
  <c r="J75" i="27"/>
  <c r="J75" i="29" s="1"/>
  <c r="Y75" i="27"/>
  <c r="Y75" i="29" s="1"/>
  <c r="I75" i="27"/>
  <c r="I75" i="29" s="1"/>
  <c r="U75" i="27"/>
  <c r="U75" i="29" s="1"/>
  <c r="S75" i="27"/>
  <c r="S75" i="29" s="1"/>
  <c r="R75" i="27"/>
  <c r="R75" i="29" s="1"/>
  <c r="Q75" i="27"/>
  <c r="Q75" i="29" s="1"/>
  <c r="P75" i="27"/>
  <c r="P75" i="29" s="1"/>
  <c r="O75" i="27"/>
  <c r="O75" i="29" s="1"/>
  <c r="K75" i="27"/>
  <c r="K75" i="29" s="1"/>
  <c r="H75" i="27"/>
  <c r="H75" i="29" s="1"/>
  <c r="V75" i="27"/>
  <c r="V75" i="29" s="1"/>
  <c r="X75" i="27"/>
  <c r="X75" i="29" s="1"/>
  <c r="W75" i="27"/>
  <c r="W75" i="29" s="1"/>
  <c r="T75" i="27"/>
  <c r="T75" i="29" s="1"/>
  <c r="AA250" i="26"/>
  <c r="AC250" i="26" s="1"/>
  <c r="A18" i="30" l="1"/>
  <c r="C3" i="43"/>
  <c r="H91" i="30"/>
  <c r="F1391" i="26"/>
  <c r="AQ68" i="27"/>
  <c r="AQ68" i="29" s="1"/>
  <c r="AS68" i="27"/>
  <c r="AS68" i="29" s="1"/>
  <c r="AA251" i="26"/>
  <c r="AC251" i="26" s="1"/>
  <c r="AA24" i="26"/>
  <c r="AC24" i="26" s="1"/>
  <c r="AM68" i="27"/>
  <c r="AM68" i="29" s="1"/>
  <c r="CK32" i="27"/>
  <c r="CK32" i="29" s="1"/>
  <c r="Z615" i="26"/>
  <c r="CL68" i="27"/>
  <c r="CL68" i="29" s="1"/>
  <c r="CC68" i="27"/>
  <c r="CC68" i="29" s="1"/>
  <c r="AA91" i="26"/>
  <c r="AC91" i="26" s="1"/>
  <c r="EP32" i="27"/>
  <c r="EP32" i="29" s="1"/>
  <c r="AN68" i="27"/>
  <c r="AN68" i="29" s="1"/>
  <c r="AT68" i="27"/>
  <c r="AT68" i="29" s="1"/>
  <c r="AA184" i="25"/>
  <c r="AE184" i="25" s="1"/>
  <c r="CO68" i="27"/>
  <c r="CO68" i="29" s="1"/>
  <c r="CL32" i="27"/>
  <c r="CL32" i="29" s="1"/>
  <c r="Z210" i="26"/>
  <c r="I132" i="30"/>
  <c r="M132" i="30"/>
  <c r="N132" i="30" s="1"/>
  <c r="P132" i="30" s="1"/>
  <c r="K19" i="36"/>
  <c r="U49" i="30"/>
  <c r="C145" i="30"/>
  <c r="F145" i="30"/>
  <c r="G145" i="30" s="1"/>
  <c r="E107" i="30"/>
  <c r="AP35" i="30"/>
  <c r="Q26" i="30"/>
  <c r="J59" i="30" s="1"/>
  <c r="AU21" i="30"/>
  <c r="AV21" i="30" s="1"/>
  <c r="AY21" i="30" s="1"/>
  <c r="AZ21" i="30" s="1"/>
  <c r="BD21" i="30" s="1"/>
  <c r="E105" i="30"/>
  <c r="AP31" i="30"/>
  <c r="E108" i="30"/>
  <c r="AP37" i="30"/>
  <c r="E99" i="30"/>
  <c r="AP21" i="30"/>
  <c r="E110" i="30"/>
  <c r="AP40" i="30"/>
  <c r="E101" i="30"/>
  <c r="AP24" i="30"/>
  <c r="O90" i="30"/>
  <c r="I8" i="30"/>
  <c r="J8" i="30" s="1"/>
  <c r="G133" i="30"/>
  <c r="J132" i="30"/>
  <c r="K134" i="30"/>
  <c r="H135" i="30"/>
  <c r="K135" i="30" s="1"/>
  <c r="Z232" i="41"/>
  <c r="AA232" i="41"/>
  <c r="AE232" i="41" s="1"/>
  <c r="Y232" i="41"/>
  <c r="X219" i="41"/>
  <c r="Z219" i="41"/>
  <c r="Y219" i="41"/>
  <c r="P243" i="41"/>
  <c r="Q243" i="41" s="1"/>
  <c r="R243" i="41"/>
  <c r="X243" i="41"/>
  <c r="K19" i="41"/>
  <c r="L18" i="41"/>
  <c r="Y243" i="41"/>
  <c r="Z243" i="41"/>
  <c r="R232" i="41"/>
  <c r="P232" i="41"/>
  <c r="Q232" i="41" s="1"/>
  <c r="M244" i="41"/>
  <c r="D259" i="41" s="1"/>
  <c r="U244" i="41"/>
  <c r="V200" i="41"/>
  <c r="Y200" i="41" s="1"/>
  <c r="N200" i="41"/>
  <c r="R219" i="41"/>
  <c r="P219" i="41"/>
  <c r="Q219" i="41" s="1"/>
  <c r="T205" i="25"/>
  <c r="Q36" i="30"/>
  <c r="J69" i="30" s="1"/>
  <c r="Q32" i="30"/>
  <c r="J65" i="30" s="1"/>
  <c r="I75" i="30"/>
  <c r="AT42" i="30"/>
  <c r="AU42" i="30" s="1"/>
  <c r="AV42" i="30" s="1"/>
  <c r="AY42" i="30" s="1"/>
  <c r="AZ42" i="30" s="1"/>
  <c r="BD42" i="30" s="1"/>
  <c r="I73" i="30"/>
  <c r="AT40" i="30"/>
  <c r="AU40" i="30" s="1"/>
  <c r="AV40" i="30" s="1"/>
  <c r="AY40" i="30" s="1"/>
  <c r="AZ40" i="30" s="1"/>
  <c r="BD40" i="30" s="1"/>
  <c r="I62" i="30"/>
  <c r="AT29" i="30"/>
  <c r="AU29" i="30" s="1"/>
  <c r="AV29" i="30" s="1"/>
  <c r="AY29" i="30" s="1"/>
  <c r="AZ29" i="30" s="1"/>
  <c r="BD29" i="30" s="1"/>
  <c r="I69" i="30"/>
  <c r="AT36" i="30"/>
  <c r="AU36" i="30" s="1"/>
  <c r="AV36" i="30" s="1"/>
  <c r="AY36" i="30" s="1"/>
  <c r="AZ36" i="30" s="1"/>
  <c r="BD36" i="30" s="1"/>
  <c r="I58" i="30"/>
  <c r="AT25" i="30"/>
  <c r="AU25" i="30" s="1"/>
  <c r="AV25" i="30" s="1"/>
  <c r="AY25" i="30" s="1"/>
  <c r="AZ25" i="30" s="1"/>
  <c r="BD25" i="30" s="1"/>
  <c r="I74" i="30"/>
  <c r="AT41" i="30"/>
  <c r="AU41" i="30" s="1"/>
  <c r="AV41" i="30" s="1"/>
  <c r="AY41" i="30" s="1"/>
  <c r="AZ41" i="30" s="1"/>
  <c r="BD41" i="30" s="1"/>
  <c r="I79" i="30"/>
  <c r="AT46" i="30"/>
  <c r="AU46" i="30" s="1"/>
  <c r="AV46" i="30" s="1"/>
  <c r="AY46" i="30" s="1"/>
  <c r="AZ46" i="30" s="1"/>
  <c r="BD46" i="30" s="1"/>
  <c r="I60" i="30"/>
  <c r="AT27" i="30"/>
  <c r="AU27" i="30" s="1"/>
  <c r="AV27" i="30" s="1"/>
  <c r="AY27" i="30" s="1"/>
  <c r="AZ27" i="30" s="1"/>
  <c r="BD27" i="30" s="1"/>
  <c r="I64" i="30"/>
  <c r="AT31" i="30"/>
  <c r="AU31" i="30" s="1"/>
  <c r="AV31" i="30" s="1"/>
  <c r="AY31" i="30" s="1"/>
  <c r="AZ31" i="30" s="1"/>
  <c r="BD31" i="30" s="1"/>
  <c r="I76" i="30"/>
  <c r="AT43" i="30"/>
  <c r="AU43" i="30" s="1"/>
  <c r="AV43" i="30" s="1"/>
  <c r="AY43" i="30" s="1"/>
  <c r="AZ43" i="30" s="1"/>
  <c r="BD43" i="30" s="1"/>
  <c r="I65" i="30"/>
  <c r="AT32" i="30"/>
  <c r="AU32" i="30" s="1"/>
  <c r="AV32" i="30" s="1"/>
  <c r="AY32" i="30" s="1"/>
  <c r="AZ32" i="30" s="1"/>
  <c r="BD32" i="30" s="1"/>
  <c r="Q23" i="30"/>
  <c r="AT23" i="30"/>
  <c r="AU23" i="30" s="1"/>
  <c r="AV23" i="30" s="1"/>
  <c r="AY23" i="30" s="1"/>
  <c r="AZ23" i="30" s="1"/>
  <c r="BD23" i="30" s="1"/>
  <c r="I72" i="30"/>
  <c r="AT39" i="30"/>
  <c r="AU39" i="30" s="1"/>
  <c r="AV39" i="30" s="1"/>
  <c r="AY39" i="30" s="1"/>
  <c r="AZ39" i="30" s="1"/>
  <c r="BD39" i="30" s="1"/>
  <c r="I68" i="30"/>
  <c r="AT35" i="30"/>
  <c r="AU35" i="30" s="1"/>
  <c r="AV35" i="30" s="1"/>
  <c r="AY35" i="30" s="1"/>
  <c r="AZ35" i="30" s="1"/>
  <c r="BD35" i="30" s="1"/>
  <c r="E102" i="30"/>
  <c r="O22" i="30"/>
  <c r="I63" i="30"/>
  <c r="AT30" i="30"/>
  <c r="AU30" i="30" s="1"/>
  <c r="AV30" i="30" s="1"/>
  <c r="AY30" i="30" s="1"/>
  <c r="AZ30" i="30" s="1"/>
  <c r="BD30" i="30" s="1"/>
  <c r="I57" i="30"/>
  <c r="AT24" i="30"/>
  <c r="AU24" i="30" s="1"/>
  <c r="AV24" i="30" s="1"/>
  <c r="AY24" i="30" s="1"/>
  <c r="AZ24" i="30" s="1"/>
  <c r="BD24" i="30" s="1"/>
  <c r="O24" i="30"/>
  <c r="Q24" i="30"/>
  <c r="J57" i="30" s="1"/>
  <c r="Q33" i="30"/>
  <c r="J66" i="30" s="1"/>
  <c r="AT33" i="30"/>
  <c r="AU33" i="30" s="1"/>
  <c r="AV33" i="30" s="1"/>
  <c r="AY33" i="30" s="1"/>
  <c r="AZ33" i="30" s="1"/>
  <c r="BD33" i="30" s="1"/>
  <c r="O40" i="30"/>
  <c r="I71" i="30"/>
  <c r="AT38" i="30"/>
  <c r="AU38" i="30" s="1"/>
  <c r="AV38" i="30" s="1"/>
  <c r="AY38" i="30" s="1"/>
  <c r="AZ38" i="30" s="1"/>
  <c r="BD38" i="30" s="1"/>
  <c r="Q22" i="30"/>
  <c r="I59" i="30"/>
  <c r="AT26" i="30"/>
  <c r="AU26" i="30" s="1"/>
  <c r="AV26" i="30" s="1"/>
  <c r="AY26" i="30" s="1"/>
  <c r="AZ26" i="30" s="1"/>
  <c r="BD26" i="30" s="1"/>
  <c r="AC23" i="30"/>
  <c r="M56" i="30"/>
  <c r="R194" i="25"/>
  <c r="P194" i="25"/>
  <c r="Q194" i="25" s="1"/>
  <c r="R195" i="25"/>
  <c r="P195" i="25"/>
  <c r="Q195" i="25" s="1"/>
  <c r="R209" i="25"/>
  <c r="P209" i="25"/>
  <c r="Q209" i="25" s="1"/>
  <c r="R220" i="25"/>
  <c r="P220" i="25"/>
  <c r="Q220" i="25" s="1"/>
  <c r="R213" i="25"/>
  <c r="P213" i="25"/>
  <c r="Q213" i="25" s="1"/>
  <c r="R159" i="25"/>
  <c r="P159" i="25"/>
  <c r="Q159" i="25" s="1"/>
  <c r="R184" i="25"/>
  <c r="P184" i="25"/>
  <c r="Q184" i="25" s="1"/>
  <c r="R203" i="25"/>
  <c r="P203" i="25"/>
  <c r="Q203" i="25" s="1"/>
  <c r="R234" i="25"/>
  <c r="P234" i="25"/>
  <c r="Q234" i="25" s="1"/>
  <c r="R224" i="25"/>
  <c r="P224" i="25"/>
  <c r="Q224" i="25" s="1"/>
  <c r="R239" i="25"/>
  <c r="P239" i="25"/>
  <c r="Q239" i="25" s="1"/>
  <c r="R238" i="25"/>
  <c r="P238" i="25"/>
  <c r="Q238" i="25" s="1"/>
  <c r="R181" i="25"/>
  <c r="P181" i="25"/>
  <c r="Q181" i="25" s="1"/>
  <c r="R221" i="25"/>
  <c r="P221" i="25"/>
  <c r="Q221" i="25" s="1"/>
  <c r="R165" i="25"/>
  <c r="P165" i="25"/>
  <c r="Q165" i="25" s="1"/>
  <c r="R172" i="25"/>
  <c r="P172" i="25"/>
  <c r="Q172" i="25" s="1"/>
  <c r="R233" i="25"/>
  <c r="P233" i="25"/>
  <c r="Q233" i="25" s="1"/>
  <c r="R169" i="25"/>
  <c r="P169" i="25"/>
  <c r="Q169" i="25" s="1"/>
  <c r="V222" i="25"/>
  <c r="V210" i="25"/>
  <c r="Y210" i="25" s="1"/>
  <c r="L216" i="25"/>
  <c r="M216" i="25" s="1"/>
  <c r="N216" i="25" s="1"/>
  <c r="P216" i="25" s="1"/>
  <c r="Q216" i="25" s="1"/>
  <c r="V159" i="25"/>
  <c r="Y159" i="25" s="1"/>
  <c r="L160" i="25"/>
  <c r="M160" i="25" s="1"/>
  <c r="N160" i="25" s="1"/>
  <c r="N222" i="25"/>
  <c r="V209" i="25"/>
  <c r="E111" i="30"/>
  <c r="O42" i="30"/>
  <c r="Q40" i="30"/>
  <c r="J73" i="30" s="1"/>
  <c r="Q30" i="30"/>
  <c r="J63" i="30" s="1"/>
  <c r="O35" i="30"/>
  <c r="O46" i="30"/>
  <c r="Q42" i="30"/>
  <c r="J75" i="30" s="1"/>
  <c r="Q46" i="30"/>
  <c r="J79" i="30" s="1"/>
  <c r="Q35" i="30"/>
  <c r="J68" i="30" s="1"/>
  <c r="Q38" i="30"/>
  <c r="J71" i="30" s="1"/>
  <c r="O30" i="30"/>
  <c r="E106" i="30"/>
  <c r="V32" i="30"/>
  <c r="L65" i="30" s="1"/>
  <c r="K65" i="30"/>
  <c r="Q29" i="30"/>
  <c r="J62" i="30" s="1"/>
  <c r="V38" i="30"/>
  <c r="L71" i="30" s="1"/>
  <c r="K71" i="30"/>
  <c r="Q44" i="30"/>
  <c r="J77" i="30" s="1"/>
  <c r="I77" i="30"/>
  <c r="Q45" i="30"/>
  <c r="J78" i="30" s="1"/>
  <c r="I78" i="30"/>
  <c r="V36" i="30"/>
  <c r="Y36" i="30" s="1"/>
  <c r="Z36" i="30" s="1"/>
  <c r="AB36" i="30" s="1"/>
  <c r="K69" i="30"/>
  <c r="Q31" i="30"/>
  <c r="J64" i="30" s="1"/>
  <c r="O29" i="30"/>
  <c r="V46" i="30"/>
  <c r="L79" i="30" s="1"/>
  <c r="K79" i="30"/>
  <c r="V44" i="30"/>
  <c r="Y44" i="30" s="1"/>
  <c r="Z44" i="30" s="1"/>
  <c r="AB44" i="30" s="1"/>
  <c r="K77" i="30"/>
  <c r="Q37" i="30"/>
  <c r="J70" i="30" s="1"/>
  <c r="I70" i="30"/>
  <c r="O28" i="30"/>
  <c r="I61" i="30"/>
  <c r="V28" i="30"/>
  <c r="Y28" i="30" s="1"/>
  <c r="Z28" i="30" s="1"/>
  <c r="AB28" i="30" s="1"/>
  <c r="K61" i="30"/>
  <c r="O34" i="30"/>
  <c r="I67" i="30"/>
  <c r="V34" i="30"/>
  <c r="L67" i="30" s="1"/>
  <c r="K67" i="30"/>
  <c r="V42" i="30"/>
  <c r="Y42" i="30" s="1"/>
  <c r="Z42" i="30" s="1"/>
  <c r="AB42" i="30" s="1"/>
  <c r="K75" i="30"/>
  <c r="V30" i="30"/>
  <c r="Y30" i="30" s="1"/>
  <c r="Z30" i="30" s="1"/>
  <c r="AB30" i="30" s="1"/>
  <c r="K63" i="30"/>
  <c r="V26" i="30"/>
  <c r="L59" i="30" s="1"/>
  <c r="K59" i="30"/>
  <c r="E113" i="30"/>
  <c r="O31" i="30"/>
  <c r="E103" i="30"/>
  <c r="O33" i="30"/>
  <c r="I66" i="30"/>
  <c r="E109" i="30"/>
  <c r="V221" i="25"/>
  <c r="AA221" i="25" s="1"/>
  <c r="AE221" i="25" s="1"/>
  <c r="V181" i="25"/>
  <c r="X181" i="25" s="1"/>
  <c r="N182" i="25"/>
  <c r="N180" i="25"/>
  <c r="L183" i="25"/>
  <c r="M183" i="25" s="1"/>
  <c r="V194" i="25"/>
  <c r="Z194" i="25" s="1"/>
  <c r="U209" i="25"/>
  <c r="V208" i="25"/>
  <c r="AA208" i="25" s="1"/>
  <c r="AE208" i="25" s="1"/>
  <c r="Z224" i="25"/>
  <c r="N208" i="25"/>
  <c r="AA169" i="25"/>
  <c r="AE169" i="25" s="1"/>
  <c r="L229" i="25"/>
  <c r="M229" i="25" s="1"/>
  <c r="N229" i="25" s="1"/>
  <c r="U176" i="25"/>
  <c r="L237" i="25"/>
  <c r="M237" i="25" s="1"/>
  <c r="N237" i="25" s="1"/>
  <c r="P237" i="25" s="1"/>
  <c r="Q237" i="25" s="1"/>
  <c r="N236" i="25"/>
  <c r="V192" i="25"/>
  <c r="Z192" i="25" s="1"/>
  <c r="L186" i="25"/>
  <c r="M186" i="25" s="1"/>
  <c r="N186" i="25" s="1"/>
  <c r="P186" i="25" s="1"/>
  <c r="Q186" i="25" s="1"/>
  <c r="Y203" i="25"/>
  <c r="V175" i="25"/>
  <c r="Y175" i="25" s="1"/>
  <c r="V239" i="25"/>
  <c r="AA239" i="25" s="1"/>
  <c r="AE239" i="25" s="1"/>
  <c r="N192" i="25"/>
  <c r="N189" i="25"/>
  <c r="U213" i="25"/>
  <c r="L240" i="25"/>
  <c r="M240" i="25" s="1"/>
  <c r="L241" i="25" s="1"/>
  <c r="M241" i="25" s="1"/>
  <c r="L242" i="25" s="1"/>
  <c r="M242" i="25" s="1"/>
  <c r="V213" i="25"/>
  <c r="V212" i="25"/>
  <c r="X212" i="25" s="1"/>
  <c r="T241" i="25"/>
  <c r="L202" i="25"/>
  <c r="M202" i="25" s="1"/>
  <c r="N202" i="25" s="1"/>
  <c r="N201" i="25"/>
  <c r="N212" i="25"/>
  <c r="Y211" i="25"/>
  <c r="L174" i="25"/>
  <c r="M174" i="25" s="1"/>
  <c r="V174" i="25" s="1"/>
  <c r="V172" i="25"/>
  <c r="Z172" i="25" s="1"/>
  <c r="N206" i="25"/>
  <c r="N173" i="25"/>
  <c r="N175" i="25"/>
  <c r="N190" i="25"/>
  <c r="X226" i="25"/>
  <c r="U190" i="25"/>
  <c r="V189" i="25"/>
  <c r="AA189" i="25" s="1"/>
  <c r="AE189" i="25" s="1"/>
  <c r="L207" i="25"/>
  <c r="M207" i="25" s="1"/>
  <c r="V207" i="25" s="1"/>
  <c r="B257" i="25"/>
  <c r="E198" i="25"/>
  <c r="E199" i="25" s="1"/>
  <c r="E200" i="25" s="1"/>
  <c r="T200" i="25" s="1"/>
  <c r="N163" i="25"/>
  <c r="N167" i="25"/>
  <c r="X220" i="25"/>
  <c r="Z220" i="25"/>
  <c r="T170" i="25"/>
  <c r="V167" i="25"/>
  <c r="AA167" i="25" s="1"/>
  <c r="AE167" i="25" s="1"/>
  <c r="X171" i="25"/>
  <c r="AA171" i="25"/>
  <c r="AE171" i="25" s="1"/>
  <c r="X169" i="25"/>
  <c r="N171" i="25"/>
  <c r="L215" i="25"/>
  <c r="M215" i="25" s="1"/>
  <c r="N215" i="25" s="1"/>
  <c r="P215" i="25" s="1"/>
  <c r="Q215" i="25" s="1"/>
  <c r="N214" i="25"/>
  <c r="T217" i="25"/>
  <c r="V233" i="25"/>
  <c r="T218" i="25"/>
  <c r="V190" i="25"/>
  <c r="Y234" i="25"/>
  <c r="AA220" i="25"/>
  <c r="AE220" i="25" s="1"/>
  <c r="T178" i="25"/>
  <c r="N210" i="25"/>
  <c r="L177" i="25"/>
  <c r="M177" i="25" s="1"/>
  <c r="N177" i="25" s="1"/>
  <c r="Y171" i="25"/>
  <c r="U168" i="25"/>
  <c r="Y169" i="25"/>
  <c r="Z169" i="25"/>
  <c r="AA224" i="25"/>
  <c r="AE224" i="25" s="1"/>
  <c r="V163" i="25"/>
  <c r="AA163" i="25" s="1"/>
  <c r="AE163" i="25" s="1"/>
  <c r="Y224" i="25"/>
  <c r="X224" i="25"/>
  <c r="L228" i="25"/>
  <c r="M228" i="25" s="1"/>
  <c r="N227" i="25"/>
  <c r="P227" i="25" s="1"/>
  <c r="Q227" i="25" s="1"/>
  <c r="N185" i="25"/>
  <c r="V185" i="25"/>
  <c r="Z234" i="25"/>
  <c r="L197" i="25"/>
  <c r="M197" i="25" s="1"/>
  <c r="N197" i="25" s="1"/>
  <c r="P197" i="25" s="1"/>
  <c r="Q197" i="25" s="1"/>
  <c r="N156" i="25"/>
  <c r="P156" i="25" s="1"/>
  <c r="Q156" i="25" s="1"/>
  <c r="T179" i="25"/>
  <c r="U185" i="25"/>
  <c r="X234" i="25"/>
  <c r="AA234" i="25"/>
  <c r="AE234" i="25" s="1"/>
  <c r="X201" i="25"/>
  <c r="Y201" i="25"/>
  <c r="Z201" i="25"/>
  <c r="M170" i="25"/>
  <c r="N170" i="25" s="1"/>
  <c r="X173" i="25"/>
  <c r="Y173" i="25"/>
  <c r="U235" i="25"/>
  <c r="N235" i="25"/>
  <c r="Y184" i="25"/>
  <c r="X184" i="25"/>
  <c r="Z184" i="25"/>
  <c r="AA206" i="25"/>
  <c r="AE206" i="25" s="1"/>
  <c r="Z206" i="25"/>
  <c r="Y206" i="25"/>
  <c r="AA182" i="25"/>
  <c r="AE182" i="25" s="1"/>
  <c r="L158" i="25"/>
  <c r="M158" i="25" s="1"/>
  <c r="Y182" i="25"/>
  <c r="Z182" i="25"/>
  <c r="Z173" i="25"/>
  <c r="N157" i="25"/>
  <c r="P157" i="25" s="1"/>
  <c r="Q157" i="25" s="1"/>
  <c r="Y225" i="25"/>
  <c r="U193" i="25"/>
  <c r="N193" i="25"/>
  <c r="N191" i="25"/>
  <c r="P191" i="25" s="1"/>
  <c r="Q191" i="25" s="1"/>
  <c r="T231" i="25"/>
  <c r="T162" i="25"/>
  <c r="T186" i="25"/>
  <c r="B259" i="25"/>
  <c r="T187" i="25"/>
  <c r="E188" i="25"/>
  <c r="T242" i="25"/>
  <c r="B258" i="25"/>
  <c r="T243" i="25"/>
  <c r="T230" i="25"/>
  <c r="Z225" i="25"/>
  <c r="AA225" i="25"/>
  <c r="AE225" i="25" s="1"/>
  <c r="X225" i="25"/>
  <c r="AA214" i="25"/>
  <c r="AE214" i="25" s="1"/>
  <c r="X203" i="25"/>
  <c r="AA203" i="25"/>
  <c r="AE203" i="25" s="1"/>
  <c r="Z203" i="25"/>
  <c r="Y214" i="25"/>
  <c r="X214" i="25"/>
  <c r="AA211" i="25"/>
  <c r="AE211" i="25" s="1"/>
  <c r="Z211" i="25"/>
  <c r="X211" i="25"/>
  <c r="U227" i="25"/>
  <c r="U196" i="25"/>
  <c r="Y226" i="25"/>
  <c r="AA222" i="25"/>
  <c r="AE222" i="25" s="1"/>
  <c r="Z222" i="25"/>
  <c r="X222" i="25"/>
  <c r="Y222" i="25"/>
  <c r="R176" i="25"/>
  <c r="V176" i="25"/>
  <c r="U204" i="25"/>
  <c r="AA238" i="25"/>
  <c r="AE238" i="25" s="1"/>
  <c r="Z238" i="25"/>
  <c r="Y238" i="25"/>
  <c r="X238" i="25"/>
  <c r="Z226" i="25"/>
  <c r="X236" i="25"/>
  <c r="Z236" i="25"/>
  <c r="AA236" i="25"/>
  <c r="AE236" i="25" s="1"/>
  <c r="Y236" i="25"/>
  <c r="AA226" i="25"/>
  <c r="AE226" i="25" s="1"/>
  <c r="V235" i="25"/>
  <c r="R168" i="25"/>
  <c r="V168" i="25"/>
  <c r="V193" i="25"/>
  <c r="U223" i="25"/>
  <c r="Z195" i="25"/>
  <c r="Y195" i="25"/>
  <c r="X195" i="25"/>
  <c r="AA195" i="25"/>
  <c r="AE195" i="25" s="1"/>
  <c r="X165" i="25"/>
  <c r="Y165" i="25"/>
  <c r="AA165" i="25"/>
  <c r="AE165" i="25" s="1"/>
  <c r="Z165" i="25"/>
  <c r="U166" i="25"/>
  <c r="U191" i="25"/>
  <c r="Y180" i="25"/>
  <c r="X180" i="25"/>
  <c r="AA180" i="25"/>
  <c r="AE180" i="25" s="1"/>
  <c r="Z180" i="25"/>
  <c r="U164" i="25"/>
  <c r="BA51" i="27"/>
  <c r="BB51" i="27"/>
  <c r="BC51" i="27"/>
  <c r="BD51" i="27"/>
  <c r="BE51" i="27"/>
  <c r="DU43" i="27"/>
  <c r="DV43" i="27"/>
  <c r="DW43" i="27"/>
  <c r="DX43" i="27"/>
  <c r="DY43" i="27"/>
  <c r="DZ43" i="27"/>
  <c r="EA43" i="27"/>
  <c r="EB43" i="27"/>
  <c r="DT43" i="27"/>
  <c r="DM65" i="27"/>
  <c r="DM65" i="29" s="1"/>
  <c r="DN65" i="27"/>
  <c r="DN65" i="29" s="1"/>
  <c r="DO65" i="27"/>
  <c r="DO65" i="29" s="1"/>
  <c r="DP65" i="27"/>
  <c r="DP65" i="29" s="1"/>
  <c r="DQ65" i="27"/>
  <c r="DQ65" i="29" s="1"/>
  <c r="DR65" i="27"/>
  <c r="DR65" i="29" s="1"/>
  <c r="DS65" i="27"/>
  <c r="DS65" i="29" s="1"/>
  <c r="DT65" i="27"/>
  <c r="DT65" i="29" s="1"/>
  <c r="DU65" i="27"/>
  <c r="DU65" i="29" s="1"/>
  <c r="DV65" i="27"/>
  <c r="DV65" i="29" s="1"/>
  <c r="DW65" i="27"/>
  <c r="DW65" i="29" s="1"/>
  <c r="DL65" i="27"/>
  <c r="DL65" i="29" s="1"/>
  <c r="AA506" i="26"/>
  <c r="AC506" i="26" s="1"/>
  <c r="Z507" i="26"/>
  <c r="AA401" i="26"/>
  <c r="AC401" i="26" s="1"/>
  <c r="AV71" i="27"/>
  <c r="AV71" i="29" s="1"/>
  <c r="Z402" i="26"/>
  <c r="Z400" i="26"/>
  <c r="CP68" i="27"/>
  <c r="AA486" i="26"/>
  <c r="AC486" i="26" s="1"/>
  <c r="BS69" i="27"/>
  <c r="BS69" i="29" s="1"/>
  <c r="AA445" i="26"/>
  <c r="AC445" i="26" s="1"/>
  <c r="BS68" i="27"/>
  <c r="BS68" i="29" s="1"/>
  <c r="AA444" i="26"/>
  <c r="AC444" i="26" s="1"/>
  <c r="BS67" i="27"/>
  <c r="BS67" i="29" s="1"/>
  <c r="AA443" i="26"/>
  <c r="AC443" i="26" s="1"/>
  <c r="BS66" i="27"/>
  <c r="BS66" i="29" s="1"/>
  <c r="BU66" i="27"/>
  <c r="BU66" i="29" s="1"/>
  <c r="BV66" i="27"/>
  <c r="BV66" i="29" s="1"/>
  <c r="BW66" i="27"/>
  <c r="BW66" i="29" s="1"/>
  <c r="BX66" i="27"/>
  <c r="BX66" i="29" s="1"/>
  <c r="BY66" i="27"/>
  <c r="BY66" i="29" s="1"/>
  <c r="BZ66" i="27"/>
  <c r="BZ66" i="29" s="1"/>
  <c r="CA66" i="27"/>
  <c r="CA66" i="29" s="1"/>
  <c r="CB66" i="27"/>
  <c r="CB66" i="29" s="1"/>
  <c r="BT66" i="27"/>
  <c r="BT66" i="29" s="1"/>
  <c r="AA478" i="26"/>
  <c r="AC478" i="26" s="1"/>
  <c r="Z477" i="26"/>
  <c r="O39" i="30"/>
  <c r="Q39" i="30"/>
  <c r="J72" i="30" s="1"/>
  <c r="O45" i="30"/>
  <c r="O37" i="30"/>
  <c r="Q41" i="30"/>
  <c r="J74" i="30" s="1"/>
  <c r="O41" i="30"/>
  <c r="L92" i="30"/>
  <c r="O92" i="30" s="1"/>
  <c r="N90" i="30"/>
  <c r="P90" i="30" s="1"/>
  <c r="L89" i="30"/>
  <c r="N88" i="30"/>
  <c r="P88" i="30" s="1"/>
  <c r="O27" i="30"/>
  <c r="I56" i="30"/>
  <c r="V43" i="30"/>
  <c r="V33" i="30"/>
  <c r="V31" i="30"/>
  <c r="V27" i="30"/>
  <c r="K56" i="30"/>
  <c r="V25" i="30"/>
  <c r="K55" i="30"/>
  <c r="V24" i="30"/>
  <c r="V29" i="30"/>
  <c r="V40" i="30"/>
  <c r="Q21" i="30"/>
  <c r="J54" i="30" s="1"/>
  <c r="O43" i="30"/>
  <c r="V45" i="30"/>
  <c r="L78" i="30" s="1"/>
  <c r="O25" i="30"/>
  <c r="I55" i="30"/>
  <c r="V37" i="30"/>
  <c r="V35" i="30"/>
  <c r="V41" i="30"/>
  <c r="V39" i="30"/>
  <c r="O44" i="30"/>
  <c r="V22" i="30"/>
  <c r="K54" i="30"/>
  <c r="Q25" i="30"/>
  <c r="O23" i="30"/>
  <c r="Q27" i="30"/>
  <c r="J60" i="30" s="1"/>
  <c r="Q34" i="30"/>
  <c r="J67" i="30" s="1"/>
  <c r="Q28" i="30"/>
  <c r="J61" i="30" s="1"/>
  <c r="Q43" i="30"/>
  <c r="J76" i="30" s="1"/>
  <c r="H88" i="30"/>
  <c r="H89" i="30"/>
  <c r="H83" i="30"/>
  <c r="H90" i="30"/>
  <c r="J50" i="30"/>
  <c r="I54" i="30"/>
  <c r="N49" i="30"/>
  <c r="D3" i="43" s="1"/>
  <c r="F3" i="43" s="1"/>
  <c r="O21" i="30"/>
  <c r="Z110" i="26"/>
  <c r="BP36" i="27" s="1"/>
  <c r="BP36" i="29" s="1"/>
  <c r="BC35" i="27"/>
  <c r="BC35" i="29" s="1"/>
  <c r="BK35" i="27"/>
  <c r="BK35" i="29" s="1"/>
  <c r="BL35" i="27"/>
  <c r="BL35" i="29" s="1"/>
  <c r="BB35" i="27"/>
  <c r="BB35" i="29" s="1"/>
  <c r="BS35" i="27"/>
  <c r="BS35" i="29" s="1"/>
  <c r="BH35" i="27"/>
  <c r="BH35" i="29" s="1"/>
  <c r="N74" i="27"/>
  <c r="N74" i="29" s="1"/>
  <c r="DX11" i="27"/>
  <c r="DX11" i="29" s="1"/>
  <c r="Z5" i="26"/>
  <c r="U74" i="27"/>
  <c r="U74" i="29" s="1"/>
  <c r="BP35" i="27"/>
  <c r="BP35" i="29" s="1"/>
  <c r="BG35" i="27"/>
  <c r="BG35" i="29" s="1"/>
  <c r="BE35" i="27"/>
  <c r="BE35" i="29" s="1"/>
  <c r="Y74" i="27"/>
  <c r="Y74" i="29" s="1"/>
  <c r="BJ35" i="27"/>
  <c r="BJ35" i="29" s="1"/>
  <c r="BF35" i="27"/>
  <c r="BF35" i="29" s="1"/>
  <c r="AE68" i="27"/>
  <c r="AE68" i="29" s="1"/>
  <c r="DZ11" i="27"/>
  <c r="DZ11" i="29" s="1"/>
  <c r="BV32" i="27"/>
  <c r="BV32" i="29" s="1"/>
  <c r="BY32" i="27"/>
  <c r="BY32" i="29" s="1"/>
  <c r="AR68" i="27"/>
  <c r="AR68" i="29" s="1"/>
  <c r="AH68" i="27"/>
  <c r="AH68" i="29" s="1"/>
  <c r="Z70" i="29"/>
  <c r="Z347" i="26"/>
  <c r="Z68" i="27" s="1"/>
  <c r="Z314" i="26"/>
  <c r="AA313" i="26"/>
  <c r="AC313" i="26" s="1"/>
  <c r="Z312" i="26"/>
  <c r="O74" i="27"/>
  <c r="O74" i="29" s="1"/>
  <c r="T74" i="27"/>
  <c r="T74" i="29" s="1"/>
  <c r="BM35" i="27"/>
  <c r="BM35" i="29" s="1"/>
  <c r="AA4" i="26"/>
  <c r="AC4" i="26" s="1"/>
  <c r="V74" i="27"/>
  <c r="V74" i="29" s="1"/>
  <c r="BO35" i="27"/>
  <c r="BO35" i="29" s="1"/>
  <c r="Z248" i="26"/>
  <c r="Q73" i="27" s="1"/>
  <c r="Q73" i="29" s="1"/>
  <c r="EC11" i="27"/>
  <c r="EC11" i="29" s="1"/>
  <c r="I74" i="27"/>
  <c r="I74" i="29" s="1"/>
  <c r="H74" i="27"/>
  <c r="H74" i="29" s="1"/>
  <c r="AA68" i="27"/>
  <c r="AA68" i="29" s="1"/>
  <c r="AJ68" i="27"/>
  <c r="AJ68" i="29" s="1"/>
  <c r="K74" i="27"/>
  <c r="K74" i="29" s="1"/>
  <c r="X74" i="27"/>
  <c r="X74" i="29" s="1"/>
  <c r="BQ35" i="27"/>
  <c r="BQ35" i="29" s="1"/>
  <c r="EE11" i="27"/>
  <c r="EE11" i="29" s="1"/>
  <c r="CE32" i="27"/>
  <c r="CE32" i="29" s="1"/>
  <c r="AB68" i="27"/>
  <c r="AB68" i="29" s="1"/>
  <c r="BV33" i="27"/>
  <c r="BV33" i="29" s="1"/>
  <c r="S74" i="27"/>
  <c r="S74" i="29" s="1"/>
  <c r="EA11" i="27"/>
  <c r="EA11" i="29" s="1"/>
  <c r="W74" i="27"/>
  <c r="W74" i="29" s="1"/>
  <c r="BI35" i="27"/>
  <c r="BI35" i="29" s="1"/>
  <c r="BN35" i="27"/>
  <c r="BN35" i="29" s="1"/>
  <c r="ED11" i="27"/>
  <c r="ED11" i="29" s="1"/>
  <c r="J74" i="27"/>
  <c r="J74" i="29" s="1"/>
  <c r="F75" i="27"/>
  <c r="F75" i="29" s="1"/>
  <c r="BR35" i="27"/>
  <c r="BR35" i="29" s="1"/>
  <c r="EF11" i="27"/>
  <c r="EF11" i="29" s="1"/>
  <c r="CF32" i="27"/>
  <c r="CF32" i="29" s="1"/>
  <c r="AC68" i="27"/>
  <c r="AC68" i="29" s="1"/>
  <c r="M74" i="27"/>
  <c r="M74" i="29" s="1"/>
  <c r="P74" i="27"/>
  <c r="P74" i="29" s="1"/>
  <c r="BT35" i="27"/>
  <c r="BT35" i="29" s="1"/>
  <c r="Z825" i="26"/>
  <c r="DV10" i="27" s="1"/>
  <c r="DV10" i="29" s="1"/>
  <c r="Q74" i="27"/>
  <c r="Q74" i="29" s="1"/>
  <c r="AA109" i="26"/>
  <c r="AC109" i="26" s="1"/>
  <c r="BD35" i="27"/>
  <c r="BD35" i="29" s="1"/>
  <c r="C53" i="27"/>
  <c r="C53" i="29" s="1"/>
  <c r="EB11" i="27"/>
  <c r="EB11" i="29" s="1"/>
  <c r="AL68" i="27"/>
  <c r="AL68" i="29" s="1"/>
  <c r="R74" i="27"/>
  <c r="R74" i="29" s="1"/>
  <c r="AD68" i="27"/>
  <c r="AD68" i="29" s="1"/>
  <c r="ER30" i="27"/>
  <c r="ER30" i="29" s="1"/>
  <c r="EQ30" i="27"/>
  <c r="EQ30" i="29" s="1"/>
  <c r="EP30" i="27"/>
  <c r="EP30" i="29" s="1"/>
  <c r="EO30" i="27"/>
  <c r="EO30" i="29" s="1"/>
  <c r="EN30" i="27"/>
  <c r="EN30" i="29" s="1"/>
  <c r="EM30" i="27"/>
  <c r="EM30" i="29" s="1"/>
  <c r="EL30" i="27"/>
  <c r="EL30" i="29" s="1"/>
  <c r="EI30" i="27"/>
  <c r="EI30" i="29" s="1"/>
  <c r="ET30" i="27"/>
  <c r="ET30" i="29" s="1"/>
  <c r="ED30" i="27"/>
  <c r="ED30" i="29" s="1"/>
  <c r="EU30" i="27"/>
  <c r="EU30" i="29" s="1"/>
  <c r="ES30" i="27"/>
  <c r="ES30" i="29" s="1"/>
  <c r="EK30" i="27"/>
  <c r="EK30" i="29" s="1"/>
  <c r="EE30" i="27"/>
  <c r="EE30" i="29" s="1"/>
  <c r="EC30" i="27"/>
  <c r="EC30" i="29" s="1"/>
  <c r="Z792" i="26"/>
  <c r="EG30" i="27"/>
  <c r="EG30" i="29" s="1"/>
  <c r="EF30" i="27"/>
  <c r="EF30" i="29" s="1"/>
  <c r="Z21" i="26"/>
  <c r="AA22" i="26"/>
  <c r="AC22" i="26" s="1"/>
  <c r="EJ30" i="27"/>
  <c r="EJ30" i="29" s="1"/>
  <c r="EH30" i="27"/>
  <c r="EH30" i="29" s="1"/>
  <c r="CO55" i="27"/>
  <c r="CO55" i="29" s="1"/>
  <c r="CR55" i="27"/>
  <c r="CR55" i="29" s="1"/>
  <c r="CQ55" i="27"/>
  <c r="CQ55" i="29" s="1"/>
  <c r="CP55" i="27"/>
  <c r="CP55" i="29" s="1"/>
  <c r="CJ55" i="27"/>
  <c r="CJ55" i="29" s="1"/>
  <c r="CH55" i="27"/>
  <c r="CH55" i="29" s="1"/>
  <c r="CW55" i="27"/>
  <c r="CW55" i="29" s="1"/>
  <c r="CU55" i="27"/>
  <c r="CU55" i="29" s="1"/>
  <c r="CT55" i="27"/>
  <c r="CT55" i="29" s="1"/>
  <c r="CS55" i="27"/>
  <c r="CS55" i="29" s="1"/>
  <c r="CN55" i="27"/>
  <c r="CN55" i="29" s="1"/>
  <c r="CM55" i="27"/>
  <c r="CM55" i="29" s="1"/>
  <c r="CL55" i="27"/>
  <c r="CL55" i="29" s="1"/>
  <c r="CK55" i="27"/>
  <c r="CK55" i="29" s="1"/>
  <c r="CI55" i="27"/>
  <c r="CI55" i="29" s="1"/>
  <c r="CV55" i="27"/>
  <c r="CV55" i="29" s="1"/>
  <c r="CG55" i="27"/>
  <c r="CG55" i="29" s="1"/>
  <c r="CF55" i="27"/>
  <c r="CF55" i="29" s="1"/>
  <c r="CE55" i="27"/>
  <c r="CE55" i="29" s="1"/>
  <c r="CD55" i="27"/>
  <c r="CD55" i="29" s="1"/>
  <c r="CC55" i="27"/>
  <c r="CC55" i="29" s="1"/>
  <c r="Z149" i="26"/>
  <c r="AA148" i="26"/>
  <c r="AC148" i="26" s="1"/>
  <c r="DG34" i="27"/>
  <c r="DG34" i="29" s="1"/>
  <c r="CQ34" i="27"/>
  <c r="CQ34" i="29" s="1"/>
  <c r="DB34" i="27"/>
  <c r="DB34" i="29" s="1"/>
  <c r="DA34" i="27"/>
  <c r="DA34" i="29" s="1"/>
  <c r="CZ34" i="27"/>
  <c r="CZ34" i="29" s="1"/>
  <c r="CY34" i="27"/>
  <c r="CY34" i="29" s="1"/>
  <c r="CX34" i="27"/>
  <c r="CX34" i="29" s="1"/>
  <c r="CW34" i="27"/>
  <c r="CW34" i="29" s="1"/>
  <c r="CV34" i="27"/>
  <c r="CV34" i="29" s="1"/>
  <c r="CS34" i="27"/>
  <c r="CS34" i="29" s="1"/>
  <c r="DD34" i="27"/>
  <c r="DD34" i="29" s="1"/>
  <c r="DH34" i="27"/>
  <c r="DH34" i="29" s="1"/>
  <c r="DF34" i="27"/>
  <c r="DF34" i="29" s="1"/>
  <c r="DE34" i="27"/>
  <c r="DE34" i="29" s="1"/>
  <c r="DC34" i="27"/>
  <c r="DC34" i="29" s="1"/>
  <c r="CU34" i="27"/>
  <c r="CU34" i="29" s="1"/>
  <c r="CT34" i="27"/>
  <c r="CT34" i="29" s="1"/>
  <c r="CR34" i="27"/>
  <c r="CR34" i="29" s="1"/>
  <c r="AA75" i="26"/>
  <c r="AC75" i="26" s="1"/>
  <c r="Z76" i="26"/>
  <c r="AU67" i="27"/>
  <c r="AU67" i="29" s="1"/>
  <c r="AE67" i="27"/>
  <c r="AE67" i="29" s="1"/>
  <c r="AT67" i="27"/>
  <c r="AT67" i="29" s="1"/>
  <c r="AD67" i="27"/>
  <c r="AD67" i="29" s="1"/>
  <c r="AS67" i="27"/>
  <c r="AS67" i="29" s="1"/>
  <c r="AC67" i="27"/>
  <c r="AC67" i="29" s="1"/>
  <c r="AQ67" i="27"/>
  <c r="AQ67" i="29" s="1"/>
  <c r="AA67" i="27"/>
  <c r="AA67" i="29" s="1"/>
  <c r="AO67" i="27"/>
  <c r="AO67" i="29" s="1"/>
  <c r="AR67" i="27"/>
  <c r="AR67" i="29" s="1"/>
  <c r="AP67" i="27"/>
  <c r="AP67" i="29" s="1"/>
  <c r="AN67" i="27"/>
  <c r="AN67" i="29" s="1"/>
  <c r="AM67" i="27"/>
  <c r="AM67" i="29" s="1"/>
  <c r="AL67" i="27"/>
  <c r="AL67" i="29" s="1"/>
  <c r="AK67" i="27"/>
  <c r="AK67" i="29" s="1"/>
  <c r="AG67" i="27"/>
  <c r="AG67" i="29" s="1"/>
  <c r="AF67" i="27"/>
  <c r="AF67" i="29" s="1"/>
  <c r="AB67" i="27"/>
  <c r="AB67" i="29" s="1"/>
  <c r="AH67" i="27"/>
  <c r="AH67" i="29" s="1"/>
  <c r="AI67" i="27"/>
  <c r="AI67" i="29" s="1"/>
  <c r="AA210" i="26"/>
  <c r="AC210" i="26" s="1"/>
  <c r="AJ67" i="27"/>
  <c r="AJ67" i="29" s="1"/>
  <c r="Z209" i="26"/>
  <c r="EW32" i="27"/>
  <c r="EW32" i="29" s="1"/>
  <c r="EX32" i="27"/>
  <c r="EX32" i="29" s="1"/>
  <c r="EV32" i="27"/>
  <c r="EV32" i="29" s="1"/>
  <c r="AA771" i="26"/>
  <c r="AC771" i="26" s="1"/>
  <c r="CU32" i="27"/>
  <c r="CU32" i="29" s="1"/>
  <c r="CS32" i="27"/>
  <c r="CS32" i="29" s="1"/>
  <c r="CR32" i="27"/>
  <c r="CR32" i="29" s="1"/>
  <c r="DH32" i="27"/>
  <c r="DH32" i="29" s="1"/>
  <c r="CQ32" i="27"/>
  <c r="CQ32" i="29" s="1"/>
  <c r="DG32" i="27"/>
  <c r="DG32" i="29" s="1"/>
  <c r="DF32" i="27"/>
  <c r="DF32" i="29" s="1"/>
  <c r="DE32" i="27"/>
  <c r="DE32" i="29" s="1"/>
  <c r="DD32" i="27"/>
  <c r="DD32" i="29" s="1"/>
  <c r="DA32" i="27"/>
  <c r="DA32" i="29" s="1"/>
  <c r="CV32" i="27"/>
  <c r="CV32" i="29" s="1"/>
  <c r="DC32" i="27"/>
  <c r="DC32" i="29" s="1"/>
  <c r="DB32" i="27"/>
  <c r="DB32" i="29" s="1"/>
  <c r="CZ32" i="27"/>
  <c r="CZ32" i="29" s="1"/>
  <c r="CY32" i="27"/>
  <c r="CY32" i="29" s="1"/>
  <c r="CX32" i="27"/>
  <c r="CX32" i="29" s="1"/>
  <c r="CW32" i="27"/>
  <c r="CW32" i="29" s="1"/>
  <c r="CT32" i="27"/>
  <c r="CT32" i="29" s="1"/>
  <c r="AA73" i="26"/>
  <c r="AC73" i="26" s="1"/>
  <c r="Z72" i="26"/>
  <c r="BL50" i="27"/>
  <c r="BL50" i="29" s="1"/>
  <c r="BZ50" i="27"/>
  <c r="BZ50" i="29" s="1"/>
  <c r="BJ50" i="27"/>
  <c r="BJ50" i="29" s="1"/>
  <c r="BS50" i="27"/>
  <c r="BS50" i="29" s="1"/>
  <c r="BY50" i="27"/>
  <c r="BY50" i="29" s="1"/>
  <c r="BF50" i="27"/>
  <c r="BF50" i="29" s="1"/>
  <c r="BW50" i="27"/>
  <c r="BW50" i="29" s="1"/>
  <c r="BV50" i="27"/>
  <c r="BV50" i="29" s="1"/>
  <c r="BU50" i="27"/>
  <c r="BU50" i="29" s="1"/>
  <c r="BT50" i="27"/>
  <c r="BT50" i="29" s="1"/>
  <c r="BR50" i="27"/>
  <c r="BR50" i="29" s="1"/>
  <c r="BQ50" i="27"/>
  <c r="BQ50" i="29" s="1"/>
  <c r="BP50" i="27"/>
  <c r="BP50" i="29" s="1"/>
  <c r="BN50" i="27"/>
  <c r="BN50" i="29" s="1"/>
  <c r="BG50" i="27"/>
  <c r="BG50" i="29" s="1"/>
  <c r="BX50" i="27"/>
  <c r="BX50" i="29" s="1"/>
  <c r="BO50" i="27"/>
  <c r="BO50" i="29" s="1"/>
  <c r="BM50" i="27"/>
  <c r="BM50" i="29" s="1"/>
  <c r="Z163" i="26"/>
  <c r="BK50" i="27"/>
  <c r="BK50" i="29" s="1"/>
  <c r="BI50" i="27"/>
  <c r="BI50" i="29" s="1"/>
  <c r="BH50" i="27"/>
  <c r="BH50" i="29" s="1"/>
  <c r="AA164" i="26"/>
  <c r="AC164" i="26" s="1"/>
  <c r="Z557" i="26"/>
  <c r="CZ68" i="27"/>
  <c r="CZ68" i="29" s="1"/>
  <c r="CY68" i="27"/>
  <c r="CY68" i="29" s="1"/>
  <c r="CX68" i="27"/>
  <c r="CX68" i="29" s="1"/>
  <c r="CW68" i="27"/>
  <c r="CW68" i="29" s="1"/>
  <c r="CV68" i="27"/>
  <c r="CV68" i="29" s="1"/>
  <c r="DK68" i="27"/>
  <c r="DK68" i="29" s="1"/>
  <c r="CU68" i="27"/>
  <c r="CU68" i="29" s="1"/>
  <c r="DJ68" i="27"/>
  <c r="DJ68" i="29" s="1"/>
  <c r="CT68" i="27"/>
  <c r="CT68" i="29" s="1"/>
  <c r="DI68" i="27"/>
  <c r="DI68" i="29" s="1"/>
  <c r="CS68" i="27"/>
  <c r="CS68" i="29" s="1"/>
  <c r="DB68" i="27"/>
  <c r="DB68" i="29" s="1"/>
  <c r="DF68" i="27"/>
  <c r="DF68" i="29" s="1"/>
  <c r="DE68" i="27"/>
  <c r="DE68" i="29" s="1"/>
  <c r="DD68" i="27"/>
  <c r="DD68" i="29" s="1"/>
  <c r="DC68" i="27"/>
  <c r="DC68" i="29" s="1"/>
  <c r="DA68" i="27"/>
  <c r="DA68" i="29" s="1"/>
  <c r="CR68" i="27"/>
  <c r="CR68" i="29" s="1"/>
  <c r="CQ68" i="27"/>
  <c r="CQ68" i="29" s="1"/>
  <c r="AA175" i="26"/>
  <c r="AC175" i="26" s="1"/>
  <c r="Z176" i="26"/>
  <c r="Z487" i="26" s="1"/>
  <c r="DH68" i="27"/>
  <c r="DH68" i="29" s="1"/>
  <c r="DG68" i="27"/>
  <c r="DG68" i="29" s="1"/>
  <c r="CU53" i="27"/>
  <c r="CU53" i="29" s="1"/>
  <c r="CE53" i="27"/>
  <c r="CE53" i="29" s="1"/>
  <c r="CJ53" i="27"/>
  <c r="CJ53" i="29" s="1"/>
  <c r="CI53" i="27"/>
  <c r="CI53" i="29" s="1"/>
  <c r="CH53" i="27"/>
  <c r="CH53" i="29" s="1"/>
  <c r="CS53" i="27"/>
  <c r="CS53" i="29" s="1"/>
  <c r="CQ53" i="27"/>
  <c r="CQ53" i="29" s="1"/>
  <c r="CN53" i="27"/>
  <c r="CN53" i="29" s="1"/>
  <c r="CL53" i="27"/>
  <c r="CL53" i="29" s="1"/>
  <c r="CK53" i="27"/>
  <c r="CK53" i="29" s="1"/>
  <c r="CG53" i="27"/>
  <c r="CG53" i="29" s="1"/>
  <c r="CF53" i="27"/>
  <c r="CF53" i="29" s="1"/>
  <c r="CD53" i="27"/>
  <c r="CD53" i="29" s="1"/>
  <c r="CC53" i="27"/>
  <c r="CC53" i="29" s="1"/>
  <c r="CM53" i="27"/>
  <c r="CM53" i="29" s="1"/>
  <c r="CP53" i="27"/>
  <c r="CP53" i="29" s="1"/>
  <c r="CO53" i="27"/>
  <c r="CO53" i="29" s="1"/>
  <c r="CT53" i="27"/>
  <c r="CT53" i="29" s="1"/>
  <c r="CR53" i="27"/>
  <c r="CR53" i="29" s="1"/>
  <c r="CW53" i="27"/>
  <c r="CW53" i="29" s="1"/>
  <c r="CV53" i="27"/>
  <c r="CV53" i="29" s="1"/>
  <c r="Z145" i="26"/>
  <c r="AA146" i="26"/>
  <c r="AC146" i="26" s="1"/>
  <c r="AM71" i="27"/>
  <c r="AM71" i="29" s="1"/>
  <c r="AL71" i="27"/>
  <c r="AL71" i="29" s="1"/>
  <c r="AK71" i="27"/>
  <c r="AK71" i="29" s="1"/>
  <c r="AT71" i="27"/>
  <c r="AT71" i="29" s="1"/>
  <c r="AA71" i="27"/>
  <c r="AA71" i="29" s="1"/>
  <c r="AS71" i="27"/>
  <c r="AS71" i="29" s="1"/>
  <c r="AR71" i="27"/>
  <c r="AR71" i="29" s="1"/>
  <c r="AQ71" i="27"/>
  <c r="AQ71" i="29" s="1"/>
  <c r="AP71" i="27"/>
  <c r="AP71" i="29" s="1"/>
  <c r="AO71" i="27"/>
  <c r="AO71" i="29" s="1"/>
  <c r="AN71" i="27"/>
  <c r="AN71" i="29" s="1"/>
  <c r="AJ71" i="27"/>
  <c r="AJ71" i="29" s="1"/>
  <c r="AC71" i="27"/>
  <c r="AC71" i="29" s="1"/>
  <c r="AU71" i="27"/>
  <c r="AU71" i="29" s="1"/>
  <c r="AI71" i="27"/>
  <c r="AI71" i="29" s="1"/>
  <c r="AH71" i="27"/>
  <c r="AH71" i="29" s="1"/>
  <c r="AG71" i="27"/>
  <c r="AG71" i="29" s="1"/>
  <c r="AF71" i="27"/>
  <c r="AF71" i="29" s="1"/>
  <c r="AE71" i="27"/>
  <c r="AE71" i="29" s="1"/>
  <c r="AD71" i="27"/>
  <c r="AD71" i="29" s="1"/>
  <c r="AB71" i="27"/>
  <c r="AB71" i="29" s="1"/>
  <c r="AA214" i="26"/>
  <c r="AC214" i="26" s="1"/>
  <c r="Z215" i="26"/>
  <c r="BY34" i="27"/>
  <c r="BY34" i="29" s="1"/>
  <c r="CI34" i="27"/>
  <c r="CI34" i="29" s="1"/>
  <c r="CH34" i="27"/>
  <c r="CH34" i="29" s="1"/>
  <c r="CG34" i="27"/>
  <c r="CG34" i="29" s="1"/>
  <c r="CF34" i="27"/>
  <c r="CF34" i="29" s="1"/>
  <c r="CE34" i="27"/>
  <c r="CE34" i="29" s="1"/>
  <c r="CD34" i="27"/>
  <c r="CD34" i="29" s="1"/>
  <c r="CC34" i="27"/>
  <c r="CC34" i="29" s="1"/>
  <c r="BZ34" i="27"/>
  <c r="BZ34" i="29" s="1"/>
  <c r="CK34" i="27"/>
  <c r="CK34" i="29" s="1"/>
  <c r="CN34" i="27"/>
  <c r="CN34" i="29" s="1"/>
  <c r="CB34" i="27"/>
  <c r="CB34" i="29" s="1"/>
  <c r="CA34" i="27"/>
  <c r="CA34" i="29" s="1"/>
  <c r="BX34" i="27"/>
  <c r="BX34" i="29" s="1"/>
  <c r="BW34" i="27"/>
  <c r="BW34" i="29" s="1"/>
  <c r="CL34" i="27"/>
  <c r="CL34" i="29" s="1"/>
  <c r="AA93" i="26"/>
  <c r="AC93" i="26" s="1"/>
  <c r="CJ34" i="27"/>
  <c r="CJ34" i="29" s="1"/>
  <c r="CM34" i="27"/>
  <c r="CM34" i="29" s="1"/>
  <c r="Z94" i="26"/>
  <c r="Z618" i="26" s="1"/>
  <c r="L54" i="27"/>
  <c r="L54" i="29" s="1"/>
  <c r="U54" i="27"/>
  <c r="U54" i="29" s="1"/>
  <c r="T54" i="27"/>
  <c r="T54" i="29" s="1"/>
  <c r="S54" i="27"/>
  <c r="S54" i="29" s="1"/>
  <c r="N54" i="27"/>
  <c r="N54" i="29" s="1"/>
  <c r="K54" i="27"/>
  <c r="K54" i="29" s="1"/>
  <c r="G54" i="27"/>
  <c r="G54" i="29" s="1"/>
  <c r="Y54" i="27"/>
  <c r="Y54" i="29" s="1"/>
  <c r="X54" i="27"/>
  <c r="X54" i="29" s="1"/>
  <c r="W54" i="27"/>
  <c r="W54" i="29" s="1"/>
  <c r="V54" i="27"/>
  <c r="V54" i="29" s="1"/>
  <c r="R54" i="27"/>
  <c r="R54" i="29" s="1"/>
  <c r="Q54" i="27"/>
  <c r="Q54" i="29" s="1"/>
  <c r="I54" i="27"/>
  <c r="I54" i="29" s="1"/>
  <c r="H54" i="27"/>
  <c r="H54" i="29" s="1"/>
  <c r="F54" i="27"/>
  <c r="F54" i="29" s="1"/>
  <c r="M54" i="27"/>
  <c r="M54" i="29" s="1"/>
  <c r="J54" i="27"/>
  <c r="J54" i="29" s="1"/>
  <c r="Z232" i="26"/>
  <c r="P54" i="27"/>
  <c r="P54" i="29" s="1"/>
  <c r="O54" i="27"/>
  <c r="O54" i="29" s="1"/>
  <c r="AA231" i="26"/>
  <c r="AC231" i="26" s="1"/>
  <c r="BK33" i="27"/>
  <c r="BK33" i="29" s="1"/>
  <c r="BN33" i="27"/>
  <c r="BN33" i="29" s="1"/>
  <c r="BM33" i="27"/>
  <c r="BM33" i="29" s="1"/>
  <c r="BL33" i="27"/>
  <c r="BL33" i="29" s="1"/>
  <c r="BJ33" i="27"/>
  <c r="BJ33" i="29" s="1"/>
  <c r="BI33" i="27"/>
  <c r="BI33" i="29" s="1"/>
  <c r="BH33" i="27"/>
  <c r="BH33" i="29" s="1"/>
  <c r="BG33" i="27"/>
  <c r="BG33" i="29" s="1"/>
  <c r="BU33" i="27"/>
  <c r="BU33" i="29" s="1"/>
  <c r="BD33" i="27"/>
  <c r="BD33" i="29" s="1"/>
  <c r="BP33" i="27"/>
  <c r="BP33" i="29" s="1"/>
  <c r="BB33" i="27"/>
  <c r="BB33" i="29" s="1"/>
  <c r="BT33" i="27"/>
  <c r="BT33" i="29" s="1"/>
  <c r="BS33" i="27"/>
  <c r="BS33" i="29" s="1"/>
  <c r="BR33" i="27"/>
  <c r="BR33" i="29" s="1"/>
  <c r="BQ33" i="27"/>
  <c r="BQ33" i="29" s="1"/>
  <c r="BO33" i="27"/>
  <c r="BO33" i="29" s="1"/>
  <c r="BF33" i="27"/>
  <c r="BF33" i="29" s="1"/>
  <c r="BE33" i="27"/>
  <c r="BE33" i="29" s="1"/>
  <c r="Z106" i="26"/>
  <c r="AA107" i="26"/>
  <c r="AC107" i="26" s="1"/>
  <c r="BC33" i="27"/>
  <c r="BC33" i="29" s="1"/>
  <c r="AA349" i="26"/>
  <c r="AC349" i="26" s="1"/>
  <c r="Z71" i="27"/>
  <c r="Z71" i="29" s="1"/>
  <c r="CN69" i="27"/>
  <c r="CN69" i="29" s="1"/>
  <c r="BX69" i="27"/>
  <c r="BX69" i="29" s="1"/>
  <c r="CM69" i="27"/>
  <c r="CM69" i="29" s="1"/>
  <c r="BW69" i="27"/>
  <c r="BW69" i="29" s="1"/>
  <c r="CL69" i="27"/>
  <c r="CL69" i="29" s="1"/>
  <c r="BV69" i="27"/>
  <c r="BV69" i="29" s="1"/>
  <c r="CK69" i="27"/>
  <c r="CK69" i="29" s="1"/>
  <c r="BU69" i="27"/>
  <c r="BU69" i="29" s="1"/>
  <c r="CJ69" i="27"/>
  <c r="CJ69" i="29" s="1"/>
  <c r="BT69" i="27"/>
  <c r="BT69" i="29" s="1"/>
  <c r="CI69" i="27"/>
  <c r="CI69" i="29" s="1"/>
  <c r="CH69" i="27"/>
  <c r="CH69" i="29" s="1"/>
  <c r="CG69" i="27"/>
  <c r="CG69" i="29" s="1"/>
  <c r="BZ69" i="27"/>
  <c r="BZ69" i="29" s="1"/>
  <c r="CA69" i="27"/>
  <c r="CA69" i="29" s="1"/>
  <c r="BY69" i="27"/>
  <c r="BY69" i="29" s="1"/>
  <c r="CD69" i="27"/>
  <c r="CD69" i="29" s="1"/>
  <c r="CC69" i="27"/>
  <c r="CC69" i="29" s="1"/>
  <c r="CB69" i="27"/>
  <c r="CB69" i="29" s="1"/>
  <c r="CO69" i="27"/>
  <c r="CO69" i="29" s="1"/>
  <c r="CF69" i="27"/>
  <c r="CF69" i="29" s="1"/>
  <c r="CE69" i="27"/>
  <c r="CE69" i="29" s="1"/>
  <c r="AA185" i="26"/>
  <c r="AC185" i="26" s="1"/>
  <c r="Z186" i="26"/>
  <c r="Z446" i="26" s="1"/>
  <c r="R73" i="27"/>
  <c r="R73" i="29" s="1"/>
  <c r="S73" i="27"/>
  <c r="S73" i="29" s="1"/>
  <c r="O73" i="27"/>
  <c r="O73" i="29" s="1"/>
  <c r="L73" i="27"/>
  <c r="L73" i="29" s="1"/>
  <c r="K73" i="27"/>
  <c r="K73" i="29" s="1"/>
  <c r="J73" i="27"/>
  <c r="J73" i="29" s="1"/>
  <c r="EA45" i="27"/>
  <c r="EA45" i="29" s="1"/>
  <c r="DY45" i="27"/>
  <c r="DY45" i="29" s="1"/>
  <c r="EJ45" i="27"/>
  <c r="EJ45" i="29" s="1"/>
  <c r="EH45" i="27"/>
  <c r="EH45" i="29" s="1"/>
  <c r="EG45" i="27"/>
  <c r="EG45" i="29" s="1"/>
  <c r="ED45" i="27"/>
  <c r="ED45" i="29" s="1"/>
  <c r="EC45" i="27"/>
  <c r="EC45" i="29" s="1"/>
  <c r="EB45" i="27"/>
  <c r="EB45" i="29" s="1"/>
  <c r="DW45" i="27"/>
  <c r="DW45" i="29" s="1"/>
  <c r="DV45" i="27"/>
  <c r="DV45" i="29" s="1"/>
  <c r="DZ45" i="27"/>
  <c r="DZ45" i="29" s="1"/>
  <c r="DX45" i="27"/>
  <c r="DX45" i="29" s="1"/>
  <c r="EK45" i="27"/>
  <c r="EK45" i="29" s="1"/>
  <c r="EI45" i="27"/>
  <c r="EI45" i="29" s="1"/>
  <c r="EF45" i="27"/>
  <c r="EF45" i="29" s="1"/>
  <c r="EE45" i="27"/>
  <c r="EE45" i="29" s="1"/>
  <c r="AA35" i="26"/>
  <c r="AC35" i="26" s="1"/>
  <c r="Z36" i="26"/>
  <c r="W77" i="27"/>
  <c r="W77" i="29" s="1"/>
  <c r="V77" i="27"/>
  <c r="V77" i="29" s="1"/>
  <c r="U77" i="27"/>
  <c r="U77" i="29" s="1"/>
  <c r="T77" i="27"/>
  <c r="T77" i="29" s="1"/>
  <c r="S77" i="27"/>
  <c r="S77" i="29" s="1"/>
  <c r="R77" i="27"/>
  <c r="R77" i="29" s="1"/>
  <c r="N77" i="27"/>
  <c r="N77" i="29" s="1"/>
  <c r="O77" i="27"/>
  <c r="O77" i="29" s="1"/>
  <c r="M77" i="27"/>
  <c r="M77" i="29" s="1"/>
  <c r="L77" i="27"/>
  <c r="L77" i="29" s="1"/>
  <c r="K77" i="27"/>
  <c r="K77" i="29" s="1"/>
  <c r="J77" i="27"/>
  <c r="J77" i="29" s="1"/>
  <c r="I77" i="27"/>
  <c r="I77" i="29" s="1"/>
  <c r="H77" i="27"/>
  <c r="H77" i="29" s="1"/>
  <c r="Q77" i="27"/>
  <c r="Q77" i="29" s="1"/>
  <c r="Y77" i="27"/>
  <c r="Y77" i="29" s="1"/>
  <c r="X77" i="27"/>
  <c r="X77" i="29" s="1"/>
  <c r="P77" i="27"/>
  <c r="P77" i="29" s="1"/>
  <c r="AA252" i="26"/>
  <c r="AC252" i="26" s="1"/>
  <c r="Z253" i="26"/>
  <c r="DZ9" i="27"/>
  <c r="DZ9" i="29" s="1"/>
  <c r="EH9" i="27"/>
  <c r="EH9" i="29" s="1"/>
  <c r="EG9" i="27"/>
  <c r="EG9" i="29" s="1"/>
  <c r="EF9" i="27"/>
  <c r="EF9" i="29" s="1"/>
  <c r="EE9" i="27"/>
  <c r="EE9" i="29" s="1"/>
  <c r="ED9" i="27"/>
  <c r="ED9" i="29" s="1"/>
  <c r="EC9" i="27"/>
  <c r="EC9" i="29" s="1"/>
  <c r="EB9" i="27"/>
  <c r="EB9" i="29" s="1"/>
  <c r="EA9" i="27"/>
  <c r="EA9" i="29" s="1"/>
  <c r="DY9" i="27"/>
  <c r="DY9" i="29" s="1"/>
  <c r="DX9" i="27"/>
  <c r="DX9" i="29" s="1"/>
  <c r="DW9" i="27"/>
  <c r="DW9" i="29" s="1"/>
  <c r="DV9" i="27"/>
  <c r="DV9" i="29" s="1"/>
  <c r="AA822" i="26"/>
  <c r="AC822" i="26" s="1"/>
  <c r="Z821" i="26"/>
  <c r="EQ33" i="27"/>
  <c r="EQ33" i="29" s="1"/>
  <c r="EH33" i="27"/>
  <c r="EH33" i="29" s="1"/>
  <c r="EG33" i="27"/>
  <c r="EG33" i="29" s="1"/>
  <c r="EF33" i="27"/>
  <c r="EF33" i="29" s="1"/>
  <c r="EE33" i="27"/>
  <c r="EE33" i="29" s="1"/>
  <c r="EU33" i="27"/>
  <c r="EU33" i="29" s="1"/>
  <c r="ED33" i="27"/>
  <c r="ED33" i="29" s="1"/>
  <c r="ET33" i="27"/>
  <c r="ET33" i="29" s="1"/>
  <c r="EC33" i="27"/>
  <c r="EC33" i="29" s="1"/>
  <c r="ES33" i="27"/>
  <c r="ES33" i="29" s="1"/>
  <c r="EO33" i="27"/>
  <c r="EO33" i="29" s="1"/>
  <c r="EJ33" i="27"/>
  <c r="EJ33" i="29" s="1"/>
  <c r="EI33" i="27"/>
  <c r="EI33" i="29" s="1"/>
  <c r="Z772" i="26"/>
  <c r="ER33" i="27"/>
  <c r="ER33" i="29" s="1"/>
  <c r="EP33" i="27"/>
  <c r="EP33" i="29" s="1"/>
  <c r="EN33" i="27"/>
  <c r="EN33" i="29" s="1"/>
  <c r="EL33" i="27"/>
  <c r="EL33" i="29" s="1"/>
  <c r="AA25" i="26"/>
  <c r="AC25" i="26" s="1"/>
  <c r="Z26" i="26"/>
  <c r="EM33" i="27"/>
  <c r="EM33" i="29" s="1"/>
  <c r="EK33" i="27"/>
  <c r="EK33" i="29" s="1"/>
  <c r="DF55" i="27"/>
  <c r="DF55" i="29" s="1"/>
  <c r="DJ55" i="27"/>
  <c r="DJ55" i="29" s="1"/>
  <c r="DI55" i="27"/>
  <c r="DI55" i="29" s="1"/>
  <c r="DH55" i="27"/>
  <c r="DH55" i="29" s="1"/>
  <c r="DS55" i="27"/>
  <c r="DS55" i="29" s="1"/>
  <c r="DB55" i="27"/>
  <c r="DB55" i="29" s="1"/>
  <c r="DQ55" i="27"/>
  <c r="DQ55" i="29" s="1"/>
  <c r="CZ55" i="27"/>
  <c r="CZ55" i="29" s="1"/>
  <c r="DR55" i="27"/>
  <c r="DR55" i="29" s="1"/>
  <c r="DP55" i="27"/>
  <c r="DP55" i="29" s="1"/>
  <c r="DO55" i="27"/>
  <c r="DO55" i="29" s="1"/>
  <c r="DN55" i="27"/>
  <c r="DN55" i="29" s="1"/>
  <c r="DM55" i="27"/>
  <c r="DM55" i="29" s="1"/>
  <c r="DL55" i="27"/>
  <c r="DL55" i="29" s="1"/>
  <c r="DK55" i="27"/>
  <c r="DK55" i="29" s="1"/>
  <c r="CY55" i="27"/>
  <c r="CY55" i="29" s="1"/>
  <c r="DC55" i="27"/>
  <c r="DC55" i="29" s="1"/>
  <c r="DA55" i="27"/>
  <c r="DA55" i="29" s="1"/>
  <c r="DG55" i="27"/>
  <c r="DG55" i="29" s="1"/>
  <c r="DE55" i="27"/>
  <c r="DE55" i="29" s="1"/>
  <c r="DD55" i="27"/>
  <c r="DD55" i="29" s="1"/>
  <c r="Z128" i="26"/>
  <c r="Z546" i="26" s="1"/>
  <c r="AA127" i="26"/>
  <c r="AC127" i="26" s="1"/>
  <c r="EA30" i="27"/>
  <c r="EA30" i="29" s="1"/>
  <c r="DK30" i="27"/>
  <c r="DK30" i="29" s="1"/>
  <c r="DZ30" i="27"/>
  <c r="DZ30" i="29" s="1"/>
  <c r="DJ30" i="27"/>
  <c r="DJ30" i="29" s="1"/>
  <c r="DY30" i="27"/>
  <c r="DY30" i="29" s="1"/>
  <c r="DX30" i="27"/>
  <c r="DX30" i="29" s="1"/>
  <c r="DW30" i="27"/>
  <c r="DW30" i="29" s="1"/>
  <c r="DV30" i="27"/>
  <c r="DV30" i="29" s="1"/>
  <c r="DU30" i="27"/>
  <c r="DU30" i="29" s="1"/>
  <c r="DR30" i="27"/>
  <c r="DR30" i="29" s="1"/>
  <c r="DM30" i="27"/>
  <c r="DM30" i="29" s="1"/>
  <c r="DS30" i="27"/>
  <c r="DS30" i="29" s="1"/>
  <c r="DQ30" i="27"/>
  <c r="DQ30" i="29" s="1"/>
  <c r="DP30" i="27"/>
  <c r="DP30" i="29" s="1"/>
  <c r="DO30" i="27"/>
  <c r="DO30" i="29" s="1"/>
  <c r="DN30" i="27"/>
  <c r="DN30" i="29" s="1"/>
  <c r="DL30" i="27"/>
  <c r="DL30" i="29" s="1"/>
  <c r="DT30" i="27"/>
  <c r="DT30" i="29" s="1"/>
  <c r="AA55" i="26"/>
  <c r="AC55" i="26" s="1"/>
  <c r="Z54" i="26"/>
  <c r="DL32" i="27"/>
  <c r="DL32" i="29" s="1"/>
  <c r="DK32" i="27"/>
  <c r="DK32" i="29" s="1"/>
  <c r="EA32" i="27"/>
  <c r="EA32" i="29" s="1"/>
  <c r="DJ32" i="27"/>
  <c r="DJ32" i="29" s="1"/>
  <c r="DZ32" i="27"/>
  <c r="DZ32" i="29" s="1"/>
  <c r="DY32" i="27"/>
  <c r="DY32" i="29" s="1"/>
  <c r="DX32" i="27"/>
  <c r="DX32" i="29" s="1"/>
  <c r="DW32" i="27"/>
  <c r="DW32" i="29" s="1"/>
  <c r="DV32" i="27"/>
  <c r="DV32" i="29" s="1"/>
  <c r="DS32" i="27"/>
  <c r="DS32" i="29" s="1"/>
  <c r="DN32" i="27"/>
  <c r="DN32" i="29" s="1"/>
  <c r="DO32" i="27"/>
  <c r="DO32" i="29" s="1"/>
  <c r="DM32" i="27"/>
  <c r="DM32" i="29" s="1"/>
  <c r="DQ32" i="27"/>
  <c r="DQ32" i="29" s="1"/>
  <c r="AA57" i="26"/>
  <c r="AC57" i="26" s="1"/>
  <c r="DU32" i="27"/>
  <c r="DU32" i="29" s="1"/>
  <c r="DT32" i="27"/>
  <c r="DT32" i="29" s="1"/>
  <c r="DR32" i="27"/>
  <c r="DR32" i="29" s="1"/>
  <c r="DP32" i="27"/>
  <c r="DP32" i="29" s="1"/>
  <c r="Z58" i="26"/>
  <c r="BJ72" i="27"/>
  <c r="BJ72" i="29" s="1"/>
  <c r="BI72" i="27"/>
  <c r="BI72" i="29" s="1"/>
  <c r="BH72" i="27"/>
  <c r="BH72" i="29" s="1"/>
  <c r="BF72" i="27"/>
  <c r="BF72" i="29" s="1"/>
  <c r="BG72" i="27"/>
  <c r="BG72" i="29" s="1"/>
  <c r="BE72" i="27"/>
  <c r="BE72" i="29" s="1"/>
  <c r="BD72" i="27"/>
  <c r="BD72" i="29" s="1"/>
  <c r="BC72" i="27"/>
  <c r="BC72" i="29" s="1"/>
  <c r="BB72" i="27"/>
  <c r="BB72" i="29" s="1"/>
  <c r="BA72" i="27"/>
  <c r="BA72" i="29" s="1"/>
  <c r="AZ72" i="27"/>
  <c r="AZ72" i="29" s="1"/>
  <c r="AY72" i="27"/>
  <c r="AY72" i="29" s="1"/>
  <c r="BL72" i="27"/>
  <c r="BL72" i="29" s="1"/>
  <c r="BR72" i="27"/>
  <c r="BR72" i="29" s="1"/>
  <c r="BQ72" i="27"/>
  <c r="BQ72" i="29" s="1"/>
  <c r="BP72" i="27"/>
  <c r="BP72" i="29" s="1"/>
  <c r="BO72" i="27"/>
  <c r="BO72" i="29" s="1"/>
  <c r="BN72" i="27"/>
  <c r="BN72" i="29" s="1"/>
  <c r="BM72" i="27"/>
  <c r="BM72" i="29" s="1"/>
  <c r="BK72" i="27"/>
  <c r="BK72" i="29" s="1"/>
  <c r="AX72" i="27"/>
  <c r="AX72" i="29" s="1"/>
  <c r="AA197" i="26"/>
  <c r="AC197" i="26" s="1"/>
  <c r="Z196" i="26"/>
  <c r="D52" i="27"/>
  <c r="D52" i="29" s="1"/>
  <c r="E52" i="27"/>
  <c r="E52" i="29" s="1"/>
  <c r="C52" i="27"/>
  <c r="C52" i="29" s="1"/>
  <c r="AA285" i="26"/>
  <c r="AC285" i="26" s="1"/>
  <c r="Z284" i="26"/>
  <c r="DL53" i="27"/>
  <c r="DL53" i="29" s="1"/>
  <c r="DS53" i="27"/>
  <c r="DS53" i="29" s="1"/>
  <c r="DB53" i="27"/>
  <c r="DB53" i="29" s="1"/>
  <c r="DR53" i="27"/>
  <c r="DR53" i="29" s="1"/>
  <c r="DA53" i="27"/>
  <c r="DA53" i="29" s="1"/>
  <c r="DQ53" i="27"/>
  <c r="DQ53" i="29" s="1"/>
  <c r="CZ53" i="27"/>
  <c r="CZ53" i="29" s="1"/>
  <c r="DK53" i="27"/>
  <c r="DK53" i="29" s="1"/>
  <c r="DI53" i="27"/>
  <c r="DI53" i="29" s="1"/>
  <c r="DN53" i="27"/>
  <c r="DN53" i="29" s="1"/>
  <c r="DJ53" i="27"/>
  <c r="DJ53" i="29" s="1"/>
  <c r="DH53" i="27"/>
  <c r="DH53" i="29" s="1"/>
  <c r="DG53" i="27"/>
  <c r="DG53" i="29" s="1"/>
  <c r="DF53" i="27"/>
  <c r="DF53" i="29" s="1"/>
  <c r="DE53" i="27"/>
  <c r="DE53" i="29" s="1"/>
  <c r="DD53" i="27"/>
  <c r="DD53" i="29" s="1"/>
  <c r="DC53" i="27"/>
  <c r="DC53" i="29" s="1"/>
  <c r="CY53" i="27"/>
  <c r="CY53" i="29" s="1"/>
  <c r="DM53" i="27"/>
  <c r="DM53" i="29" s="1"/>
  <c r="DP53" i="27"/>
  <c r="DP53" i="29" s="1"/>
  <c r="DO53" i="27"/>
  <c r="DO53" i="29" s="1"/>
  <c r="Z124" i="26"/>
  <c r="AA125" i="26"/>
  <c r="AC125" i="26" s="1"/>
  <c r="BG36" i="27"/>
  <c r="BG36" i="29" s="1"/>
  <c r="BL36" i="27"/>
  <c r="BL36" i="29" s="1"/>
  <c r="BK36" i="27"/>
  <c r="BK36" i="29" s="1"/>
  <c r="BJ36" i="27"/>
  <c r="BJ36" i="29" s="1"/>
  <c r="BI36" i="27"/>
  <c r="BI36" i="29" s="1"/>
  <c r="BH36" i="27"/>
  <c r="BH36" i="29" s="1"/>
  <c r="BF36" i="27"/>
  <c r="BF36" i="29" s="1"/>
  <c r="BE36" i="27"/>
  <c r="BE36" i="29" s="1"/>
  <c r="BS36" i="27"/>
  <c r="BS36" i="29" s="1"/>
  <c r="BB36" i="27"/>
  <c r="BB36" i="29" s="1"/>
  <c r="BN36" i="27"/>
  <c r="BN36" i="29" s="1"/>
  <c r="BT36" i="27"/>
  <c r="BT36" i="29" s="1"/>
  <c r="BR36" i="27"/>
  <c r="BR36" i="29" s="1"/>
  <c r="BQ36" i="27"/>
  <c r="BQ36" i="29" s="1"/>
  <c r="BM36" i="27"/>
  <c r="BM36" i="29" s="1"/>
  <c r="BD36" i="27"/>
  <c r="BD36" i="29" s="1"/>
  <c r="BC36" i="27"/>
  <c r="BC36" i="29" s="1"/>
  <c r="BU36" i="27"/>
  <c r="BU36" i="29" s="1"/>
  <c r="Z111" i="26"/>
  <c r="AA110" i="26"/>
  <c r="AC110" i="26" s="1"/>
  <c r="BZ31" i="27"/>
  <c r="BZ31" i="29" s="1"/>
  <c r="BY31" i="27"/>
  <c r="BY31" i="29" s="1"/>
  <c r="CN31" i="27"/>
  <c r="CN31" i="29" s="1"/>
  <c r="BX31" i="27"/>
  <c r="BX31" i="29" s="1"/>
  <c r="CM31" i="27"/>
  <c r="CM31" i="29" s="1"/>
  <c r="BW31" i="27"/>
  <c r="BW31" i="29" s="1"/>
  <c r="CL31" i="27"/>
  <c r="CL31" i="29" s="1"/>
  <c r="CK31" i="27"/>
  <c r="CK31" i="29" s="1"/>
  <c r="CJ31" i="27"/>
  <c r="CJ31" i="29" s="1"/>
  <c r="CG31" i="27"/>
  <c r="CG31" i="29" s="1"/>
  <c r="CB31" i="27"/>
  <c r="CB31" i="29" s="1"/>
  <c r="CI31" i="27"/>
  <c r="CI31" i="29" s="1"/>
  <c r="CH31" i="27"/>
  <c r="CH31" i="29" s="1"/>
  <c r="CF31" i="27"/>
  <c r="CF31" i="29" s="1"/>
  <c r="CE31" i="27"/>
  <c r="CE31" i="29" s="1"/>
  <c r="CD31" i="27"/>
  <c r="CD31" i="29" s="1"/>
  <c r="CC31" i="27"/>
  <c r="CC31" i="29" s="1"/>
  <c r="CA31" i="27"/>
  <c r="CA31" i="29" s="1"/>
  <c r="Z89" i="26"/>
  <c r="Z613" i="26" s="1"/>
  <c r="AA90" i="26"/>
  <c r="AC90" i="26" s="1"/>
  <c r="M52" i="27"/>
  <c r="M52" i="29" s="1"/>
  <c r="L52" i="27"/>
  <c r="L52" i="29" s="1"/>
  <c r="K52" i="27"/>
  <c r="K52" i="29" s="1"/>
  <c r="V52" i="27"/>
  <c r="V52" i="29" s="1"/>
  <c r="F52" i="27"/>
  <c r="F52" i="29" s="1"/>
  <c r="T52" i="27"/>
  <c r="T52" i="29" s="1"/>
  <c r="U52" i="27"/>
  <c r="U52" i="29" s="1"/>
  <c r="R52" i="27"/>
  <c r="R52" i="29" s="1"/>
  <c r="Q52" i="27"/>
  <c r="Q52" i="29" s="1"/>
  <c r="P52" i="27"/>
  <c r="P52" i="29" s="1"/>
  <c r="O52" i="27"/>
  <c r="O52" i="29" s="1"/>
  <c r="N52" i="27"/>
  <c r="N52" i="29" s="1"/>
  <c r="J52" i="27"/>
  <c r="J52" i="29" s="1"/>
  <c r="I52" i="27"/>
  <c r="I52" i="29" s="1"/>
  <c r="H52" i="27"/>
  <c r="H52" i="29" s="1"/>
  <c r="W52" i="27"/>
  <c r="W52" i="29" s="1"/>
  <c r="S52" i="27"/>
  <c r="S52" i="29" s="1"/>
  <c r="G52" i="27"/>
  <c r="G52" i="29" s="1"/>
  <c r="Z228" i="26"/>
  <c r="Y52" i="27"/>
  <c r="Y52" i="29" s="1"/>
  <c r="X52" i="27"/>
  <c r="X52" i="29" s="1"/>
  <c r="AA229" i="26"/>
  <c r="AC229" i="26" s="1"/>
  <c r="BF74" i="27"/>
  <c r="BF74" i="29" s="1"/>
  <c r="BE74" i="27"/>
  <c r="BE74" i="29" s="1"/>
  <c r="BD74" i="27"/>
  <c r="BD74" i="29" s="1"/>
  <c r="BR74" i="27"/>
  <c r="BR74" i="29" s="1"/>
  <c r="BB74" i="27"/>
  <c r="BB74" i="29" s="1"/>
  <c r="BQ74" i="27"/>
  <c r="BQ74" i="29" s="1"/>
  <c r="BA74" i="27"/>
  <c r="BA74" i="29" s="1"/>
  <c r="BM74" i="27"/>
  <c r="BM74" i="29" s="1"/>
  <c r="AX74" i="27"/>
  <c r="AX74" i="29" s="1"/>
  <c r="BP74" i="27"/>
  <c r="BP74" i="29" s="1"/>
  <c r="BO74" i="27"/>
  <c r="BO74" i="29" s="1"/>
  <c r="BN74" i="27"/>
  <c r="BN74" i="29" s="1"/>
  <c r="BL74" i="27"/>
  <c r="BL74" i="29" s="1"/>
  <c r="BJ74" i="27"/>
  <c r="BJ74" i="29" s="1"/>
  <c r="AZ74" i="27"/>
  <c r="AZ74" i="29" s="1"/>
  <c r="BI74" i="27"/>
  <c r="BI74" i="29" s="1"/>
  <c r="BH74" i="27"/>
  <c r="BH74" i="29" s="1"/>
  <c r="BG74" i="27"/>
  <c r="BG74" i="29" s="1"/>
  <c r="BC74" i="27"/>
  <c r="BC74" i="29" s="1"/>
  <c r="AY74" i="27"/>
  <c r="AY74" i="29" s="1"/>
  <c r="BK74" i="27"/>
  <c r="BK74" i="29" s="1"/>
  <c r="Z200" i="26"/>
  <c r="AA199" i="26"/>
  <c r="AC199" i="26" s="1"/>
  <c r="D54" i="27"/>
  <c r="D54" i="29" s="1"/>
  <c r="E54" i="27"/>
  <c r="E54" i="29" s="1"/>
  <c r="AA287" i="26"/>
  <c r="AC287" i="26" s="1"/>
  <c r="Z288" i="26"/>
  <c r="AB54" i="27"/>
  <c r="AB54" i="29" s="1"/>
  <c r="AA54" i="27"/>
  <c r="AA54" i="29" s="1"/>
  <c r="Z54" i="27"/>
  <c r="Z54" i="29" s="1"/>
  <c r="Z367" i="26"/>
  <c r="AA366" i="26"/>
  <c r="AC366" i="26" s="1"/>
  <c r="AA825" i="26"/>
  <c r="AC825" i="26" s="1"/>
  <c r="EA43" i="29"/>
  <c r="DZ43" i="29"/>
  <c r="DW43" i="29"/>
  <c r="DV43" i="29"/>
  <c r="DY43" i="29"/>
  <c r="DX43" i="29"/>
  <c r="DU43" i="29"/>
  <c r="DT43" i="29"/>
  <c r="AA716" i="26"/>
  <c r="AC716" i="26" s="1"/>
  <c r="Z715" i="26"/>
  <c r="BE51" i="29"/>
  <c r="BD51" i="29"/>
  <c r="BC51" i="29"/>
  <c r="BB51" i="29"/>
  <c r="BA51" i="29"/>
  <c r="AA558" i="26"/>
  <c r="AC558" i="26" s="1"/>
  <c r="BX52" i="27"/>
  <c r="BX52" i="29" s="1"/>
  <c r="BH52" i="27"/>
  <c r="BH52" i="29" s="1"/>
  <c r="BU52" i="27"/>
  <c r="BU52" i="29" s="1"/>
  <c r="BT52" i="27"/>
  <c r="BT52" i="29" s="1"/>
  <c r="BS52" i="27"/>
  <c r="BS52" i="29" s="1"/>
  <c r="BN52" i="27"/>
  <c r="BN52" i="29" s="1"/>
  <c r="BL52" i="27"/>
  <c r="BL52" i="29" s="1"/>
  <c r="BV52" i="27"/>
  <c r="BV52" i="29" s="1"/>
  <c r="BQ52" i="27"/>
  <c r="BQ52" i="29" s="1"/>
  <c r="BP52" i="27"/>
  <c r="BP52" i="29" s="1"/>
  <c r="BO52" i="27"/>
  <c r="BO52" i="29" s="1"/>
  <c r="BM52" i="27"/>
  <c r="BM52" i="29" s="1"/>
  <c r="BK52" i="27"/>
  <c r="BK52" i="29" s="1"/>
  <c r="BJ52" i="27"/>
  <c r="BJ52" i="29" s="1"/>
  <c r="BI52" i="27"/>
  <c r="BI52" i="29" s="1"/>
  <c r="BG52" i="27"/>
  <c r="BG52" i="29" s="1"/>
  <c r="BZ52" i="27"/>
  <c r="BZ52" i="29" s="1"/>
  <c r="BY52" i="27"/>
  <c r="BY52" i="29" s="1"/>
  <c r="BW52" i="27"/>
  <c r="BW52" i="29" s="1"/>
  <c r="BR52" i="27"/>
  <c r="BR52" i="29" s="1"/>
  <c r="BF52" i="27"/>
  <c r="BF52" i="29" s="1"/>
  <c r="AA166" i="26"/>
  <c r="AC166" i="26" s="1"/>
  <c r="Z559" i="26"/>
  <c r="Z167" i="26"/>
  <c r="AB52" i="27"/>
  <c r="AB52" i="29" s="1"/>
  <c r="AA52" i="27"/>
  <c r="AA52" i="29" s="1"/>
  <c r="Z52" i="27"/>
  <c r="Z52" i="29" s="1"/>
  <c r="Z363" i="26"/>
  <c r="AA364" i="26"/>
  <c r="AC364" i="26" s="1"/>
  <c r="U4" i="43" l="1"/>
  <c r="F4" i="43"/>
  <c r="H3" i="43"/>
  <c r="F8" i="43"/>
  <c r="G3" i="43"/>
  <c r="Y181" i="25"/>
  <c r="I133" i="30"/>
  <c r="M133" i="30"/>
  <c r="N133" i="30" s="1"/>
  <c r="P133" i="30" s="1"/>
  <c r="C146" i="30"/>
  <c r="F146" i="30"/>
  <c r="G146" i="30" s="1"/>
  <c r="L66" i="30"/>
  <c r="C152" i="30"/>
  <c r="F152" i="30"/>
  <c r="G152" i="30" s="1"/>
  <c r="L70" i="30"/>
  <c r="F154" i="30"/>
  <c r="G154" i="30" s="1"/>
  <c r="C154" i="30"/>
  <c r="AT49" i="30"/>
  <c r="L58" i="30"/>
  <c r="C148" i="30"/>
  <c r="F148" i="30"/>
  <c r="G148" i="30" s="1"/>
  <c r="L64" i="30"/>
  <c r="D109" i="30" s="1"/>
  <c r="R109" i="30" s="1"/>
  <c r="C151" i="30"/>
  <c r="F151" i="30"/>
  <c r="G151" i="30" s="1"/>
  <c r="BD49" i="30"/>
  <c r="AP49" i="30"/>
  <c r="L60" i="30"/>
  <c r="C149" i="30"/>
  <c r="F149" i="30"/>
  <c r="G149" i="30" s="1"/>
  <c r="AT50" i="30"/>
  <c r="L68" i="30"/>
  <c r="F153" i="30"/>
  <c r="G153" i="30" s="1"/>
  <c r="C153" i="30"/>
  <c r="L76" i="30"/>
  <c r="F158" i="30"/>
  <c r="G158" i="30" s="1"/>
  <c r="C158" i="30"/>
  <c r="L57" i="30"/>
  <c r="C147" i="30"/>
  <c r="F147" i="30"/>
  <c r="G147" i="30" s="1"/>
  <c r="L72" i="30"/>
  <c r="F155" i="30"/>
  <c r="G155" i="30" s="1"/>
  <c r="C155" i="30"/>
  <c r="L74" i="30"/>
  <c r="F157" i="30"/>
  <c r="G157" i="30" s="1"/>
  <c r="C157" i="30"/>
  <c r="L73" i="30"/>
  <c r="F156" i="30"/>
  <c r="G156" i="30" s="1"/>
  <c r="C156" i="30"/>
  <c r="L62" i="30"/>
  <c r="D107" i="30" s="1"/>
  <c r="R107" i="30" s="1"/>
  <c r="C150" i="30"/>
  <c r="F150" i="30"/>
  <c r="G150" i="30" s="1"/>
  <c r="P89" i="30"/>
  <c r="O89" i="30"/>
  <c r="G134" i="30"/>
  <c r="J133" i="30"/>
  <c r="R200" i="41"/>
  <c r="P200" i="41"/>
  <c r="Q200" i="41" s="1"/>
  <c r="X200" i="41"/>
  <c r="Z200" i="41"/>
  <c r="K20" i="41"/>
  <c r="L19" i="41"/>
  <c r="AA200" i="41"/>
  <c r="AE200" i="41" s="1"/>
  <c r="V244" i="41"/>
  <c r="AA244" i="41" s="1"/>
  <c r="N244" i="41"/>
  <c r="AA210" i="25"/>
  <c r="AE210" i="25" s="1"/>
  <c r="X209" i="25"/>
  <c r="X159" i="25"/>
  <c r="X210" i="25"/>
  <c r="U160" i="25"/>
  <c r="AA159" i="25"/>
  <c r="AE159" i="25" s="1"/>
  <c r="Z210" i="25"/>
  <c r="L61" i="30"/>
  <c r="AZ49" i="30"/>
  <c r="Y34" i="30"/>
  <c r="Z34" i="30" s="1"/>
  <c r="AB34" i="30" s="1"/>
  <c r="AC34" i="30" s="1"/>
  <c r="Y38" i="30"/>
  <c r="Z38" i="30" s="1"/>
  <c r="AB38" i="30" s="1"/>
  <c r="M71" i="30" s="1"/>
  <c r="AC28" i="30"/>
  <c r="M61" i="30"/>
  <c r="AC42" i="30"/>
  <c r="M75" i="30"/>
  <c r="M69" i="30"/>
  <c r="AC36" i="30"/>
  <c r="AC44" i="30"/>
  <c r="M77" i="30"/>
  <c r="AC30" i="30"/>
  <c r="M63" i="30"/>
  <c r="N56" i="30"/>
  <c r="AE23" i="30"/>
  <c r="AF23" i="30" s="1"/>
  <c r="R212" i="25"/>
  <c r="P212" i="25"/>
  <c r="Q212" i="25" s="1"/>
  <c r="R185" i="25"/>
  <c r="P185" i="25"/>
  <c r="Q185" i="25" s="1"/>
  <c r="R163" i="25"/>
  <c r="P163" i="25"/>
  <c r="Q163" i="25" s="1"/>
  <c r="R171" i="25"/>
  <c r="P171" i="25"/>
  <c r="Q171" i="25" s="1"/>
  <c r="R189" i="25"/>
  <c r="P189" i="25"/>
  <c r="Q189" i="25" s="1"/>
  <c r="R202" i="25"/>
  <c r="P202" i="25"/>
  <c r="Q202" i="25" s="1"/>
  <c r="R170" i="25"/>
  <c r="P170" i="25"/>
  <c r="Q170" i="25" s="1"/>
  <c r="Y209" i="25"/>
  <c r="R190" i="25"/>
  <c r="P190" i="25"/>
  <c r="Q190" i="25" s="1"/>
  <c r="R192" i="25"/>
  <c r="P192" i="25"/>
  <c r="Q192" i="25" s="1"/>
  <c r="R160" i="25"/>
  <c r="P160" i="25"/>
  <c r="Q160" i="25" s="1"/>
  <c r="R175" i="25"/>
  <c r="P175" i="25"/>
  <c r="Q175" i="25" s="1"/>
  <c r="R180" i="25"/>
  <c r="P180" i="25"/>
  <c r="Q180" i="25" s="1"/>
  <c r="R173" i="25"/>
  <c r="P173" i="25"/>
  <c r="Q173" i="25" s="1"/>
  <c r="R182" i="25"/>
  <c r="P182" i="25"/>
  <c r="Q182" i="25" s="1"/>
  <c r="R206" i="25"/>
  <c r="P206" i="25"/>
  <c r="Q206" i="25" s="1"/>
  <c r="R229" i="25"/>
  <c r="P229" i="25"/>
  <c r="Q229" i="25" s="1"/>
  <c r="V160" i="25"/>
  <c r="AA160" i="25" s="1"/>
  <c r="AE160" i="25" s="1"/>
  <c r="R222" i="25"/>
  <c r="P222" i="25"/>
  <c r="Q222" i="25" s="1"/>
  <c r="R177" i="25"/>
  <c r="P177" i="25"/>
  <c r="Q177" i="25" s="1"/>
  <c r="R235" i="25"/>
  <c r="P235" i="25"/>
  <c r="Q235" i="25" s="1"/>
  <c r="R167" i="25"/>
  <c r="P167" i="25"/>
  <c r="Q167" i="25" s="1"/>
  <c r="R201" i="25"/>
  <c r="P201" i="25"/>
  <c r="Q201" i="25" s="1"/>
  <c r="R208" i="25"/>
  <c r="P208" i="25"/>
  <c r="Q208" i="25" s="1"/>
  <c r="R214" i="25"/>
  <c r="P214" i="25"/>
  <c r="Q214" i="25" s="1"/>
  <c r="X208" i="25"/>
  <c r="R210" i="25"/>
  <c r="P210" i="25"/>
  <c r="Q210" i="25" s="1"/>
  <c r="R193" i="25"/>
  <c r="P193" i="25"/>
  <c r="Q193" i="25" s="1"/>
  <c r="R236" i="25"/>
  <c r="P236" i="25"/>
  <c r="Q236" i="25" s="1"/>
  <c r="X194" i="25"/>
  <c r="Y221" i="25"/>
  <c r="Y194" i="25"/>
  <c r="Z159" i="25"/>
  <c r="X221" i="25"/>
  <c r="Z181" i="25"/>
  <c r="Z221" i="25"/>
  <c r="L161" i="25"/>
  <c r="M161" i="25" s="1"/>
  <c r="N161" i="25" s="1"/>
  <c r="P161" i="25" s="1"/>
  <c r="Q161" i="25" s="1"/>
  <c r="AA181" i="25"/>
  <c r="AE181" i="25" s="1"/>
  <c r="N228" i="25"/>
  <c r="P228" i="25" s="1"/>
  <c r="Q228" i="25" s="1"/>
  <c r="Y46" i="30"/>
  <c r="Z46" i="30" s="1"/>
  <c r="AB46" i="30" s="1"/>
  <c r="Y32" i="30"/>
  <c r="Z32" i="30" s="1"/>
  <c r="AB32" i="30" s="1"/>
  <c r="L75" i="30"/>
  <c r="L63" i="30"/>
  <c r="L77" i="30"/>
  <c r="Y26" i="30"/>
  <c r="Z26" i="30" s="1"/>
  <c r="AB26" i="30" s="1"/>
  <c r="L69" i="30"/>
  <c r="J55" i="30"/>
  <c r="J58" i="30"/>
  <c r="AA209" i="25"/>
  <c r="AE209" i="25" s="1"/>
  <c r="Z209" i="25"/>
  <c r="U183" i="25"/>
  <c r="AA194" i="25"/>
  <c r="AE194" i="25" s="1"/>
  <c r="Y208" i="25"/>
  <c r="U237" i="25"/>
  <c r="V229" i="25"/>
  <c r="AA176" i="25"/>
  <c r="AE176" i="25" s="1"/>
  <c r="U229" i="25"/>
  <c r="Y229" i="25" s="1"/>
  <c r="AA175" i="25"/>
  <c r="AE175" i="25" s="1"/>
  <c r="X213" i="25"/>
  <c r="X192" i="25"/>
  <c r="X175" i="25"/>
  <c r="L230" i="25"/>
  <c r="M230" i="25" s="1"/>
  <c r="N230" i="25" s="1"/>
  <c r="P230" i="25" s="1"/>
  <c r="Q230" i="25" s="1"/>
  <c r="Z208" i="25"/>
  <c r="Y192" i="25"/>
  <c r="U186" i="25"/>
  <c r="Y239" i="25"/>
  <c r="AA192" i="25"/>
  <c r="AE192" i="25" s="1"/>
  <c r="U174" i="25"/>
  <c r="Y174" i="25" s="1"/>
  <c r="Z239" i="25"/>
  <c r="AA213" i="25"/>
  <c r="AE213" i="25" s="1"/>
  <c r="X239" i="25"/>
  <c r="Z175" i="25"/>
  <c r="X189" i="25"/>
  <c r="L187" i="25"/>
  <c r="M187" i="25" s="1"/>
  <c r="L188" i="25" s="1"/>
  <c r="L205" i="25"/>
  <c r="M205" i="25" s="1"/>
  <c r="N205" i="25" s="1"/>
  <c r="P205" i="25" s="1"/>
  <c r="Q205" i="25" s="1"/>
  <c r="V202" i="25"/>
  <c r="N240" i="25"/>
  <c r="Z213" i="25"/>
  <c r="Y213" i="25"/>
  <c r="Z212" i="25"/>
  <c r="U202" i="25"/>
  <c r="Y212" i="25"/>
  <c r="U207" i="25"/>
  <c r="Y207" i="25" s="1"/>
  <c r="U240" i="25"/>
  <c r="X172" i="25"/>
  <c r="B255" i="25"/>
  <c r="AA172" i="25"/>
  <c r="AE172" i="25" s="1"/>
  <c r="Y172" i="25"/>
  <c r="N174" i="25"/>
  <c r="AA212" i="25"/>
  <c r="AE212" i="25" s="1"/>
  <c r="U216" i="25"/>
  <c r="V177" i="25"/>
  <c r="N207" i="25"/>
  <c r="Y190" i="25"/>
  <c r="T199" i="25"/>
  <c r="L217" i="25"/>
  <c r="M217" i="25" s="1"/>
  <c r="L218" i="25" s="1"/>
  <c r="M218" i="25" s="1"/>
  <c r="U215" i="25"/>
  <c r="T198" i="25"/>
  <c r="Z167" i="25"/>
  <c r="X167" i="25"/>
  <c r="Y167" i="25"/>
  <c r="Z189" i="25"/>
  <c r="Y189" i="25"/>
  <c r="Z233" i="25"/>
  <c r="AA233" i="25"/>
  <c r="AE233" i="25" s="1"/>
  <c r="X233" i="25"/>
  <c r="Z190" i="25"/>
  <c r="AA190" i="25"/>
  <c r="AE190" i="25" s="1"/>
  <c r="X190" i="25"/>
  <c r="N241" i="25"/>
  <c r="U241" i="25"/>
  <c r="Y168" i="25"/>
  <c r="L178" i="25"/>
  <c r="M178" i="25" s="1"/>
  <c r="N178" i="25" s="1"/>
  <c r="P178" i="25" s="1"/>
  <c r="Q178" i="25" s="1"/>
  <c r="X185" i="25"/>
  <c r="Y233" i="25"/>
  <c r="U177" i="25"/>
  <c r="X163" i="25"/>
  <c r="Y163" i="25"/>
  <c r="Z163" i="25"/>
  <c r="AA185" i="25"/>
  <c r="AE185" i="25" s="1"/>
  <c r="Z185" i="25"/>
  <c r="Y185" i="25"/>
  <c r="V241" i="25"/>
  <c r="N242" i="25"/>
  <c r="P242" i="25" s="1"/>
  <c r="Q242" i="25" s="1"/>
  <c r="L243" i="25"/>
  <c r="M243" i="25" s="1"/>
  <c r="V170" i="25"/>
  <c r="Z170" i="25" s="1"/>
  <c r="Y235" i="25"/>
  <c r="L198" i="25"/>
  <c r="M198" i="25" s="1"/>
  <c r="L199" i="25" s="1"/>
  <c r="N158" i="25"/>
  <c r="P158" i="25" s="1"/>
  <c r="Q158" i="25" s="1"/>
  <c r="N183" i="25"/>
  <c r="V183" i="25"/>
  <c r="AA193" i="25"/>
  <c r="AE193" i="25" s="1"/>
  <c r="T188" i="25"/>
  <c r="B254" i="25"/>
  <c r="Y193" i="25"/>
  <c r="Z235" i="25"/>
  <c r="Z193" i="25"/>
  <c r="X176" i="25"/>
  <c r="X235" i="25"/>
  <c r="AA235" i="25"/>
  <c r="AE235" i="25" s="1"/>
  <c r="X193" i="25"/>
  <c r="V215" i="25"/>
  <c r="R215" i="25"/>
  <c r="R186" i="25"/>
  <c r="V186" i="25"/>
  <c r="R216" i="25"/>
  <c r="V216" i="25"/>
  <c r="V191" i="25"/>
  <c r="Y191" i="25" s="1"/>
  <c r="R191" i="25"/>
  <c r="U242" i="25"/>
  <c r="V196" i="25"/>
  <c r="Z196" i="25" s="1"/>
  <c r="R196" i="25"/>
  <c r="Z176" i="25"/>
  <c r="Z168" i="25"/>
  <c r="V237" i="25"/>
  <c r="R237" i="25"/>
  <c r="V240" i="25"/>
  <c r="V166" i="25"/>
  <c r="X166" i="25" s="1"/>
  <c r="R166" i="25"/>
  <c r="X168" i="25"/>
  <c r="V164" i="25"/>
  <c r="X164" i="25" s="1"/>
  <c r="R164" i="25"/>
  <c r="R204" i="25"/>
  <c r="V204" i="25"/>
  <c r="X204" i="25" s="1"/>
  <c r="Y176" i="25"/>
  <c r="AA168" i="25"/>
  <c r="AE168" i="25" s="1"/>
  <c r="V223" i="25"/>
  <c r="Y223" i="25" s="1"/>
  <c r="R223" i="25"/>
  <c r="R227" i="25"/>
  <c r="V227" i="25"/>
  <c r="Y227" i="25" s="1"/>
  <c r="BD52" i="27"/>
  <c r="BE52" i="27"/>
  <c r="DU42" i="27"/>
  <c r="DU42" i="29" s="1"/>
  <c r="DV42" i="27"/>
  <c r="DV42" i="29" s="1"/>
  <c r="DW42" i="27"/>
  <c r="DW42" i="29" s="1"/>
  <c r="DX42" i="27"/>
  <c r="DX42" i="29" s="1"/>
  <c r="DY42" i="27"/>
  <c r="DY42" i="29" s="1"/>
  <c r="DZ42" i="27"/>
  <c r="DZ42" i="29" s="1"/>
  <c r="EA42" i="27"/>
  <c r="EA42" i="29" s="1"/>
  <c r="EB42" i="27"/>
  <c r="BA50" i="27"/>
  <c r="BB50" i="27"/>
  <c r="BC50" i="27"/>
  <c r="BE50" i="27"/>
  <c r="BD50" i="27"/>
  <c r="Z508" i="26"/>
  <c r="DX66" i="27"/>
  <c r="DX66" i="29" s="1"/>
  <c r="DL66" i="27"/>
  <c r="DL66" i="29" s="1"/>
  <c r="DM66" i="27"/>
  <c r="DM66" i="29" s="1"/>
  <c r="DN66" i="27"/>
  <c r="DN66" i="29" s="1"/>
  <c r="DO66" i="27"/>
  <c r="DO66" i="29" s="1"/>
  <c r="DP66" i="27"/>
  <c r="DP66" i="29" s="1"/>
  <c r="DQ66" i="27"/>
  <c r="DQ66" i="29" s="1"/>
  <c r="DR66" i="27"/>
  <c r="DR66" i="29" s="1"/>
  <c r="DS66" i="27"/>
  <c r="DS66" i="29" s="1"/>
  <c r="DT66" i="27"/>
  <c r="DT66" i="29" s="1"/>
  <c r="DU66" i="27"/>
  <c r="DU66" i="29" s="1"/>
  <c r="DV66" i="27"/>
  <c r="DV66" i="29" s="1"/>
  <c r="DW66" i="27"/>
  <c r="DW66" i="29" s="1"/>
  <c r="AA507" i="26"/>
  <c r="AC507" i="26" s="1"/>
  <c r="BS70" i="27"/>
  <c r="BS70" i="29" s="1"/>
  <c r="AA446" i="26"/>
  <c r="AC446" i="26" s="1"/>
  <c r="CP69" i="27"/>
  <c r="CP69" i="29" s="1"/>
  <c r="AA487" i="26"/>
  <c r="AC487" i="26" s="1"/>
  <c r="BS65" i="27"/>
  <c r="BS65" i="29" s="1"/>
  <c r="BU65" i="27"/>
  <c r="BU65" i="29" s="1"/>
  <c r="BV65" i="27"/>
  <c r="BV65" i="29" s="1"/>
  <c r="BW65" i="27"/>
  <c r="BW65" i="29" s="1"/>
  <c r="BX65" i="27"/>
  <c r="BX65" i="29" s="1"/>
  <c r="BY65" i="27"/>
  <c r="BY65" i="29" s="1"/>
  <c r="BZ65" i="27"/>
  <c r="BZ65" i="29" s="1"/>
  <c r="CA65" i="27"/>
  <c r="CA65" i="29" s="1"/>
  <c r="CB65" i="27"/>
  <c r="CB65" i="29" s="1"/>
  <c r="BT65" i="27"/>
  <c r="BT65" i="29" s="1"/>
  <c r="AA477" i="26"/>
  <c r="AC477" i="26" s="1"/>
  <c r="Z476" i="26"/>
  <c r="CP67" i="27"/>
  <c r="CP67" i="29" s="1"/>
  <c r="CP68" i="29"/>
  <c r="AA400" i="26"/>
  <c r="AC400" i="26" s="1"/>
  <c r="AV70" i="27"/>
  <c r="AV70" i="29" s="1"/>
  <c r="Z399" i="26"/>
  <c r="AW69" i="27" s="1"/>
  <c r="AW69" i="29" s="1"/>
  <c r="AA402" i="26"/>
  <c r="AC402" i="26" s="1"/>
  <c r="AV72" i="27"/>
  <c r="AV72" i="29" s="1"/>
  <c r="Z403" i="26"/>
  <c r="P92" i="30"/>
  <c r="J56" i="30"/>
  <c r="Y45" i="30"/>
  <c r="Z45" i="30" s="1"/>
  <c r="AB45" i="30" s="1"/>
  <c r="Y31" i="30"/>
  <c r="Z31" i="30" s="1"/>
  <c r="Y24" i="30"/>
  <c r="Z24" i="30" s="1"/>
  <c r="Y25" i="30"/>
  <c r="Z25" i="30" s="1"/>
  <c r="L55" i="30"/>
  <c r="Y27" i="30"/>
  <c r="Z27" i="30" s="1"/>
  <c r="L56" i="30"/>
  <c r="Y39" i="30"/>
  <c r="Z39" i="30" s="1"/>
  <c r="Y33" i="30"/>
  <c r="Z33" i="30" s="1"/>
  <c r="Y29" i="30"/>
  <c r="Z29" i="30" s="1"/>
  <c r="D104" i="30"/>
  <c r="R104" i="30" s="1"/>
  <c r="Y41" i="30"/>
  <c r="Z41" i="30" s="1"/>
  <c r="Y21" i="30"/>
  <c r="Y37" i="30"/>
  <c r="Z37" i="30" s="1"/>
  <c r="Y43" i="30"/>
  <c r="Z43" i="30" s="1"/>
  <c r="D112" i="30"/>
  <c r="H112" i="30" s="1"/>
  <c r="Y35" i="30"/>
  <c r="Z35" i="30" s="1"/>
  <c r="Y40" i="30"/>
  <c r="Z40" i="30" s="1"/>
  <c r="D110" i="30"/>
  <c r="H110" i="30" s="1"/>
  <c r="Y22" i="30"/>
  <c r="Z22" i="30" s="1"/>
  <c r="L54" i="30"/>
  <c r="I83" i="30"/>
  <c r="Q49" i="30"/>
  <c r="BO36" i="27"/>
  <c r="BO36" i="29" s="1"/>
  <c r="T73" i="27"/>
  <c r="T73" i="29" s="1"/>
  <c r="V73" i="27"/>
  <c r="V73" i="29" s="1"/>
  <c r="Z247" i="26"/>
  <c r="V72" i="27" s="1"/>
  <c r="V72" i="29" s="1"/>
  <c r="N73" i="27"/>
  <c r="N73" i="29" s="1"/>
  <c r="AA314" i="26"/>
  <c r="AC314" i="26" s="1"/>
  <c r="G76" i="27"/>
  <c r="G76" i="29" s="1"/>
  <c r="F76" i="27"/>
  <c r="F76" i="29" s="1"/>
  <c r="Z315" i="26"/>
  <c r="Z826" i="26"/>
  <c r="DV11" i="27" s="1"/>
  <c r="DY12" i="27"/>
  <c r="DY12" i="29" s="1"/>
  <c r="DX12" i="27"/>
  <c r="DX12" i="29" s="1"/>
  <c r="EE12" i="27"/>
  <c r="EE12" i="29" s="1"/>
  <c r="EA12" i="27"/>
  <c r="EA12" i="29" s="1"/>
  <c r="DW12" i="27"/>
  <c r="DW12" i="29" s="1"/>
  <c r="EG12" i="27"/>
  <c r="EG12" i="29" s="1"/>
  <c r="EF12" i="27"/>
  <c r="EF12" i="29" s="1"/>
  <c r="EC12" i="27"/>
  <c r="EC12" i="29" s="1"/>
  <c r="AA5" i="26"/>
  <c r="AC5" i="26" s="1"/>
  <c r="EH12" i="27"/>
  <c r="EH12" i="29" s="1"/>
  <c r="EB12" i="27"/>
  <c r="EB12" i="29" s="1"/>
  <c r="DZ12" i="27"/>
  <c r="DZ12" i="29" s="1"/>
  <c r="Z6" i="26"/>
  <c r="ED12" i="27"/>
  <c r="ED12" i="29" s="1"/>
  <c r="U73" i="27"/>
  <c r="U73" i="29" s="1"/>
  <c r="W73" i="27"/>
  <c r="W73" i="29" s="1"/>
  <c r="X73" i="27"/>
  <c r="X73" i="29" s="1"/>
  <c r="AA615" i="26"/>
  <c r="AC615" i="26" s="1"/>
  <c r="M73" i="27"/>
  <c r="M73" i="29" s="1"/>
  <c r="AA248" i="26"/>
  <c r="AC248" i="26" s="1"/>
  <c r="P73" i="27"/>
  <c r="P73" i="29" s="1"/>
  <c r="Z69" i="29"/>
  <c r="AA347" i="26"/>
  <c r="AC347" i="26" s="1"/>
  <c r="Z346" i="26"/>
  <c r="Z67" i="27" s="1"/>
  <c r="I73" i="27"/>
  <c r="I73" i="29" s="1"/>
  <c r="Y73" i="27"/>
  <c r="Y73" i="29" s="1"/>
  <c r="Z311" i="26"/>
  <c r="G74" i="27"/>
  <c r="G74" i="29" s="1"/>
  <c r="AA312" i="26"/>
  <c r="AC312" i="26" s="1"/>
  <c r="F74" i="27"/>
  <c r="F74" i="29" s="1"/>
  <c r="H73" i="27"/>
  <c r="H73" i="29" s="1"/>
  <c r="DT42" i="27"/>
  <c r="DT42" i="29" s="1"/>
  <c r="AA715" i="26"/>
  <c r="AC715" i="26" s="1"/>
  <c r="AD716" i="26" s="1"/>
  <c r="CF70" i="27"/>
  <c r="CF70" i="29" s="1"/>
  <c r="CE70" i="27"/>
  <c r="CE70" i="29" s="1"/>
  <c r="CC70" i="27"/>
  <c r="CC70" i="29" s="1"/>
  <c r="CB70" i="27"/>
  <c r="CB70" i="29" s="1"/>
  <c r="CA70" i="27"/>
  <c r="CA70" i="29" s="1"/>
  <c r="BZ70" i="27"/>
  <c r="BZ70" i="29" s="1"/>
  <c r="BY70" i="27"/>
  <c r="BY70" i="29" s="1"/>
  <c r="BX70" i="27"/>
  <c r="BX70" i="29" s="1"/>
  <c r="CO70" i="27"/>
  <c r="CO70" i="29" s="1"/>
  <c r="BW70" i="27"/>
  <c r="BW70" i="29" s="1"/>
  <c r="CN70" i="27"/>
  <c r="CN70" i="29" s="1"/>
  <c r="BV70" i="27"/>
  <c r="BV70" i="29" s="1"/>
  <c r="CG70" i="27"/>
  <c r="CG70" i="29" s="1"/>
  <c r="CD70" i="27"/>
  <c r="CD70" i="29" s="1"/>
  <c r="BU70" i="27"/>
  <c r="BU70" i="29" s="1"/>
  <c r="BT70" i="27"/>
  <c r="BT70" i="29" s="1"/>
  <c r="CH70" i="27"/>
  <c r="CH70" i="29" s="1"/>
  <c r="CJ70" i="27"/>
  <c r="CJ70" i="29" s="1"/>
  <c r="CI70" i="27"/>
  <c r="CI70" i="29" s="1"/>
  <c r="CL70" i="27"/>
  <c r="CL70" i="29" s="1"/>
  <c r="CK70" i="27"/>
  <c r="CK70" i="29" s="1"/>
  <c r="CM70" i="27"/>
  <c r="CM70" i="29" s="1"/>
  <c r="Z187" i="26"/>
  <c r="Z447" i="26" s="1"/>
  <c r="AA186" i="26"/>
  <c r="AC186" i="26" s="1"/>
  <c r="EX33" i="27"/>
  <c r="EX33" i="29" s="1"/>
  <c r="EW33" i="27"/>
  <c r="EW33" i="29" s="1"/>
  <c r="EV33" i="27"/>
  <c r="EV33" i="29" s="1"/>
  <c r="AA772" i="26"/>
  <c r="AC772" i="26" s="1"/>
  <c r="CB30" i="27"/>
  <c r="CB30" i="29" s="1"/>
  <c r="CA30" i="27"/>
  <c r="CA30" i="29" s="1"/>
  <c r="BZ30" i="27"/>
  <c r="BZ30" i="29" s="1"/>
  <c r="BY30" i="27"/>
  <c r="BY30" i="29" s="1"/>
  <c r="CN30" i="27"/>
  <c r="CN30" i="29" s="1"/>
  <c r="BX30" i="27"/>
  <c r="BX30" i="29" s="1"/>
  <c r="CM30" i="27"/>
  <c r="CM30" i="29" s="1"/>
  <c r="BW30" i="27"/>
  <c r="BW30" i="29" s="1"/>
  <c r="CL30" i="27"/>
  <c r="CL30" i="29" s="1"/>
  <c r="CI30" i="27"/>
  <c r="CI30" i="29" s="1"/>
  <c r="CD30" i="27"/>
  <c r="CD30" i="29" s="1"/>
  <c r="CG30" i="27"/>
  <c r="CG30" i="29" s="1"/>
  <c r="CF30" i="27"/>
  <c r="CF30" i="29" s="1"/>
  <c r="CE30" i="27"/>
  <c r="CE30" i="29" s="1"/>
  <c r="CC30" i="27"/>
  <c r="CC30" i="29" s="1"/>
  <c r="CK30" i="27"/>
  <c r="CK30" i="29" s="1"/>
  <c r="CH30" i="27"/>
  <c r="CH30" i="29" s="1"/>
  <c r="AA89" i="26"/>
  <c r="AC89" i="26" s="1"/>
  <c r="CJ30" i="27"/>
  <c r="CJ30" i="29" s="1"/>
  <c r="Z88" i="26"/>
  <c r="Z612" i="26" s="1"/>
  <c r="BL75" i="27"/>
  <c r="BL75" i="29" s="1"/>
  <c r="BK75" i="27"/>
  <c r="BK75" i="29" s="1"/>
  <c r="BJ75" i="27"/>
  <c r="BJ75" i="29" s="1"/>
  <c r="BH75" i="27"/>
  <c r="BH75" i="29" s="1"/>
  <c r="BG75" i="27"/>
  <c r="BG75" i="29" s="1"/>
  <c r="BC75" i="27"/>
  <c r="BC75" i="29" s="1"/>
  <c r="BR75" i="27"/>
  <c r="BR75" i="29" s="1"/>
  <c r="BQ75" i="27"/>
  <c r="BQ75" i="29" s="1"/>
  <c r="BP75" i="27"/>
  <c r="BP75" i="29" s="1"/>
  <c r="BO75" i="27"/>
  <c r="BO75" i="29" s="1"/>
  <c r="BN75" i="27"/>
  <c r="BN75" i="29" s="1"/>
  <c r="BM75" i="27"/>
  <c r="BM75" i="29" s="1"/>
  <c r="BI75" i="27"/>
  <c r="BI75" i="29" s="1"/>
  <c r="BE75" i="27"/>
  <c r="BE75" i="29" s="1"/>
  <c r="AY75" i="27"/>
  <c r="AY75" i="29" s="1"/>
  <c r="BF75" i="27"/>
  <c r="BF75" i="29" s="1"/>
  <c r="BD75" i="27"/>
  <c r="BD75" i="29" s="1"/>
  <c r="BB75" i="27"/>
  <c r="BB75" i="29" s="1"/>
  <c r="BA75" i="27"/>
  <c r="BA75" i="29" s="1"/>
  <c r="AZ75" i="27"/>
  <c r="AZ75" i="29" s="1"/>
  <c r="AX75" i="27"/>
  <c r="AX75" i="29" s="1"/>
  <c r="Z201" i="26"/>
  <c r="AA200" i="26"/>
  <c r="AC200" i="26" s="1"/>
  <c r="BF37" i="27"/>
  <c r="BF37" i="29" s="1"/>
  <c r="BQ37" i="27"/>
  <c r="BQ37" i="29" s="1"/>
  <c r="BP37" i="27"/>
  <c r="BP37" i="29" s="1"/>
  <c r="BO37" i="27"/>
  <c r="BO37" i="29" s="1"/>
  <c r="BN37" i="27"/>
  <c r="BN37" i="29" s="1"/>
  <c r="BM37" i="27"/>
  <c r="BM37" i="29" s="1"/>
  <c r="BL37" i="27"/>
  <c r="BL37" i="29" s="1"/>
  <c r="BK37" i="27"/>
  <c r="BK37" i="29" s="1"/>
  <c r="BH37" i="27"/>
  <c r="BH37" i="29" s="1"/>
  <c r="BS37" i="27"/>
  <c r="BS37" i="29" s="1"/>
  <c r="BB37" i="27"/>
  <c r="BB37" i="29" s="1"/>
  <c r="BR37" i="27"/>
  <c r="BR37" i="29" s="1"/>
  <c r="BG37" i="27"/>
  <c r="BG37" i="29" s="1"/>
  <c r="BE37" i="27"/>
  <c r="BE37" i="29" s="1"/>
  <c r="BD37" i="27"/>
  <c r="BD37" i="29" s="1"/>
  <c r="BC37" i="27"/>
  <c r="BC37" i="29" s="1"/>
  <c r="BT37" i="27"/>
  <c r="BT37" i="29" s="1"/>
  <c r="BJ37" i="27"/>
  <c r="BJ37" i="29" s="1"/>
  <c r="BI37" i="27"/>
  <c r="BI37" i="29" s="1"/>
  <c r="Z112" i="26"/>
  <c r="BU37" i="27"/>
  <c r="BU37" i="29" s="1"/>
  <c r="AA111" i="26"/>
  <c r="AC111" i="26" s="1"/>
  <c r="Z51" i="27"/>
  <c r="Z51" i="29" s="1"/>
  <c r="AA51" i="27"/>
  <c r="AA51" i="29" s="1"/>
  <c r="AA363" i="26"/>
  <c r="AC363" i="26" s="1"/>
  <c r="Z362" i="26"/>
  <c r="BE71" i="27"/>
  <c r="BE71" i="29" s="1"/>
  <c r="BD71" i="27"/>
  <c r="BD71" i="29" s="1"/>
  <c r="BC71" i="27"/>
  <c r="BC71" i="29" s="1"/>
  <c r="BO71" i="27"/>
  <c r="BO71" i="29" s="1"/>
  <c r="BN71" i="27"/>
  <c r="BN71" i="29" s="1"/>
  <c r="BM71" i="27"/>
  <c r="BM71" i="29" s="1"/>
  <c r="BL71" i="27"/>
  <c r="BL71" i="29" s="1"/>
  <c r="BK71" i="27"/>
  <c r="BK71" i="29" s="1"/>
  <c r="BJ71" i="27"/>
  <c r="BJ71" i="29" s="1"/>
  <c r="BI71" i="27"/>
  <c r="BI71" i="29" s="1"/>
  <c r="BH71" i="27"/>
  <c r="BH71" i="29" s="1"/>
  <c r="BQ71" i="27"/>
  <c r="BQ71" i="29" s="1"/>
  <c r="AX71" i="27"/>
  <c r="AX71" i="29" s="1"/>
  <c r="BB71" i="27"/>
  <c r="BB71" i="29" s="1"/>
  <c r="BA71" i="27"/>
  <c r="BA71" i="29" s="1"/>
  <c r="AZ71" i="27"/>
  <c r="AZ71" i="29" s="1"/>
  <c r="AY71" i="27"/>
  <c r="AY71" i="29" s="1"/>
  <c r="BR71" i="27"/>
  <c r="BR71" i="29" s="1"/>
  <c r="BP71" i="27"/>
  <c r="BP71" i="29" s="1"/>
  <c r="BG71" i="27"/>
  <c r="BG71" i="29" s="1"/>
  <c r="BF71" i="27"/>
  <c r="BF71" i="29" s="1"/>
  <c r="Z195" i="26"/>
  <c r="AA196" i="26"/>
  <c r="AC196" i="26" s="1"/>
  <c r="DK56" i="27"/>
  <c r="DK56" i="29" s="1"/>
  <c r="DE56" i="27"/>
  <c r="DE56" i="29" s="1"/>
  <c r="DD56" i="27"/>
  <c r="DD56" i="29" s="1"/>
  <c r="DC56" i="27"/>
  <c r="DC56" i="29" s="1"/>
  <c r="DR56" i="27"/>
  <c r="DR56" i="29" s="1"/>
  <c r="DA56" i="27"/>
  <c r="DA56" i="29" s="1"/>
  <c r="DO56" i="27"/>
  <c r="DO56" i="29" s="1"/>
  <c r="DN56" i="27"/>
  <c r="DN56" i="29" s="1"/>
  <c r="DM56" i="27"/>
  <c r="DM56" i="29" s="1"/>
  <c r="DS56" i="27"/>
  <c r="DS56" i="29" s="1"/>
  <c r="DQ56" i="27"/>
  <c r="DQ56" i="29" s="1"/>
  <c r="DP56" i="27"/>
  <c r="DP56" i="29" s="1"/>
  <c r="DL56" i="27"/>
  <c r="DL56" i="29" s="1"/>
  <c r="DJ56" i="27"/>
  <c r="DJ56" i="29" s="1"/>
  <c r="DI56" i="27"/>
  <c r="DI56" i="29" s="1"/>
  <c r="DG56" i="27"/>
  <c r="DG56" i="29" s="1"/>
  <c r="DF56" i="27"/>
  <c r="DF56" i="29" s="1"/>
  <c r="DB56" i="27"/>
  <c r="DB56" i="29" s="1"/>
  <c r="CZ56" i="27"/>
  <c r="CZ56" i="29" s="1"/>
  <c r="CY56" i="27"/>
  <c r="CY56" i="29" s="1"/>
  <c r="DH56" i="27"/>
  <c r="DH56" i="29" s="1"/>
  <c r="DT56" i="27"/>
  <c r="Z129" i="26"/>
  <c r="Z547" i="26" s="1"/>
  <c r="AA128" i="26"/>
  <c r="AC128" i="26" s="1"/>
  <c r="T78" i="27"/>
  <c r="T78" i="29" s="1"/>
  <c r="S78" i="27"/>
  <c r="S78" i="29" s="1"/>
  <c r="R78" i="27"/>
  <c r="R78" i="29" s="1"/>
  <c r="Q78" i="27"/>
  <c r="Q78" i="29" s="1"/>
  <c r="P78" i="27"/>
  <c r="P78" i="29" s="1"/>
  <c r="O78" i="27"/>
  <c r="O78" i="29" s="1"/>
  <c r="K78" i="27"/>
  <c r="K78" i="29" s="1"/>
  <c r="U78" i="27"/>
  <c r="U78" i="29" s="1"/>
  <c r="N78" i="27"/>
  <c r="N78" i="29" s="1"/>
  <c r="M78" i="27"/>
  <c r="M78" i="29" s="1"/>
  <c r="L78" i="27"/>
  <c r="L78" i="29" s="1"/>
  <c r="J78" i="27"/>
  <c r="J78" i="29" s="1"/>
  <c r="I78" i="27"/>
  <c r="I78" i="29" s="1"/>
  <c r="H78" i="27"/>
  <c r="H78" i="29" s="1"/>
  <c r="W78" i="27"/>
  <c r="W78" i="29" s="1"/>
  <c r="V78" i="27"/>
  <c r="V78" i="29" s="1"/>
  <c r="Y78" i="27"/>
  <c r="Y78" i="29" s="1"/>
  <c r="X78" i="27"/>
  <c r="X78" i="29" s="1"/>
  <c r="Z254" i="26"/>
  <c r="AA253" i="26"/>
  <c r="AC253" i="26" s="1"/>
  <c r="BC50" i="29"/>
  <c r="BD50" i="29"/>
  <c r="BB50" i="29"/>
  <c r="BA50" i="29"/>
  <c r="BE50" i="29"/>
  <c r="AA557" i="26"/>
  <c r="AC557" i="26" s="1"/>
  <c r="Z576" i="26"/>
  <c r="Q55" i="27"/>
  <c r="Q55" i="29" s="1"/>
  <c r="P55" i="27"/>
  <c r="P55" i="29" s="1"/>
  <c r="O55" i="27"/>
  <c r="O55" i="29" s="1"/>
  <c r="N55" i="27"/>
  <c r="N55" i="29" s="1"/>
  <c r="I55" i="27"/>
  <c r="I55" i="29" s="1"/>
  <c r="X55" i="27"/>
  <c r="X55" i="29" s="1"/>
  <c r="G55" i="27"/>
  <c r="G55" i="29" s="1"/>
  <c r="W55" i="27"/>
  <c r="W55" i="29" s="1"/>
  <c r="U55" i="27"/>
  <c r="U55" i="29" s="1"/>
  <c r="T55" i="27"/>
  <c r="T55" i="29" s="1"/>
  <c r="S55" i="27"/>
  <c r="S55" i="29" s="1"/>
  <c r="R55" i="27"/>
  <c r="R55" i="29" s="1"/>
  <c r="M55" i="27"/>
  <c r="M55" i="29" s="1"/>
  <c r="L55" i="27"/>
  <c r="L55" i="29" s="1"/>
  <c r="K55" i="27"/>
  <c r="K55" i="29" s="1"/>
  <c r="J55" i="27"/>
  <c r="J55" i="29" s="1"/>
  <c r="H55" i="27"/>
  <c r="H55" i="29" s="1"/>
  <c r="F55" i="27"/>
  <c r="F55" i="29" s="1"/>
  <c r="Y55" i="27"/>
  <c r="Y55" i="29" s="1"/>
  <c r="V55" i="27"/>
  <c r="V55" i="29" s="1"/>
  <c r="AA232" i="26"/>
  <c r="AC232" i="26" s="1"/>
  <c r="Z233" i="26"/>
  <c r="CP52" i="27"/>
  <c r="CP52" i="29" s="1"/>
  <c r="CN52" i="27"/>
  <c r="CN52" i="29" s="1"/>
  <c r="CM52" i="27"/>
  <c r="CM52" i="29" s="1"/>
  <c r="CL52" i="27"/>
  <c r="CL52" i="29" s="1"/>
  <c r="CG52" i="27"/>
  <c r="CG52" i="29" s="1"/>
  <c r="CV52" i="27"/>
  <c r="CV52" i="29" s="1"/>
  <c r="CE52" i="27"/>
  <c r="CE52" i="29" s="1"/>
  <c r="CU52" i="27"/>
  <c r="CU52" i="29" s="1"/>
  <c r="CS52" i="27"/>
  <c r="CS52" i="29" s="1"/>
  <c r="CR52" i="27"/>
  <c r="CR52" i="29" s="1"/>
  <c r="CQ52" i="27"/>
  <c r="CQ52" i="29" s="1"/>
  <c r="CO52" i="27"/>
  <c r="CO52" i="29" s="1"/>
  <c r="CK52" i="27"/>
  <c r="CK52" i="29" s="1"/>
  <c r="CJ52" i="27"/>
  <c r="CJ52" i="29" s="1"/>
  <c r="CI52" i="27"/>
  <c r="CI52" i="29" s="1"/>
  <c r="CH52" i="27"/>
  <c r="CH52" i="29" s="1"/>
  <c r="CD52" i="27"/>
  <c r="CD52" i="29" s="1"/>
  <c r="CC52" i="27"/>
  <c r="CC52" i="29" s="1"/>
  <c r="CW52" i="27"/>
  <c r="CW52" i="29" s="1"/>
  <c r="AA145" i="26"/>
  <c r="AC145" i="26" s="1"/>
  <c r="CT52" i="27"/>
  <c r="CT52" i="29" s="1"/>
  <c r="Z144" i="26"/>
  <c r="CF52" i="27"/>
  <c r="CF52" i="29" s="1"/>
  <c r="CT56" i="27"/>
  <c r="CT56" i="29" s="1"/>
  <c r="CD56" i="27"/>
  <c r="CD56" i="29" s="1"/>
  <c r="CM56" i="27"/>
  <c r="CM56" i="29" s="1"/>
  <c r="CL56" i="27"/>
  <c r="CL56" i="29" s="1"/>
  <c r="CK56" i="27"/>
  <c r="CK56" i="29" s="1"/>
  <c r="CI56" i="27"/>
  <c r="CI56" i="29" s="1"/>
  <c r="CW56" i="27"/>
  <c r="CW56" i="29" s="1"/>
  <c r="CF56" i="27"/>
  <c r="CF56" i="29" s="1"/>
  <c r="CV56" i="27"/>
  <c r="CV56" i="29" s="1"/>
  <c r="CE56" i="27"/>
  <c r="CE56" i="29" s="1"/>
  <c r="CU56" i="27"/>
  <c r="CU56" i="29" s="1"/>
  <c r="CC56" i="27"/>
  <c r="CC56" i="29" s="1"/>
  <c r="CS56" i="27"/>
  <c r="CS56" i="29" s="1"/>
  <c r="CQ56" i="27"/>
  <c r="CQ56" i="29" s="1"/>
  <c r="CP56" i="27"/>
  <c r="CP56" i="29" s="1"/>
  <c r="CO56" i="27"/>
  <c r="CO56" i="29" s="1"/>
  <c r="CN56" i="27"/>
  <c r="CN56" i="29" s="1"/>
  <c r="CJ56" i="27"/>
  <c r="CJ56" i="29" s="1"/>
  <c r="CH56" i="27"/>
  <c r="CH56" i="29" s="1"/>
  <c r="CG56" i="27"/>
  <c r="CG56" i="29" s="1"/>
  <c r="CR56" i="27"/>
  <c r="CR56" i="29" s="1"/>
  <c r="AA149" i="26"/>
  <c r="AC149" i="26" s="1"/>
  <c r="Z150" i="26"/>
  <c r="CN35" i="27"/>
  <c r="CN35" i="29" s="1"/>
  <c r="BX35" i="27"/>
  <c r="BX35" i="29" s="1"/>
  <c r="BW35" i="27"/>
  <c r="BW35" i="29" s="1"/>
  <c r="CM35" i="27"/>
  <c r="CM35" i="29" s="1"/>
  <c r="CL35" i="27"/>
  <c r="CL35" i="29" s="1"/>
  <c r="CK35" i="27"/>
  <c r="CK35" i="29" s="1"/>
  <c r="CJ35" i="27"/>
  <c r="CJ35" i="29" s="1"/>
  <c r="CI35" i="27"/>
  <c r="CI35" i="29" s="1"/>
  <c r="CH35" i="27"/>
  <c r="CH35" i="29" s="1"/>
  <c r="CE35" i="27"/>
  <c r="CE35" i="29" s="1"/>
  <c r="BZ35" i="27"/>
  <c r="BZ35" i="29" s="1"/>
  <c r="CG35" i="27"/>
  <c r="CG35" i="29" s="1"/>
  <c r="CF35" i="27"/>
  <c r="CF35" i="29" s="1"/>
  <c r="CD35" i="27"/>
  <c r="CD35" i="29" s="1"/>
  <c r="CC35" i="27"/>
  <c r="CC35" i="29" s="1"/>
  <c r="CB35" i="27"/>
  <c r="CB35" i="29" s="1"/>
  <c r="CA35" i="27"/>
  <c r="CA35" i="29" s="1"/>
  <c r="BY35" i="27"/>
  <c r="BY35" i="29" s="1"/>
  <c r="Z95" i="26"/>
  <c r="Z601" i="26" s="1"/>
  <c r="AA94" i="26"/>
  <c r="AC94" i="26" s="1"/>
  <c r="DG52" i="27"/>
  <c r="DG52" i="29" s="1"/>
  <c r="DF52" i="27"/>
  <c r="DF52" i="29" s="1"/>
  <c r="DE52" i="27"/>
  <c r="DE52" i="29" s="1"/>
  <c r="DD52" i="27"/>
  <c r="DD52" i="29" s="1"/>
  <c r="DP52" i="27"/>
  <c r="DP52" i="29" s="1"/>
  <c r="CY52" i="27"/>
  <c r="CY52" i="29" s="1"/>
  <c r="DN52" i="27"/>
  <c r="DN52" i="29" s="1"/>
  <c r="DR52" i="27"/>
  <c r="DR52" i="29" s="1"/>
  <c r="DQ52" i="27"/>
  <c r="DQ52" i="29" s="1"/>
  <c r="DO52" i="27"/>
  <c r="DO52" i="29" s="1"/>
  <c r="DM52" i="27"/>
  <c r="DM52" i="29" s="1"/>
  <c r="DL52" i="27"/>
  <c r="DL52" i="29" s="1"/>
  <c r="DK52" i="27"/>
  <c r="DK52" i="29" s="1"/>
  <c r="DJ52" i="27"/>
  <c r="DJ52" i="29" s="1"/>
  <c r="DI52" i="27"/>
  <c r="DI52" i="29" s="1"/>
  <c r="DS52" i="27"/>
  <c r="DS52" i="29" s="1"/>
  <c r="DH52" i="27"/>
  <c r="DH52" i="29" s="1"/>
  <c r="DA52" i="27"/>
  <c r="DA52" i="29" s="1"/>
  <c r="DC52" i="27"/>
  <c r="DC52" i="29" s="1"/>
  <c r="Z123" i="26"/>
  <c r="DB52" i="27"/>
  <c r="DB52" i="29" s="1"/>
  <c r="CZ52" i="27"/>
  <c r="CZ52" i="29" s="1"/>
  <c r="AA124" i="26"/>
  <c r="AC124" i="26" s="1"/>
  <c r="Z72" i="27"/>
  <c r="Z72" i="29" s="1"/>
  <c r="AA350" i="26"/>
  <c r="AC350" i="26" s="1"/>
  <c r="BY49" i="27"/>
  <c r="BY49" i="29" s="1"/>
  <c r="BI49" i="27"/>
  <c r="BI49" i="29" s="1"/>
  <c r="BW49" i="27"/>
  <c r="BW49" i="29" s="1"/>
  <c r="BG49" i="27"/>
  <c r="BG49" i="29" s="1"/>
  <c r="BP49" i="27"/>
  <c r="BP49" i="29" s="1"/>
  <c r="BQ49" i="27"/>
  <c r="BQ49" i="29" s="1"/>
  <c r="BN49" i="27"/>
  <c r="BN49" i="29" s="1"/>
  <c r="BM49" i="27"/>
  <c r="BM49" i="29" s="1"/>
  <c r="BL49" i="27"/>
  <c r="BL49" i="29" s="1"/>
  <c r="BK49" i="27"/>
  <c r="BK49" i="29" s="1"/>
  <c r="BJ49" i="27"/>
  <c r="BJ49" i="29" s="1"/>
  <c r="BH49" i="27"/>
  <c r="BH49" i="29" s="1"/>
  <c r="BF49" i="27"/>
  <c r="BF49" i="29" s="1"/>
  <c r="BZ49" i="27"/>
  <c r="BZ49" i="29" s="1"/>
  <c r="BX49" i="27"/>
  <c r="BX49" i="29" s="1"/>
  <c r="BV49" i="27"/>
  <c r="BV49" i="29" s="1"/>
  <c r="BU49" i="27"/>
  <c r="BU49" i="29" s="1"/>
  <c r="BT49" i="27"/>
  <c r="BT49" i="29" s="1"/>
  <c r="BS49" i="27"/>
  <c r="BS49" i="29" s="1"/>
  <c r="BR49" i="27"/>
  <c r="BR49" i="29" s="1"/>
  <c r="BO49" i="27"/>
  <c r="BO49" i="29" s="1"/>
  <c r="AA163" i="26"/>
  <c r="AC163" i="26" s="1"/>
  <c r="Z162" i="26"/>
  <c r="J51" i="27"/>
  <c r="J51" i="29" s="1"/>
  <c r="Y51" i="27"/>
  <c r="Y51" i="29" s="1"/>
  <c r="I51" i="27"/>
  <c r="I51" i="29" s="1"/>
  <c r="X51" i="27"/>
  <c r="X51" i="29" s="1"/>
  <c r="H51" i="27"/>
  <c r="H51" i="29" s="1"/>
  <c r="S51" i="27"/>
  <c r="S51" i="29" s="1"/>
  <c r="Q51" i="27"/>
  <c r="Q51" i="29" s="1"/>
  <c r="N51" i="27"/>
  <c r="N51" i="29" s="1"/>
  <c r="L51" i="27"/>
  <c r="L51" i="29" s="1"/>
  <c r="K51" i="27"/>
  <c r="K51" i="29" s="1"/>
  <c r="G51" i="27"/>
  <c r="G51" i="29" s="1"/>
  <c r="F51" i="27"/>
  <c r="F51" i="29" s="1"/>
  <c r="V51" i="27"/>
  <c r="V51" i="29" s="1"/>
  <c r="O51" i="27"/>
  <c r="O51" i="29" s="1"/>
  <c r="M51" i="27"/>
  <c r="M51" i="29" s="1"/>
  <c r="R51" i="27"/>
  <c r="R51" i="29" s="1"/>
  <c r="P51" i="27"/>
  <c r="P51" i="29" s="1"/>
  <c r="Z227" i="26"/>
  <c r="U51" i="27"/>
  <c r="U51" i="29" s="1"/>
  <c r="AA228" i="26"/>
  <c r="AC228" i="26" s="1"/>
  <c r="W51" i="27"/>
  <c r="W51" i="29" s="1"/>
  <c r="T51" i="27"/>
  <c r="T51" i="29" s="1"/>
  <c r="EE46" i="27"/>
  <c r="EE46" i="29" s="1"/>
  <c r="EC46" i="27"/>
  <c r="EC46" i="29" s="1"/>
  <c r="EJ46" i="27"/>
  <c r="EJ46" i="29" s="1"/>
  <c r="EI46" i="27"/>
  <c r="EI46" i="29" s="1"/>
  <c r="EH46" i="27"/>
  <c r="EH46" i="29" s="1"/>
  <c r="EF46" i="27"/>
  <c r="EF46" i="29" s="1"/>
  <c r="ED46" i="27"/>
  <c r="ED46" i="29" s="1"/>
  <c r="EB46" i="27"/>
  <c r="EB46" i="29" s="1"/>
  <c r="EK46" i="27"/>
  <c r="EK46" i="29" s="1"/>
  <c r="EG46" i="27"/>
  <c r="EG46" i="29" s="1"/>
  <c r="EA46" i="27"/>
  <c r="EA46" i="29" s="1"/>
  <c r="DZ46" i="27"/>
  <c r="DZ46" i="29" s="1"/>
  <c r="DW46" i="27"/>
  <c r="DW46" i="29" s="1"/>
  <c r="DY46" i="27"/>
  <c r="DY46" i="29" s="1"/>
  <c r="DX46" i="27"/>
  <c r="DX46" i="29" s="1"/>
  <c r="DV46" i="27"/>
  <c r="DV46" i="29" s="1"/>
  <c r="Z37" i="26"/>
  <c r="AA36" i="26"/>
  <c r="AC36" i="26" s="1"/>
  <c r="AS66" i="27"/>
  <c r="AS66" i="29" s="1"/>
  <c r="AC66" i="27"/>
  <c r="AC66" i="29" s="1"/>
  <c r="AR66" i="27"/>
  <c r="AR66" i="29" s="1"/>
  <c r="AB66" i="27"/>
  <c r="AB66" i="29" s="1"/>
  <c r="AQ66" i="27"/>
  <c r="AQ66" i="29" s="1"/>
  <c r="AA66" i="27"/>
  <c r="AA66" i="29" s="1"/>
  <c r="AO66" i="27"/>
  <c r="AO66" i="29" s="1"/>
  <c r="AM66" i="27"/>
  <c r="AM66" i="29" s="1"/>
  <c r="AI66" i="27"/>
  <c r="AI66" i="29" s="1"/>
  <c r="AH66" i="27"/>
  <c r="AH66" i="29" s="1"/>
  <c r="AG66" i="27"/>
  <c r="AG66" i="29" s="1"/>
  <c r="AF66" i="27"/>
  <c r="AF66" i="29" s="1"/>
  <c r="AE66" i="27"/>
  <c r="AE66" i="29" s="1"/>
  <c r="AD66" i="27"/>
  <c r="AD66" i="29" s="1"/>
  <c r="AU66" i="27"/>
  <c r="AU66" i="29" s="1"/>
  <c r="AP66" i="27"/>
  <c r="AP66" i="29" s="1"/>
  <c r="AN66" i="27"/>
  <c r="AN66" i="29" s="1"/>
  <c r="AL66" i="27"/>
  <c r="AL66" i="29" s="1"/>
  <c r="AK66" i="27"/>
  <c r="AK66" i="29" s="1"/>
  <c r="AJ66" i="27"/>
  <c r="AJ66" i="29" s="1"/>
  <c r="AT66" i="27"/>
  <c r="AT66" i="29" s="1"/>
  <c r="Z208" i="26"/>
  <c r="AA209" i="26"/>
  <c r="AC209" i="26" s="1"/>
  <c r="BM53" i="27"/>
  <c r="BM53" i="29" s="1"/>
  <c r="BQ53" i="27"/>
  <c r="BQ53" i="29" s="1"/>
  <c r="BP53" i="27"/>
  <c r="BP53" i="29" s="1"/>
  <c r="BO53" i="27"/>
  <c r="BO53" i="29" s="1"/>
  <c r="BZ53" i="27"/>
  <c r="BZ53" i="29" s="1"/>
  <c r="BI53" i="27"/>
  <c r="BI53" i="29" s="1"/>
  <c r="BX53" i="27"/>
  <c r="BX53" i="29" s="1"/>
  <c r="BG53" i="27"/>
  <c r="BG53" i="29" s="1"/>
  <c r="BL53" i="27"/>
  <c r="BL53" i="29" s="1"/>
  <c r="BJ53" i="27"/>
  <c r="BJ53" i="29" s="1"/>
  <c r="BH53" i="27"/>
  <c r="BH53" i="29" s="1"/>
  <c r="BF53" i="27"/>
  <c r="BF53" i="29" s="1"/>
  <c r="BY53" i="27"/>
  <c r="BY53" i="29" s="1"/>
  <c r="BW53" i="27"/>
  <c r="BW53" i="29" s="1"/>
  <c r="BV53" i="27"/>
  <c r="BV53" i="29" s="1"/>
  <c r="BU53" i="27"/>
  <c r="BU53" i="29" s="1"/>
  <c r="BT53" i="27"/>
  <c r="BT53" i="29" s="1"/>
  <c r="BS53" i="27"/>
  <c r="BS53" i="29" s="1"/>
  <c r="BR53" i="27"/>
  <c r="BR53" i="29" s="1"/>
  <c r="BN53" i="27"/>
  <c r="BN53" i="29" s="1"/>
  <c r="BK53" i="27"/>
  <c r="BK53" i="29" s="1"/>
  <c r="Z560" i="26"/>
  <c r="AA167" i="26"/>
  <c r="AC167" i="26" s="1"/>
  <c r="Z168" i="26"/>
  <c r="DZ33" i="27"/>
  <c r="DZ33" i="29" s="1"/>
  <c r="DJ33" i="27"/>
  <c r="DJ33" i="29" s="1"/>
  <c r="DP33" i="27"/>
  <c r="DP33" i="29" s="1"/>
  <c r="DO33" i="27"/>
  <c r="DO33" i="29" s="1"/>
  <c r="DN33" i="27"/>
  <c r="DN33" i="29" s="1"/>
  <c r="DM33" i="27"/>
  <c r="DM33" i="29" s="1"/>
  <c r="DL33" i="27"/>
  <c r="DL33" i="29" s="1"/>
  <c r="DK33" i="27"/>
  <c r="DK33" i="29" s="1"/>
  <c r="EA33" i="27"/>
  <c r="EA33" i="29" s="1"/>
  <c r="DW33" i="27"/>
  <c r="DW33" i="29" s="1"/>
  <c r="DR33" i="27"/>
  <c r="DR33" i="29" s="1"/>
  <c r="DY33" i="27"/>
  <c r="DY33" i="29" s="1"/>
  <c r="DX33" i="27"/>
  <c r="DX33" i="29" s="1"/>
  <c r="DV33" i="27"/>
  <c r="DV33" i="29" s="1"/>
  <c r="DU33" i="27"/>
  <c r="DU33" i="29" s="1"/>
  <c r="DT33" i="27"/>
  <c r="DT33" i="29" s="1"/>
  <c r="DS33" i="27"/>
  <c r="DS33" i="29" s="1"/>
  <c r="DQ33" i="27"/>
  <c r="DQ33" i="29" s="1"/>
  <c r="AA58" i="26"/>
  <c r="AC58" i="26" s="1"/>
  <c r="Z59" i="26"/>
  <c r="BD52" i="29"/>
  <c r="BE52" i="29"/>
  <c r="AA559" i="26"/>
  <c r="AC559" i="26" s="1"/>
  <c r="E55" i="27"/>
  <c r="E55" i="29" s="1"/>
  <c r="D55" i="27"/>
  <c r="D55" i="29" s="1"/>
  <c r="AA288" i="26"/>
  <c r="AC288" i="26" s="1"/>
  <c r="Z289" i="26"/>
  <c r="EO34" i="27"/>
  <c r="EO34" i="29" s="1"/>
  <c r="EL34" i="27"/>
  <c r="EL34" i="29" s="1"/>
  <c r="EK34" i="27"/>
  <c r="EK34" i="29" s="1"/>
  <c r="EJ34" i="27"/>
  <c r="EJ34" i="29" s="1"/>
  <c r="EI34" i="27"/>
  <c r="EI34" i="29" s="1"/>
  <c r="EH34" i="27"/>
  <c r="EH34" i="29" s="1"/>
  <c r="EG34" i="27"/>
  <c r="EG34" i="29" s="1"/>
  <c r="EF34" i="27"/>
  <c r="EF34" i="29" s="1"/>
  <c r="ET34" i="27"/>
  <c r="ET34" i="29" s="1"/>
  <c r="EC34" i="27"/>
  <c r="EC34" i="29" s="1"/>
  <c r="EN34" i="27"/>
  <c r="EN34" i="29" s="1"/>
  <c r="EU34" i="27"/>
  <c r="EU34" i="29" s="1"/>
  <c r="ES34" i="27"/>
  <c r="ES34" i="29" s="1"/>
  <c r="ER34" i="27"/>
  <c r="ER34" i="29" s="1"/>
  <c r="EQ34" i="27"/>
  <c r="EQ34" i="29" s="1"/>
  <c r="EP34" i="27"/>
  <c r="EP34" i="29" s="1"/>
  <c r="EM34" i="27"/>
  <c r="EM34" i="29" s="1"/>
  <c r="EE34" i="27"/>
  <c r="EE34" i="29" s="1"/>
  <c r="ED34" i="27"/>
  <c r="ED34" i="29" s="1"/>
  <c r="Z773" i="26"/>
  <c r="AA26" i="26"/>
  <c r="AC26" i="26" s="1"/>
  <c r="Z27" i="26"/>
  <c r="BV34" i="27"/>
  <c r="BV34" i="29" s="1"/>
  <c r="AA617" i="26"/>
  <c r="AC617" i="26" s="1"/>
  <c r="DH31" i="27"/>
  <c r="DH31" i="29" s="1"/>
  <c r="CR31" i="27"/>
  <c r="CR31" i="29" s="1"/>
  <c r="DG31" i="27"/>
  <c r="DG31" i="29" s="1"/>
  <c r="CQ31" i="27"/>
  <c r="CQ31" i="29" s="1"/>
  <c r="DF31" i="27"/>
  <c r="DF31" i="29" s="1"/>
  <c r="DE31" i="27"/>
  <c r="DE31" i="29" s="1"/>
  <c r="DD31" i="27"/>
  <c r="DD31" i="29" s="1"/>
  <c r="DC31" i="27"/>
  <c r="DC31" i="29" s="1"/>
  <c r="DB31" i="27"/>
  <c r="DB31" i="29" s="1"/>
  <c r="CY31" i="27"/>
  <c r="CY31" i="29" s="1"/>
  <c r="CT31" i="27"/>
  <c r="CT31" i="29" s="1"/>
  <c r="CV31" i="27"/>
  <c r="CV31" i="29" s="1"/>
  <c r="CU31" i="27"/>
  <c r="CU31" i="29" s="1"/>
  <c r="CS31" i="27"/>
  <c r="CS31" i="29" s="1"/>
  <c r="DA31" i="27"/>
  <c r="DA31" i="29" s="1"/>
  <c r="CZ31" i="27"/>
  <c r="CZ31" i="29" s="1"/>
  <c r="CX31" i="27"/>
  <c r="CX31" i="29" s="1"/>
  <c r="CW31" i="27"/>
  <c r="CW31" i="29" s="1"/>
  <c r="AA72" i="26"/>
  <c r="AC72" i="26" s="1"/>
  <c r="Z71" i="26"/>
  <c r="K72" i="27"/>
  <c r="K72" i="29" s="1"/>
  <c r="J72" i="27"/>
  <c r="J72" i="29" s="1"/>
  <c r="R72" i="27"/>
  <c r="R72" i="29" s="1"/>
  <c r="Q72" i="27"/>
  <c r="Q72" i="29" s="1"/>
  <c r="P72" i="27"/>
  <c r="P72" i="29" s="1"/>
  <c r="O72" i="27"/>
  <c r="O72" i="29" s="1"/>
  <c r="N72" i="27"/>
  <c r="N72" i="29" s="1"/>
  <c r="M72" i="27"/>
  <c r="M72" i="29" s="1"/>
  <c r="I72" i="27"/>
  <c r="I72" i="29" s="1"/>
  <c r="H72" i="27"/>
  <c r="H72" i="29" s="1"/>
  <c r="T72" i="27"/>
  <c r="T72" i="29" s="1"/>
  <c r="Y72" i="27"/>
  <c r="Y72" i="29" s="1"/>
  <c r="X72" i="27"/>
  <c r="X72" i="29" s="1"/>
  <c r="W72" i="27"/>
  <c r="W72" i="29" s="1"/>
  <c r="S72" i="27"/>
  <c r="S72" i="29" s="1"/>
  <c r="Z246" i="26"/>
  <c r="AA247" i="26"/>
  <c r="AC247" i="26" s="1"/>
  <c r="AR72" i="27"/>
  <c r="AR72" i="29" s="1"/>
  <c r="AB72" i="27"/>
  <c r="AB72" i="29" s="1"/>
  <c r="AQ72" i="27"/>
  <c r="AQ72" i="29" s="1"/>
  <c r="AA72" i="27"/>
  <c r="AA72" i="29" s="1"/>
  <c r="AP72" i="27"/>
  <c r="AP72" i="29" s="1"/>
  <c r="AK72" i="27"/>
  <c r="AK72" i="29" s="1"/>
  <c r="AJ72" i="27"/>
  <c r="AJ72" i="29" s="1"/>
  <c r="AI72" i="27"/>
  <c r="AI72" i="29" s="1"/>
  <c r="AH72" i="27"/>
  <c r="AH72" i="29" s="1"/>
  <c r="AG72" i="27"/>
  <c r="AG72" i="29" s="1"/>
  <c r="AF72" i="27"/>
  <c r="AF72" i="29" s="1"/>
  <c r="AE72" i="27"/>
  <c r="AE72" i="29" s="1"/>
  <c r="AD72" i="27"/>
  <c r="AD72" i="29" s="1"/>
  <c r="AM72" i="27"/>
  <c r="AM72" i="29" s="1"/>
  <c r="AN72" i="27"/>
  <c r="AN72" i="29" s="1"/>
  <c r="AL72" i="27"/>
  <c r="AL72" i="29" s="1"/>
  <c r="AC72" i="27"/>
  <c r="AC72" i="29" s="1"/>
  <c r="AU72" i="27"/>
  <c r="AU72" i="29" s="1"/>
  <c r="AT72" i="27"/>
  <c r="AT72" i="29" s="1"/>
  <c r="AS72" i="27"/>
  <c r="AS72" i="29" s="1"/>
  <c r="AO72" i="27"/>
  <c r="AO72" i="29" s="1"/>
  <c r="Z216" i="26"/>
  <c r="AA215" i="26"/>
  <c r="AC215" i="26" s="1"/>
  <c r="Z55" i="27"/>
  <c r="Z55" i="29" s="1"/>
  <c r="Z368" i="26"/>
  <c r="AB55" i="27"/>
  <c r="AB55" i="29" s="1"/>
  <c r="AA55" i="27"/>
  <c r="AA55" i="29" s="1"/>
  <c r="AA367" i="26"/>
  <c r="AC367" i="26" s="1"/>
  <c r="BM32" i="27"/>
  <c r="BM32" i="29" s="1"/>
  <c r="BI32" i="27"/>
  <c r="BI32" i="29" s="1"/>
  <c r="BH32" i="27"/>
  <c r="BH32" i="29" s="1"/>
  <c r="BG32" i="27"/>
  <c r="BG32" i="29" s="1"/>
  <c r="BF32" i="27"/>
  <c r="BF32" i="29" s="1"/>
  <c r="BE32" i="27"/>
  <c r="BE32" i="29" s="1"/>
  <c r="BU32" i="27"/>
  <c r="BU32" i="29" s="1"/>
  <c r="BD32" i="27"/>
  <c r="BD32" i="29" s="1"/>
  <c r="BT32" i="27"/>
  <c r="BT32" i="29" s="1"/>
  <c r="BC32" i="27"/>
  <c r="BC32" i="29" s="1"/>
  <c r="BQ32" i="27"/>
  <c r="BQ32" i="29" s="1"/>
  <c r="BK32" i="27"/>
  <c r="BK32" i="29" s="1"/>
  <c r="BS32" i="27"/>
  <c r="BS32" i="29" s="1"/>
  <c r="BR32" i="27"/>
  <c r="BR32" i="29" s="1"/>
  <c r="BP32" i="27"/>
  <c r="BP32" i="29" s="1"/>
  <c r="BO32" i="27"/>
  <c r="BO32" i="29" s="1"/>
  <c r="BN32" i="27"/>
  <c r="BN32" i="29" s="1"/>
  <c r="BL32" i="27"/>
  <c r="BL32" i="29" s="1"/>
  <c r="BJ32" i="27"/>
  <c r="BJ32" i="29" s="1"/>
  <c r="BB32" i="27"/>
  <c r="BB32" i="29" s="1"/>
  <c r="AA106" i="26"/>
  <c r="AC106" i="26" s="1"/>
  <c r="Z105" i="26"/>
  <c r="ET29" i="27"/>
  <c r="ET29" i="29" s="1"/>
  <c r="ED29" i="27"/>
  <c r="ED29" i="29" s="1"/>
  <c r="ES29" i="27"/>
  <c r="ES29" i="29" s="1"/>
  <c r="EC29" i="27"/>
  <c r="EC29" i="29" s="1"/>
  <c r="ER29" i="27"/>
  <c r="ER29" i="29" s="1"/>
  <c r="EQ29" i="27"/>
  <c r="EQ29" i="29" s="1"/>
  <c r="EP29" i="27"/>
  <c r="EP29" i="29" s="1"/>
  <c r="EO29" i="27"/>
  <c r="EO29" i="29" s="1"/>
  <c r="EN29" i="27"/>
  <c r="EN29" i="29" s="1"/>
  <c r="EK29" i="27"/>
  <c r="EK29" i="29" s="1"/>
  <c r="EF29" i="27"/>
  <c r="EF29" i="29" s="1"/>
  <c r="EU29" i="27"/>
  <c r="EU29" i="29" s="1"/>
  <c r="Z791" i="26"/>
  <c r="EM29" i="27"/>
  <c r="EM29" i="29" s="1"/>
  <c r="EL29" i="27"/>
  <c r="EL29" i="29" s="1"/>
  <c r="EJ29" i="27"/>
  <c r="EJ29" i="29" s="1"/>
  <c r="EI29" i="27"/>
  <c r="EI29" i="29" s="1"/>
  <c r="EH29" i="27"/>
  <c r="EH29" i="29" s="1"/>
  <c r="EG29" i="27"/>
  <c r="EG29" i="29" s="1"/>
  <c r="EE29" i="27"/>
  <c r="EE29" i="29" s="1"/>
  <c r="AA21" i="26"/>
  <c r="AC21" i="26" s="1"/>
  <c r="Z20" i="26"/>
  <c r="BV31" i="27"/>
  <c r="BV31" i="29" s="1"/>
  <c r="AA614" i="26"/>
  <c r="AC614" i="26" s="1"/>
  <c r="C51" i="27"/>
  <c r="C51" i="29" s="1"/>
  <c r="E51" i="27"/>
  <c r="E51" i="29" s="1"/>
  <c r="D51" i="27"/>
  <c r="D51" i="29" s="1"/>
  <c r="Z283" i="26"/>
  <c r="AA284" i="26"/>
  <c r="AC284" i="26" s="1"/>
  <c r="DM29" i="27"/>
  <c r="DM29" i="29" s="1"/>
  <c r="DL29" i="27"/>
  <c r="DL29" i="29" s="1"/>
  <c r="EA29" i="27"/>
  <c r="EA29" i="29" s="1"/>
  <c r="DK29" i="27"/>
  <c r="DK29" i="29" s="1"/>
  <c r="DZ29" i="27"/>
  <c r="DZ29" i="29" s="1"/>
  <c r="DJ29" i="27"/>
  <c r="DJ29" i="29" s="1"/>
  <c r="DY29" i="27"/>
  <c r="DY29" i="29" s="1"/>
  <c r="DX29" i="27"/>
  <c r="DX29" i="29" s="1"/>
  <c r="DW29" i="27"/>
  <c r="DW29" i="29" s="1"/>
  <c r="DT29" i="27"/>
  <c r="DT29" i="29" s="1"/>
  <c r="DO29" i="27"/>
  <c r="DO29" i="29" s="1"/>
  <c r="DV29" i="27"/>
  <c r="DV29" i="29" s="1"/>
  <c r="DU29" i="27"/>
  <c r="DU29" i="29" s="1"/>
  <c r="DS29" i="27"/>
  <c r="DS29" i="29" s="1"/>
  <c r="DR29" i="27"/>
  <c r="DR29" i="29" s="1"/>
  <c r="DQ29" i="27"/>
  <c r="DQ29" i="29" s="1"/>
  <c r="DP29" i="27"/>
  <c r="DP29" i="29" s="1"/>
  <c r="DN29" i="27"/>
  <c r="DN29" i="29" s="1"/>
  <c r="Z53" i="26"/>
  <c r="AA54" i="26"/>
  <c r="AC54" i="26" s="1"/>
  <c r="DE69" i="27"/>
  <c r="DE69" i="29" s="1"/>
  <c r="DD69" i="27"/>
  <c r="DD69" i="29" s="1"/>
  <c r="DC69" i="27"/>
  <c r="DC69" i="29" s="1"/>
  <c r="DB69" i="27"/>
  <c r="DB69" i="29" s="1"/>
  <c r="DA69" i="27"/>
  <c r="DA69" i="29" s="1"/>
  <c r="CZ69" i="27"/>
  <c r="CZ69" i="29" s="1"/>
  <c r="CY69" i="27"/>
  <c r="CY69" i="29" s="1"/>
  <c r="CX69" i="27"/>
  <c r="CX69" i="29" s="1"/>
  <c r="DG69" i="27"/>
  <c r="DG69" i="29" s="1"/>
  <c r="CQ69" i="27"/>
  <c r="CQ69" i="29" s="1"/>
  <c r="DJ69" i="27"/>
  <c r="DJ69" i="29" s="1"/>
  <c r="DI69" i="27"/>
  <c r="DI69" i="29" s="1"/>
  <c r="DH69" i="27"/>
  <c r="DH69" i="29" s="1"/>
  <c r="DF69" i="27"/>
  <c r="DF69" i="29" s="1"/>
  <c r="CW69" i="27"/>
  <c r="CW69" i="29" s="1"/>
  <c r="CV69" i="27"/>
  <c r="CV69" i="29" s="1"/>
  <c r="CU69" i="27"/>
  <c r="CU69" i="29" s="1"/>
  <c r="CT69" i="27"/>
  <c r="CT69" i="29" s="1"/>
  <c r="CS69" i="27"/>
  <c r="CS69" i="29" s="1"/>
  <c r="CR69" i="27"/>
  <c r="CR69" i="29" s="1"/>
  <c r="DK69" i="27"/>
  <c r="DK69" i="29" s="1"/>
  <c r="AA176" i="26"/>
  <c r="AC176" i="26" s="1"/>
  <c r="Z177" i="26"/>
  <c r="Z488" i="26" s="1"/>
  <c r="DX8" i="27"/>
  <c r="DX8" i="29" s="1"/>
  <c r="Z820" i="26"/>
  <c r="EG8" i="27"/>
  <c r="EG8" i="29" s="1"/>
  <c r="EF8" i="27"/>
  <c r="EF8" i="29" s="1"/>
  <c r="EE8" i="27"/>
  <c r="EE8" i="29" s="1"/>
  <c r="ED8" i="27"/>
  <c r="ED8" i="29" s="1"/>
  <c r="EC8" i="27"/>
  <c r="EC8" i="29" s="1"/>
  <c r="EB8" i="27"/>
  <c r="EB8" i="29" s="1"/>
  <c r="EA8" i="27"/>
  <c r="EA8" i="29" s="1"/>
  <c r="DZ8" i="27"/>
  <c r="DZ8" i="29" s="1"/>
  <c r="AA821" i="26"/>
  <c r="AC821" i="26" s="1"/>
  <c r="DY8" i="27"/>
  <c r="DY8" i="29" s="1"/>
  <c r="EH8" i="27"/>
  <c r="EH8" i="29" s="1"/>
  <c r="DW8" i="27"/>
  <c r="DW8" i="29" s="1"/>
  <c r="DV8" i="27"/>
  <c r="DV8" i="29" s="1"/>
  <c r="DF35" i="27"/>
  <c r="DF35" i="29" s="1"/>
  <c r="DH35" i="27"/>
  <c r="DH35" i="29" s="1"/>
  <c r="CQ35" i="27"/>
  <c r="CQ35" i="29" s="1"/>
  <c r="DG35" i="27"/>
  <c r="DG35" i="29" s="1"/>
  <c r="DE35" i="27"/>
  <c r="DE35" i="29" s="1"/>
  <c r="DD35" i="27"/>
  <c r="DD35" i="29" s="1"/>
  <c r="DC35" i="27"/>
  <c r="DC35" i="29" s="1"/>
  <c r="DB35" i="27"/>
  <c r="DB35" i="29" s="1"/>
  <c r="DA35" i="27"/>
  <c r="DA35" i="29" s="1"/>
  <c r="CX35" i="27"/>
  <c r="CX35" i="29" s="1"/>
  <c r="CS35" i="27"/>
  <c r="CS35" i="29" s="1"/>
  <c r="CT35" i="27"/>
  <c r="CT35" i="29" s="1"/>
  <c r="CR35" i="27"/>
  <c r="CR35" i="29" s="1"/>
  <c r="CU35" i="27"/>
  <c r="CU35" i="29" s="1"/>
  <c r="CW35" i="27"/>
  <c r="CW35" i="29" s="1"/>
  <c r="CV35" i="27"/>
  <c r="CV35" i="29" s="1"/>
  <c r="Z77" i="26"/>
  <c r="CZ35" i="27"/>
  <c r="CZ35" i="29" s="1"/>
  <c r="AA76" i="26"/>
  <c r="AC76" i="26" s="1"/>
  <c r="CY35" i="27"/>
  <c r="CY35" i="29" s="1"/>
  <c r="EX30" i="27"/>
  <c r="EX30" i="29" s="1"/>
  <c r="EW30" i="27"/>
  <c r="EW30" i="29" s="1"/>
  <c r="EV30" i="27"/>
  <c r="EV30" i="29" s="1"/>
  <c r="AA792" i="26"/>
  <c r="AC792" i="26" s="1"/>
  <c r="U41" i="43" l="1"/>
  <c r="G4" i="43"/>
  <c r="AD21" i="43"/>
  <c r="H4" i="43"/>
  <c r="J134" i="30"/>
  <c r="M134" i="30"/>
  <c r="N134" i="30" s="1"/>
  <c r="P134" i="30" s="1"/>
  <c r="AB40" i="30"/>
  <c r="AC40" i="30" s="1"/>
  <c r="D156" i="30"/>
  <c r="AB29" i="30"/>
  <c r="AC29" i="30" s="1"/>
  <c r="D150" i="30"/>
  <c r="AB33" i="30"/>
  <c r="AC33" i="30" s="1"/>
  <c r="D152" i="30"/>
  <c r="D102" i="30"/>
  <c r="R102" i="30" s="1"/>
  <c r="AB39" i="30"/>
  <c r="AC39" i="30" s="1"/>
  <c r="D155" i="30"/>
  <c r="AB25" i="30"/>
  <c r="AC25" i="30" s="1"/>
  <c r="D148" i="30"/>
  <c r="AB35" i="30"/>
  <c r="AC35" i="30" s="1"/>
  <c r="D153" i="30"/>
  <c r="AB22" i="30"/>
  <c r="M55" i="30" s="1"/>
  <c r="D146" i="30"/>
  <c r="AB27" i="30"/>
  <c r="AC27" i="30" s="1"/>
  <c r="D149" i="30"/>
  <c r="AB24" i="30"/>
  <c r="AC24" i="30" s="1"/>
  <c r="D147" i="30"/>
  <c r="AB31" i="30"/>
  <c r="AC31" i="30" s="1"/>
  <c r="D151" i="30"/>
  <c r="AB43" i="30"/>
  <c r="AC43" i="30" s="1"/>
  <c r="D158" i="30"/>
  <c r="AB37" i="30"/>
  <c r="M70" i="30" s="1"/>
  <c r="D154" i="30"/>
  <c r="AB41" i="30"/>
  <c r="M74" i="30" s="1"/>
  <c r="D157" i="30"/>
  <c r="I134" i="30"/>
  <c r="G135" i="30"/>
  <c r="M135" i="30" s="1"/>
  <c r="N135" i="30" s="1"/>
  <c r="P135" i="30" s="1"/>
  <c r="M67" i="30"/>
  <c r="AE244" i="41"/>
  <c r="AA245" i="41"/>
  <c r="R244" i="41"/>
  <c r="P244" i="41"/>
  <c r="Q244" i="41" s="1"/>
  <c r="X244" i="41"/>
  <c r="Z244" i="41"/>
  <c r="Z245" i="41" s="1"/>
  <c r="K21" i="41"/>
  <c r="L20" i="41"/>
  <c r="Y244" i="41"/>
  <c r="X160" i="25"/>
  <c r="L162" i="25"/>
  <c r="M162" i="25" s="1"/>
  <c r="N162" i="25" s="1"/>
  <c r="P162" i="25" s="1"/>
  <c r="Q162" i="25" s="1"/>
  <c r="Y160" i="25"/>
  <c r="Z160" i="25"/>
  <c r="AC38" i="30"/>
  <c r="N71" i="30" s="1"/>
  <c r="Z21" i="30"/>
  <c r="N77" i="30"/>
  <c r="AE44" i="30"/>
  <c r="AF44" i="30" s="1"/>
  <c r="N67" i="30"/>
  <c r="AE34" i="30"/>
  <c r="AF34" i="30" s="1"/>
  <c r="AC32" i="30"/>
  <c r="M65" i="30"/>
  <c r="N75" i="30"/>
  <c r="AE42" i="30"/>
  <c r="AF42" i="30" s="1"/>
  <c r="AC46" i="30"/>
  <c r="M79" i="30"/>
  <c r="M57" i="30"/>
  <c r="M64" i="30"/>
  <c r="AC26" i="30"/>
  <c r="M59" i="30"/>
  <c r="N61" i="30"/>
  <c r="AE28" i="30"/>
  <c r="AF28" i="30" s="1"/>
  <c r="AC45" i="30"/>
  <c r="M78" i="30"/>
  <c r="N63" i="30"/>
  <c r="AE30" i="30"/>
  <c r="AF30" i="30" s="1"/>
  <c r="N69" i="30"/>
  <c r="AE36" i="30"/>
  <c r="AF36" i="30" s="1"/>
  <c r="AL23" i="30"/>
  <c r="J101" i="30" s="1"/>
  <c r="AI23" i="30"/>
  <c r="R183" i="25"/>
  <c r="P183" i="25"/>
  <c r="Q183" i="25" s="1"/>
  <c r="R241" i="25"/>
  <c r="P241" i="25"/>
  <c r="Q241" i="25" s="1"/>
  <c r="R174" i="25"/>
  <c r="P174" i="25"/>
  <c r="Q174" i="25" s="1"/>
  <c r="X229" i="25"/>
  <c r="U161" i="25"/>
  <c r="R207" i="25"/>
  <c r="P207" i="25"/>
  <c r="Q207" i="25" s="1"/>
  <c r="R240" i="25"/>
  <c r="P240" i="25"/>
  <c r="Q240" i="25" s="1"/>
  <c r="L231" i="25"/>
  <c r="M231" i="25" s="1"/>
  <c r="L232" i="25" s="1"/>
  <c r="M232" i="25" s="1"/>
  <c r="N232" i="25" s="1"/>
  <c r="P232" i="25" s="1"/>
  <c r="Q232" i="25" s="1"/>
  <c r="Z229" i="25"/>
  <c r="AA229" i="25"/>
  <c r="AE229" i="25" s="1"/>
  <c r="Y237" i="25"/>
  <c r="Z174" i="25"/>
  <c r="X186" i="25"/>
  <c r="X174" i="25"/>
  <c r="AA240" i="25"/>
  <c r="AE240" i="25" s="1"/>
  <c r="AA174" i="25"/>
  <c r="AE174" i="25" s="1"/>
  <c r="AA202" i="25"/>
  <c r="AE202" i="25" s="1"/>
  <c r="X202" i="25"/>
  <c r="Z177" i="25"/>
  <c r="X215" i="25"/>
  <c r="Y202" i="25"/>
  <c r="Z202" i="25"/>
  <c r="AA216" i="25"/>
  <c r="AE216" i="25" s="1"/>
  <c r="Z207" i="25"/>
  <c r="AA207" i="25"/>
  <c r="AE207" i="25" s="1"/>
  <c r="X207" i="25"/>
  <c r="N217" i="25"/>
  <c r="P217" i="25" s="1"/>
  <c r="Q217" i="25" s="1"/>
  <c r="B260" i="25"/>
  <c r="AA241" i="25"/>
  <c r="AE241" i="25" s="1"/>
  <c r="AA177" i="25"/>
  <c r="AE177" i="25" s="1"/>
  <c r="Y177" i="25"/>
  <c r="U178" i="25"/>
  <c r="X177" i="25"/>
  <c r="L179" i="25"/>
  <c r="M179" i="25" s="1"/>
  <c r="N179" i="25" s="1"/>
  <c r="P179" i="25" s="1"/>
  <c r="Q179" i="25" s="1"/>
  <c r="X170" i="25"/>
  <c r="AA170" i="25"/>
  <c r="AE170" i="25" s="1"/>
  <c r="Z241" i="25"/>
  <c r="X241" i="25"/>
  <c r="Y241" i="25"/>
  <c r="N243" i="25"/>
  <c r="P243" i="25" s="1"/>
  <c r="Q243" i="25" s="1"/>
  <c r="L244" i="25"/>
  <c r="Y170" i="25"/>
  <c r="N218" i="25"/>
  <c r="P218" i="25" s="1"/>
  <c r="Q218" i="25" s="1"/>
  <c r="L219" i="25"/>
  <c r="M219" i="25" s="1"/>
  <c r="N219" i="25" s="1"/>
  <c r="P219" i="25" s="1"/>
  <c r="Q219" i="25" s="1"/>
  <c r="M199" i="25"/>
  <c r="L200" i="25" s="1"/>
  <c r="N198" i="25"/>
  <c r="P198" i="25" s="1"/>
  <c r="Q198" i="25" s="1"/>
  <c r="N187" i="25"/>
  <c r="P187" i="25" s="1"/>
  <c r="Q187" i="25" s="1"/>
  <c r="M188" i="25"/>
  <c r="N188" i="25" s="1"/>
  <c r="P188" i="25" s="1"/>
  <c r="Q188" i="25" s="1"/>
  <c r="AA183" i="25"/>
  <c r="AE183" i="25" s="1"/>
  <c r="Y183" i="25"/>
  <c r="X183" i="25"/>
  <c r="Z183" i="25"/>
  <c r="Y196" i="25"/>
  <c r="AA196" i="25"/>
  <c r="AE196" i="25" s="1"/>
  <c r="AA227" i="25"/>
  <c r="AE227" i="25" s="1"/>
  <c r="Y164" i="25"/>
  <c r="AA164" i="25"/>
  <c r="AE164" i="25" s="1"/>
  <c r="Z164" i="25"/>
  <c r="X227" i="25"/>
  <c r="AA204" i="25"/>
  <c r="AE204" i="25" s="1"/>
  <c r="Z227" i="25"/>
  <c r="Z240" i="25"/>
  <c r="AA186" i="25"/>
  <c r="AE186" i="25" s="1"/>
  <c r="Y240" i="25"/>
  <c r="Z215" i="25"/>
  <c r="Y215" i="25"/>
  <c r="AA237" i="25"/>
  <c r="AE237" i="25" s="1"/>
  <c r="Z237" i="25"/>
  <c r="Y204" i="25"/>
  <c r="X240" i="25"/>
  <c r="X237" i="25"/>
  <c r="X196" i="25"/>
  <c r="Z204" i="25"/>
  <c r="AA223" i="25"/>
  <c r="AE223" i="25" s="1"/>
  <c r="X223" i="25"/>
  <c r="Z223" i="25"/>
  <c r="Z191" i="25"/>
  <c r="AA191" i="25"/>
  <c r="AE191" i="25" s="1"/>
  <c r="X191" i="25"/>
  <c r="AA215" i="25"/>
  <c r="AE215" i="25" s="1"/>
  <c r="Z186" i="25"/>
  <c r="Y186" i="25"/>
  <c r="U230" i="25"/>
  <c r="U205" i="25"/>
  <c r="Y166" i="25"/>
  <c r="Z166" i="25"/>
  <c r="AA166" i="25"/>
  <c r="AE166" i="25" s="1"/>
  <c r="V161" i="25"/>
  <c r="R161" i="25"/>
  <c r="Y216" i="25"/>
  <c r="V178" i="25"/>
  <c r="R178" i="25"/>
  <c r="R242" i="25"/>
  <c r="V242" i="25"/>
  <c r="AA242" i="25" s="1"/>
  <c r="AE242" i="25" s="1"/>
  <c r="U243" i="25"/>
  <c r="U217" i="25"/>
  <c r="U187" i="25"/>
  <c r="X216" i="25"/>
  <c r="Z216" i="25"/>
  <c r="U228" i="25"/>
  <c r="U197" i="25"/>
  <c r="DZ7" i="27"/>
  <c r="EA7" i="27"/>
  <c r="EB7" i="27"/>
  <c r="EB7" i="29" s="1"/>
  <c r="EC7" i="27"/>
  <c r="EC7" i="29" s="1"/>
  <c r="ED7" i="27"/>
  <c r="ED7" i="29" s="1"/>
  <c r="EE7" i="27"/>
  <c r="EE7" i="29" s="1"/>
  <c r="EF7" i="27"/>
  <c r="EF7" i="29" s="1"/>
  <c r="DX7" i="27"/>
  <c r="DX7" i="29" s="1"/>
  <c r="BD53" i="27"/>
  <c r="BE53" i="27"/>
  <c r="AZ49" i="27"/>
  <c r="BA49" i="27"/>
  <c r="BB49" i="27"/>
  <c r="BC49" i="27"/>
  <c r="BD49" i="27"/>
  <c r="BE49" i="27"/>
  <c r="Z509" i="26"/>
  <c r="DX67" i="27"/>
  <c r="DX67" i="29" s="1"/>
  <c r="DL67" i="27"/>
  <c r="DL67" i="29" s="1"/>
  <c r="DM67" i="27"/>
  <c r="DM67" i="29" s="1"/>
  <c r="DN67" i="27"/>
  <c r="DN67" i="29" s="1"/>
  <c r="DO67" i="27"/>
  <c r="DO67" i="29" s="1"/>
  <c r="DP67" i="27"/>
  <c r="DP67" i="29" s="1"/>
  <c r="DQ67" i="27"/>
  <c r="DQ67" i="29" s="1"/>
  <c r="DR67" i="27"/>
  <c r="DR67" i="29" s="1"/>
  <c r="DS67" i="27"/>
  <c r="DS67" i="29" s="1"/>
  <c r="DT67" i="27"/>
  <c r="DT67" i="29" s="1"/>
  <c r="DU67" i="27"/>
  <c r="DU67" i="29" s="1"/>
  <c r="DV67" i="27"/>
  <c r="DV67" i="29" s="1"/>
  <c r="DW67" i="27"/>
  <c r="DW67" i="29" s="1"/>
  <c r="AA508" i="26"/>
  <c r="AC508" i="26" s="1"/>
  <c r="CP70" i="27"/>
  <c r="CP70" i="29" s="1"/>
  <c r="AA488" i="26"/>
  <c r="AC488" i="26" s="1"/>
  <c r="BS71" i="27"/>
  <c r="BS71" i="29" s="1"/>
  <c r="AA447" i="26"/>
  <c r="AC447" i="26" s="1"/>
  <c r="AA403" i="26"/>
  <c r="AC403" i="26" s="1"/>
  <c r="AV73" i="27"/>
  <c r="AV73" i="29" s="1"/>
  <c r="Z404" i="26"/>
  <c r="Z398" i="26"/>
  <c r="AW68" i="27" s="1"/>
  <c r="AW68" i="29" s="1"/>
  <c r="AA399" i="26"/>
  <c r="AC399" i="26" s="1"/>
  <c r="AV69" i="27"/>
  <c r="AV69" i="29" s="1"/>
  <c r="Z475" i="26"/>
  <c r="BS64" i="27"/>
  <c r="BS64" i="29" s="1"/>
  <c r="BU64" i="27"/>
  <c r="BU64" i="29" s="1"/>
  <c r="BV64" i="27"/>
  <c r="BV64" i="29" s="1"/>
  <c r="BW64" i="27"/>
  <c r="BW64" i="29" s="1"/>
  <c r="BX64" i="27"/>
  <c r="BX64" i="29" s="1"/>
  <c r="BY64" i="27"/>
  <c r="BY64" i="29" s="1"/>
  <c r="BZ64" i="27"/>
  <c r="BZ64" i="29" s="1"/>
  <c r="CA64" i="27"/>
  <c r="CA64" i="29" s="1"/>
  <c r="CB64" i="27"/>
  <c r="CB64" i="29" s="1"/>
  <c r="BT64" i="27"/>
  <c r="BT64" i="29" s="1"/>
  <c r="AA476" i="26"/>
  <c r="AC476" i="26" s="1"/>
  <c r="D113" i="30"/>
  <c r="H113" i="30" s="1"/>
  <c r="D108" i="30"/>
  <c r="H108" i="30" s="1"/>
  <c r="D101" i="30"/>
  <c r="D100" i="30"/>
  <c r="H100" i="30" s="1"/>
  <c r="D106" i="30"/>
  <c r="H106" i="30" s="1"/>
  <c r="D114" i="30"/>
  <c r="R114" i="30" s="1"/>
  <c r="H107" i="30"/>
  <c r="H109" i="30"/>
  <c r="R112" i="30"/>
  <c r="R110" i="30"/>
  <c r="D105" i="30"/>
  <c r="H104" i="30"/>
  <c r="I89" i="30"/>
  <c r="I90" i="30"/>
  <c r="I88" i="30"/>
  <c r="J89" i="30"/>
  <c r="D103" i="30"/>
  <c r="D111" i="30"/>
  <c r="R111" i="30" s="1"/>
  <c r="D99" i="30"/>
  <c r="R99" i="30" s="1"/>
  <c r="K83" i="30"/>
  <c r="J90" i="30"/>
  <c r="J88" i="30"/>
  <c r="J83" i="30"/>
  <c r="G77" i="27"/>
  <c r="G77" i="29" s="1"/>
  <c r="F77" i="27"/>
  <c r="F77" i="29" s="1"/>
  <c r="Z316" i="26"/>
  <c r="AA315" i="26"/>
  <c r="AC315" i="26" s="1"/>
  <c r="AA311" i="26"/>
  <c r="AC311" i="26" s="1"/>
  <c r="G73" i="27"/>
  <c r="G73" i="29" s="1"/>
  <c r="Z310" i="26"/>
  <c r="F73" i="27"/>
  <c r="F73" i="29" s="1"/>
  <c r="U72" i="27"/>
  <c r="U72" i="29" s="1"/>
  <c r="L72" i="27"/>
  <c r="L72" i="29" s="1"/>
  <c r="AA826" i="26"/>
  <c r="AC826" i="26" s="1"/>
  <c r="DV11" i="29"/>
  <c r="EB13" i="27"/>
  <c r="EB13" i="29" s="1"/>
  <c r="DX13" i="27"/>
  <c r="DX13" i="29" s="1"/>
  <c r="Z827" i="26"/>
  <c r="DV12" i="27" s="1"/>
  <c r="EC13" i="27"/>
  <c r="EC13" i="29" s="1"/>
  <c r="DZ13" i="27"/>
  <c r="DZ13" i="29" s="1"/>
  <c r="DW13" i="27"/>
  <c r="DW13" i="29" s="1"/>
  <c r="Z7" i="26"/>
  <c r="EA13" i="27"/>
  <c r="EA13" i="29" s="1"/>
  <c r="DY13" i="27"/>
  <c r="DY13" i="29" s="1"/>
  <c r="EH13" i="27"/>
  <c r="EH13" i="29" s="1"/>
  <c r="EG13" i="27"/>
  <c r="EG13" i="29" s="1"/>
  <c r="EF13" i="27"/>
  <c r="EF13" i="29" s="1"/>
  <c r="Z816" i="26"/>
  <c r="AA6" i="26"/>
  <c r="AC6" i="26" s="1"/>
  <c r="EE13" i="27"/>
  <c r="EE13" i="29" s="1"/>
  <c r="ED13" i="27"/>
  <c r="ED13" i="29" s="1"/>
  <c r="Z68" i="29"/>
  <c r="Z345" i="26"/>
  <c r="Z66" i="27" s="1"/>
  <c r="AA346" i="26"/>
  <c r="AC346" i="26" s="1"/>
  <c r="DE36" i="27"/>
  <c r="DE36" i="29" s="1"/>
  <c r="CV36" i="27"/>
  <c r="CV36" i="29" s="1"/>
  <c r="CU36" i="27"/>
  <c r="CU36" i="29" s="1"/>
  <c r="CT36" i="27"/>
  <c r="CT36" i="29" s="1"/>
  <c r="CS36" i="27"/>
  <c r="CS36" i="29" s="1"/>
  <c r="CR36" i="27"/>
  <c r="CR36" i="29" s="1"/>
  <c r="DH36" i="27"/>
  <c r="DH36" i="29" s="1"/>
  <c r="CQ36" i="27"/>
  <c r="CQ36" i="29" s="1"/>
  <c r="DG36" i="27"/>
  <c r="DG36" i="29" s="1"/>
  <c r="DC36" i="27"/>
  <c r="DC36" i="29" s="1"/>
  <c r="CX36" i="27"/>
  <c r="CX36" i="29" s="1"/>
  <c r="DF36" i="27"/>
  <c r="DF36" i="29" s="1"/>
  <c r="DD36" i="27"/>
  <c r="DD36" i="29" s="1"/>
  <c r="DB36" i="27"/>
  <c r="DB36" i="29" s="1"/>
  <c r="DA36" i="27"/>
  <c r="DA36" i="29" s="1"/>
  <c r="CZ36" i="27"/>
  <c r="CZ36" i="29" s="1"/>
  <c r="CY36" i="27"/>
  <c r="CY36" i="29" s="1"/>
  <c r="CW36" i="27"/>
  <c r="CW36" i="29" s="1"/>
  <c r="AA77" i="26"/>
  <c r="AC77" i="26" s="1"/>
  <c r="Z78" i="26"/>
  <c r="CW70" i="27"/>
  <c r="CW70" i="29" s="1"/>
  <c r="CV70" i="27"/>
  <c r="CV70" i="29" s="1"/>
  <c r="CX70" i="27"/>
  <c r="CX70" i="29" s="1"/>
  <c r="CU70" i="27"/>
  <c r="CU70" i="29" s="1"/>
  <c r="CT70" i="27"/>
  <c r="CT70" i="29" s="1"/>
  <c r="DK70" i="27"/>
  <c r="DK70" i="29" s="1"/>
  <c r="CS70" i="27"/>
  <c r="CS70" i="29" s="1"/>
  <c r="DJ70" i="27"/>
  <c r="DJ70" i="29" s="1"/>
  <c r="CR70" i="27"/>
  <c r="CR70" i="29" s="1"/>
  <c r="DI70" i="27"/>
  <c r="DI70" i="29" s="1"/>
  <c r="CQ70" i="27"/>
  <c r="CQ70" i="29" s="1"/>
  <c r="DH70" i="27"/>
  <c r="DH70" i="29" s="1"/>
  <c r="DG70" i="27"/>
  <c r="DG70" i="29" s="1"/>
  <c r="CZ70" i="27"/>
  <c r="CZ70" i="29" s="1"/>
  <c r="DF70" i="27"/>
  <c r="DF70" i="29" s="1"/>
  <c r="DE70" i="27"/>
  <c r="DE70" i="29" s="1"/>
  <c r="DD70" i="27"/>
  <c r="DD70" i="29" s="1"/>
  <c r="DC70" i="27"/>
  <c r="DC70" i="29" s="1"/>
  <c r="DB70" i="27"/>
  <c r="DB70" i="29" s="1"/>
  <c r="DA70" i="27"/>
  <c r="DA70" i="29" s="1"/>
  <c r="CY70" i="27"/>
  <c r="CY70" i="29" s="1"/>
  <c r="AA177" i="26"/>
  <c r="AC177" i="26" s="1"/>
  <c r="Z178" i="26"/>
  <c r="Z489" i="26" s="1"/>
  <c r="EV29" i="27"/>
  <c r="EV29" i="29" s="1"/>
  <c r="EW29" i="27"/>
  <c r="EW29" i="29" s="1"/>
  <c r="AA791" i="26"/>
  <c r="AC791" i="26" s="1"/>
  <c r="EX29" i="27"/>
  <c r="EX29" i="29" s="1"/>
  <c r="V71" i="27"/>
  <c r="V71" i="29" s="1"/>
  <c r="U71" i="27"/>
  <c r="U71" i="29" s="1"/>
  <c r="I71" i="27"/>
  <c r="I71" i="29" s="1"/>
  <c r="H71" i="27"/>
  <c r="H71" i="29" s="1"/>
  <c r="Y71" i="27"/>
  <c r="Y71" i="29" s="1"/>
  <c r="X71" i="27"/>
  <c r="X71" i="29" s="1"/>
  <c r="W71" i="27"/>
  <c r="W71" i="29" s="1"/>
  <c r="T71" i="27"/>
  <c r="T71" i="29" s="1"/>
  <c r="S71" i="27"/>
  <c r="S71" i="29" s="1"/>
  <c r="R71" i="27"/>
  <c r="R71" i="29" s="1"/>
  <c r="K71" i="27"/>
  <c r="K71" i="29" s="1"/>
  <c r="M71" i="27"/>
  <c r="M71" i="29" s="1"/>
  <c r="L71" i="27"/>
  <c r="L71" i="29" s="1"/>
  <c r="J71" i="27"/>
  <c r="J71" i="29" s="1"/>
  <c r="Q71" i="27"/>
  <c r="Q71" i="29" s="1"/>
  <c r="P71" i="27"/>
  <c r="P71" i="29" s="1"/>
  <c r="O71" i="27"/>
  <c r="O71" i="29" s="1"/>
  <c r="AA246" i="26"/>
  <c r="AC246" i="26" s="1"/>
  <c r="N71" i="27"/>
  <c r="N71" i="29" s="1"/>
  <c r="Z245" i="26"/>
  <c r="CQ57" i="27"/>
  <c r="CQ57" i="29" s="1"/>
  <c r="CR57" i="27"/>
  <c r="CR57" i="29" s="1"/>
  <c r="CP57" i="27"/>
  <c r="CP57" i="29" s="1"/>
  <c r="CO57" i="27"/>
  <c r="CO57" i="29" s="1"/>
  <c r="CN57" i="27"/>
  <c r="CN57" i="29" s="1"/>
  <c r="CM57" i="27"/>
  <c r="CM57" i="29" s="1"/>
  <c r="CL57" i="27"/>
  <c r="CL57" i="29" s="1"/>
  <c r="CJ57" i="27"/>
  <c r="CJ57" i="29" s="1"/>
  <c r="CI57" i="27"/>
  <c r="CI57" i="29" s="1"/>
  <c r="CH57" i="27"/>
  <c r="CH57" i="29" s="1"/>
  <c r="CE57" i="27"/>
  <c r="CE57" i="29" s="1"/>
  <c r="CC57" i="27"/>
  <c r="CC57" i="29" s="1"/>
  <c r="CW57" i="27"/>
  <c r="CW57" i="29" s="1"/>
  <c r="CV57" i="27"/>
  <c r="CV57" i="29" s="1"/>
  <c r="CD57" i="27"/>
  <c r="CD57" i="29" s="1"/>
  <c r="CG57" i="27"/>
  <c r="CG57" i="29" s="1"/>
  <c r="CF57" i="27"/>
  <c r="CF57" i="29" s="1"/>
  <c r="CU57" i="27"/>
  <c r="CU57" i="29" s="1"/>
  <c r="CT57" i="27"/>
  <c r="CT57" i="29" s="1"/>
  <c r="CS57" i="27"/>
  <c r="CS57" i="29" s="1"/>
  <c r="CK57" i="27"/>
  <c r="CK57" i="29" s="1"/>
  <c r="Z151" i="26"/>
  <c r="AA150" i="26"/>
  <c r="AC150" i="26" s="1"/>
  <c r="AA50" i="27"/>
  <c r="AA50" i="29" s="1"/>
  <c r="Z50" i="27"/>
  <c r="Z50" i="29" s="1"/>
  <c r="Z361" i="26"/>
  <c r="AA362" i="26"/>
  <c r="AC362" i="26" s="1"/>
  <c r="EF28" i="27"/>
  <c r="EF28" i="29" s="1"/>
  <c r="EU28" i="27"/>
  <c r="EU28" i="29" s="1"/>
  <c r="EE28" i="27"/>
  <c r="EE28" i="29" s="1"/>
  <c r="ET28" i="27"/>
  <c r="ET28" i="29" s="1"/>
  <c r="ED28" i="27"/>
  <c r="ED28" i="29" s="1"/>
  <c r="ES28" i="27"/>
  <c r="ES28" i="29" s="1"/>
  <c r="EC28" i="27"/>
  <c r="EC28" i="29" s="1"/>
  <c r="ER28" i="27"/>
  <c r="ER28" i="29" s="1"/>
  <c r="EQ28" i="27"/>
  <c r="EQ28" i="29" s="1"/>
  <c r="EP28" i="27"/>
  <c r="EP28" i="29" s="1"/>
  <c r="EM28" i="27"/>
  <c r="EM28" i="29" s="1"/>
  <c r="EH28" i="27"/>
  <c r="EH28" i="29" s="1"/>
  <c r="EJ28" i="27"/>
  <c r="EJ28" i="29" s="1"/>
  <c r="EI28" i="27"/>
  <c r="EI28" i="29" s="1"/>
  <c r="EG28" i="27"/>
  <c r="EG28" i="29" s="1"/>
  <c r="Z790" i="26"/>
  <c r="EO28" i="27"/>
  <c r="EO28" i="29" s="1"/>
  <c r="EN28" i="27"/>
  <c r="EN28" i="29" s="1"/>
  <c r="EL28" i="27"/>
  <c r="EL28" i="29" s="1"/>
  <c r="EK28" i="27"/>
  <c r="EK28" i="29" s="1"/>
  <c r="Z19" i="26"/>
  <c r="AA20" i="26"/>
  <c r="AC20" i="26" s="1"/>
  <c r="AH73" i="27"/>
  <c r="AH73" i="29" s="1"/>
  <c r="AG73" i="27"/>
  <c r="AG73" i="29" s="1"/>
  <c r="AF73" i="27"/>
  <c r="AF73" i="29" s="1"/>
  <c r="AT73" i="27"/>
  <c r="AT73" i="29" s="1"/>
  <c r="AD73" i="27"/>
  <c r="AD73" i="29" s="1"/>
  <c r="AS73" i="27"/>
  <c r="AS73" i="29" s="1"/>
  <c r="AC73" i="27"/>
  <c r="AC73" i="29" s="1"/>
  <c r="AO73" i="27"/>
  <c r="AO73" i="29" s="1"/>
  <c r="AU73" i="27"/>
  <c r="AU73" i="29" s="1"/>
  <c r="AR73" i="27"/>
  <c r="AR73" i="29" s="1"/>
  <c r="AQ73" i="27"/>
  <c r="AQ73" i="29" s="1"/>
  <c r="AP73" i="27"/>
  <c r="AP73" i="29" s="1"/>
  <c r="AN73" i="27"/>
  <c r="AN73" i="29" s="1"/>
  <c r="AB73" i="27"/>
  <c r="AB73" i="29" s="1"/>
  <c r="AL73" i="27"/>
  <c r="AL73" i="29" s="1"/>
  <c r="AK73" i="27"/>
  <c r="AK73" i="29" s="1"/>
  <c r="AJ73" i="27"/>
  <c r="AJ73" i="29" s="1"/>
  <c r="AI73" i="27"/>
  <c r="AI73" i="29" s="1"/>
  <c r="AE73" i="27"/>
  <c r="AE73" i="29" s="1"/>
  <c r="AA73" i="27"/>
  <c r="AA73" i="29" s="1"/>
  <c r="AM73" i="27"/>
  <c r="AM73" i="29" s="1"/>
  <c r="AA216" i="26"/>
  <c r="AC216" i="26" s="1"/>
  <c r="Z217" i="26"/>
  <c r="E50" i="27"/>
  <c r="E50" i="29" s="1"/>
  <c r="D50" i="27"/>
  <c r="D50" i="29" s="1"/>
  <c r="C50" i="27"/>
  <c r="C50" i="29" s="1"/>
  <c r="AA283" i="26"/>
  <c r="AC283" i="26" s="1"/>
  <c r="Z282" i="26"/>
  <c r="BV48" i="27"/>
  <c r="BV48" i="29" s="1"/>
  <c r="BF48" i="27"/>
  <c r="BF48" i="29" s="1"/>
  <c r="BT48" i="27"/>
  <c r="BT48" i="29" s="1"/>
  <c r="BM48" i="27"/>
  <c r="BM48" i="29" s="1"/>
  <c r="BH48" i="27"/>
  <c r="BH48" i="29" s="1"/>
  <c r="BY48" i="27"/>
  <c r="BY48" i="29" s="1"/>
  <c r="BX48" i="27"/>
  <c r="BX48" i="29" s="1"/>
  <c r="BW48" i="27"/>
  <c r="BW48" i="29" s="1"/>
  <c r="BU48" i="27"/>
  <c r="BU48" i="29" s="1"/>
  <c r="BS48" i="27"/>
  <c r="BS48" i="29" s="1"/>
  <c r="BR48" i="27"/>
  <c r="BR48" i="29" s="1"/>
  <c r="BQ48" i="27"/>
  <c r="BQ48" i="29" s="1"/>
  <c r="BP48" i="27"/>
  <c r="BP48" i="29" s="1"/>
  <c r="BO48" i="27"/>
  <c r="BO48" i="29" s="1"/>
  <c r="BN48" i="27"/>
  <c r="BN48" i="29" s="1"/>
  <c r="BL48" i="27"/>
  <c r="BL48" i="29" s="1"/>
  <c r="BK48" i="27"/>
  <c r="BK48" i="29" s="1"/>
  <c r="BJ48" i="27"/>
  <c r="BJ48" i="29" s="1"/>
  <c r="BI48" i="27"/>
  <c r="BI48" i="29" s="1"/>
  <c r="BZ48" i="27"/>
  <c r="BZ48" i="29" s="1"/>
  <c r="BG48" i="27"/>
  <c r="BG48" i="29" s="1"/>
  <c r="AA162" i="26"/>
  <c r="AC162" i="26" s="1"/>
  <c r="Z161" i="26"/>
  <c r="CD29" i="27"/>
  <c r="CD29" i="29" s="1"/>
  <c r="CC29" i="27"/>
  <c r="CC29" i="29" s="1"/>
  <c r="CB29" i="27"/>
  <c r="CB29" i="29" s="1"/>
  <c r="CA29" i="27"/>
  <c r="CA29" i="29" s="1"/>
  <c r="BZ29" i="27"/>
  <c r="BZ29" i="29" s="1"/>
  <c r="BY29" i="27"/>
  <c r="BY29" i="29" s="1"/>
  <c r="CN29" i="27"/>
  <c r="CN29" i="29" s="1"/>
  <c r="BX29" i="27"/>
  <c r="BX29" i="29" s="1"/>
  <c r="CK29" i="27"/>
  <c r="CK29" i="29" s="1"/>
  <c r="CF29" i="27"/>
  <c r="CF29" i="29" s="1"/>
  <c r="CM29" i="27"/>
  <c r="CM29" i="29" s="1"/>
  <c r="CL29" i="27"/>
  <c r="CL29" i="29" s="1"/>
  <c r="AA88" i="26"/>
  <c r="AC88" i="26" s="1"/>
  <c r="CI29" i="27"/>
  <c r="CI29" i="29" s="1"/>
  <c r="Z87" i="26"/>
  <c r="CJ29" i="27"/>
  <c r="CJ29" i="29" s="1"/>
  <c r="CH29" i="27"/>
  <c r="CH29" i="29" s="1"/>
  <c r="CG29" i="27"/>
  <c r="CG29" i="29" s="1"/>
  <c r="CE29" i="27"/>
  <c r="CE29" i="29" s="1"/>
  <c r="BW29" i="27"/>
  <c r="BW29" i="29" s="1"/>
  <c r="DH57" i="27"/>
  <c r="DH57" i="29" s="1"/>
  <c r="DJ57" i="27"/>
  <c r="DJ57" i="29" s="1"/>
  <c r="DI57" i="27"/>
  <c r="DI57" i="29" s="1"/>
  <c r="DG57" i="27"/>
  <c r="DG57" i="29" s="1"/>
  <c r="DF57" i="27"/>
  <c r="DF57" i="29" s="1"/>
  <c r="DE57" i="27"/>
  <c r="DE57" i="29" s="1"/>
  <c r="DD57" i="27"/>
  <c r="DD57" i="29" s="1"/>
  <c r="DS57" i="27"/>
  <c r="DS57" i="29" s="1"/>
  <c r="DB57" i="27"/>
  <c r="DB57" i="29" s="1"/>
  <c r="DR57" i="27"/>
  <c r="DR57" i="29" s="1"/>
  <c r="DA57" i="27"/>
  <c r="DA57" i="29" s="1"/>
  <c r="DQ57" i="27"/>
  <c r="DQ57" i="29" s="1"/>
  <c r="CZ57" i="27"/>
  <c r="CZ57" i="29" s="1"/>
  <c r="DP57" i="27"/>
  <c r="DP57" i="29" s="1"/>
  <c r="DO57" i="27"/>
  <c r="DO57" i="29" s="1"/>
  <c r="DN57" i="27"/>
  <c r="DN57" i="29" s="1"/>
  <c r="DM57" i="27"/>
  <c r="DM57" i="29" s="1"/>
  <c r="DL57" i="27"/>
  <c r="DL57" i="29" s="1"/>
  <c r="DK57" i="27"/>
  <c r="DK57" i="29" s="1"/>
  <c r="DC57" i="27"/>
  <c r="DC57" i="29" s="1"/>
  <c r="CY57" i="27"/>
  <c r="CY57" i="29" s="1"/>
  <c r="AA129" i="26"/>
  <c r="AC129" i="26" s="1"/>
  <c r="Z130" i="26"/>
  <c r="Z548" i="26" s="1"/>
  <c r="CT30" i="27"/>
  <c r="CT30" i="29" s="1"/>
  <c r="CS30" i="27"/>
  <c r="CS30" i="29" s="1"/>
  <c r="DH30" i="27"/>
  <c r="DH30" i="29" s="1"/>
  <c r="CR30" i="27"/>
  <c r="CR30" i="29" s="1"/>
  <c r="DG30" i="27"/>
  <c r="DG30" i="29" s="1"/>
  <c r="CQ30" i="27"/>
  <c r="CQ30" i="29" s="1"/>
  <c r="DF30" i="27"/>
  <c r="DF30" i="29" s="1"/>
  <c r="DE30" i="27"/>
  <c r="DE30" i="29" s="1"/>
  <c r="DD30" i="27"/>
  <c r="DD30" i="29" s="1"/>
  <c r="DA30" i="27"/>
  <c r="DA30" i="29" s="1"/>
  <c r="CV30" i="27"/>
  <c r="CV30" i="29" s="1"/>
  <c r="DC30" i="27"/>
  <c r="DC30" i="29" s="1"/>
  <c r="DB30" i="27"/>
  <c r="DB30" i="29" s="1"/>
  <c r="CZ30" i="27"/>
  <c r="CZ30" i="29" s="1"/>
  <c r="CY30" i="27"/>
  <c r="CY30" i="29" s="1"/>
  <c r="CX30" i="27"/>
  <c r="CX30" i="29" s="1"/>
  <c r="CW30" i="27"/>
  <c r="CW30" i="29" s="1"/>
  <c r="CU30" i="27"/>
  <c r="CU30" i="29" s="1"/>
  <c r="Z70" i="26"/>
  <c r="AA71" i="26"/>
  <c r="AC71" i="26" s="1"/>
  <c r="AQ65" i="27"/>
  <c r="AQ65" i="29" s="1"/>
  <c r="AA65" i="27"/>
  <c r="AA65" i="29" s="1"/>
  <c r="AP65" i="27"/>
  <c r="AP65" i="29" s="1"/>
  <c r="AO65" i="27"/>
  <c r="AO65" i="29" s="1"/>
  <c r="AM65" i="27"/>
  <c r="AM65" i="29" s="1"/>
  <c r="AS65" i="27"/>
  <c r="AS65" i="29" s="1"/>
  <c r="AR65" i="27"/>
  <c r="AR65" i="29" s="1"/>
  <c r="AN65" i="27"/>
  <c r="AN65" i="29" s="1"/>
  <c r="AL65" i="27"/>
  <c r="AL65" i="29" s="1"/>
  <c r="AK65" i="27"/>
  <c r="AK65" i="29" s="1"/>
  <c r="AJ65" i="27"/>
  <c r="AJ65" i="29" s="1"/>
  <c r="AI65" i="27"/>
  <c r="AI65" i="29" s="1"/>
  <c r="AH65" i="27"/>
  <c r="AH65" i="29" s="1"/>
  <c r="AG65" i="27"/>
  <c r="AG65" i="29" s="1"/>
  <c r="AF65" i="27"/>
  <c r="AF65" i="29" s="1"/>
  <c r="AU65" i="27"/>
  <c r="AU65" i="29" s="1"/>
  <c r="AT65" i="27"/>
  <c r="AT65" i="29" s="1"/>
  <c r="AE65" i="27"/>
  <c r="AE65" i="29" s="1"/>
  <c r="AD65" i="27"/>
  <c r="AD65" i="29" s="1"/>
  <c r="AC65" i="27"/>
  <c r="AC65" i="29" s="1"/>
  <c r="AB65" i="27"/>
  <c r="AB65" i="29" s="1"/>
  <c r="AA208" i="26"/>
  <c r="AC208" i="26" s="1"/>
  <c r="Z207" i="26"/>
  <c r="CM36" i="27"/>
  <c r="CM36" i="29" s="1"/>
  <c r="BW36" i="27"/>
  <c r="BW36" i="29" s="1"/>
  <c r="CC36" i="27"/>
  <c r="CC36" i="29" s="1"/>
  <c r="CB36" i="27"/>
  <c r="CB36" i="29" s="1"/>
  <c r="CA36" i="27"/>
  <c r="CA36" i="29" s="1"/>
  <c r="BZ36" i="27"/>
  <c r="BZ36" i="29" s="1"/>
  <c r="BY36" i="27"/>
  <c r="BY36" i="29" s="1"/>
  <c r="BX36" i="27"/>
  <c r="BX36" i="29" s="1"/>
  <c r="CN36" i="27"/>
  <c r="CN36" i="29" s="1"/>
  <c r="CJ36" i="27"/>
  <c r="CJ36" i="29" s="1"/>
  <c r="CE36" i="27"/>
  <c r="CE36" i="29" s="1"/>
  <c r="CL36" i="27"/>
  <c r="CL36" i="29" s="1"/>
  <c r="Z96" i="26"/>
  <c r="Z602" i="26" s="1"/>
  <c r="AA95" i="26"/>
  <c r="AC95" i="26" s="1"/>
  <c r="CF36" i="27"/>
  <c r="CF36" i="29" s="1"/>
  <c r="CK36" i="27"/>
  <c r="CK36" i="29" s="1"/>
  <c r="CI36" i="27"/>
  <c r="CI36" i="29" s="1"/>
  <c r="CH36" i="27"/>
  <c r="CH36" i="29" s="1"/>
  <c r="CD36" i="27"/>
  <c r="CD36" i="29" s="1"/>
  <c r="CG36" i="27"/>
  <c r="CG36" i="29" s="1"/>
  <c r="DU56" i="27"/>
  <c r="DU56" i="29" s="1"/>
  <c r="DT56" i="29"/>
  <c r="AA546" i="26"/>
  <c r="AC546" i="26" s="1"/>
  <c r="BV35" i="27"/>
  <c r="BV35" i="29" s="1"/>
  <c r="AA618" i="26"/>
  <c r="AC618" i="26" s="1"/>
  <c r="AB56" i="27"/>
  <c r="AB56" i="29" s="1"/>
  <c r="AA56" i="27"/>
  <c r="AA56" i="29" s="1"/>
  <c r="Z56" i="27"/>
  <c r="Z56" i="29" s="1"/>
  <c r="Z369" i="26"/>
  <c r="AA368" i="26"/>
  <c r="AC368" i="26" s="1"/>
  <c r="DX34" i="27"/>
  <c r="DX34" i="29" s="1"/>
  <c r="DT34" i="27"/>
  <c r="DT34" i="29" s="1"/>
  <c r="DS34" i="27"/>
  <c r="DS34" i="29" s="1"/>
  <c r="DR34" i="27"/>
  <c r="DR34" i="29" s="1"/>
  <c r="DQ34" i="27"/>
  <c r="DQ34" i="29" s="1"/>
  <c r="DP34" i="27"/>
  <c r="DP34" i="29" s="1"/>
  <c r="DO34" i="27"/>
  <c r="DO34" i="29" s="1"/>
  <c r="DN34" i="27"/>
  <c r="DN34" i="29" s="1"/>
  <c r="DK34" i="27"/>
  <c r="DK34" i="29" s="1"/>
  <c r="DV34" i="27"/>
  <c r="DV34" i="29" s="1"/>
  <c r="DJ34" i="27"/>
  <c r="DJ34" i="29" s="1"/>
  <c r="EA34" i="27"/>
  <c r="EA34" i="29" s="1"/>
  <c r="DZ34" i="27"/>
  <c r="DZ34" i="29" s="1"/>
  <c r="DW34" i="27"/>
  <c r="DW34" i="29" s="1"/>
  <c r="DY34" i="27"/>
  <c r="DY34" i="29" s="1"/>
  <c r="DU34" i="27"/>
  <c r="DU34" i="29" s="1"/>
  <c r="DM34" i="27"/>
  <c r="DM34" i="29" s="1"/>
  <c r="DL34" i="27"/>
  <c r="DL34" i="29" s="1"/>
  <c r="Z60" i="26"/>
  <c r="AA59" i="26"/>
  <c r="AC59" i="26" s="1"/>
  <c r="AZ49" i="29"/>
  <c r="BD49" i="29"/>
  <c r="Z575" i="26"/>
  <c r="BE49" i="29"/>
  <c r="BA49" i="29"/>
  <c r="BC49" i="29"/>
  <c r="BB49" i="29"/>
  <c r="AA576" i="26"/>
  <c r="AC576" i="26" s="1"/>
  <c r="BU38" i="27"/>
  <c r="BU38" i="29" s="1"/>
  <c r="BE38" i="27"/>
  <c r="BE38" i="29" s="1"/>
  <c r="BF38" i="27"/>
  <c r="BF38" i="29" s="1"/>
  <c r="BD38" i="27"/>
  <c r="BD38" i="29" s="1"/>
  <c r="BT38" i="27"/>
  <c r="BT38" i="29" s="1"/>
  <c r="BC38" i="27"/>
  <c r="BC38" i="29" s="1"/>
  <c r="BS38" i="27"/>
  <c r="BS38" i="29" s="1"/>
  <c r="BB38" i="27"/>
  <c r="BB38" i="29" s="1"/>
  <c r="BR38" i="27"/>
  <c r="BR38" i="29" s="1"/>
  <c r="BQ38" i="27"/>
  <c r="BQ38" i="29" s="1"/>
  <c r="BP38" i="27"/>
  <c r="BP38" i="29" s="1"/>
  <c r="BM38" i="27"/>
  <c r="BM38" i="29" s="1"/>
  <c r="BH38" i="27"/>
  <c r="BH38" i="29" s="1"/>
  <c r="BG38" i="27"/>
  <c r="BG38" i="29" s="1"/>
  <c r="BN38" i="27"/>
  <c r="BN38" i="29" s="1"/>
  <c r="BL38" i="27"/>
  <c r="BL38" i="29" s="1"/>
  <c r="BK38" i="27"/>
  <c r="BK38" i="29" s="1"/>
  <c r="BJ38" i="27"/>
  <c r="BJ38" i="29" s="1"/>
  <c r="BI38" i="27"/>
  <c r="BI38" i="29" s="1"/>
  <c r="Z113" i="26"/>
  <c r="BO38" i="27"/>
  <c r="BO38" i="29" s="1"/>
  <c r="AA112" i="26"/>
  <c r="AC112" i="26" s="1"/>
  <c r="BV30" i="27"/>
  <c r="BV30" i="29" s="1"/>
  <c r="AA613" i="26"/>
  <c r="AC613" i="26" s="1"/>
  <c r="DY7" i="27"/>
  <c r="DY7" i="29" s="1"/>
  <c r="EA7" i="29"/>
  <c r="AA820" i="26"/>
  <c r="AC820" i="26" s="1"/>
  <c r="AD822" i="26" s="1"/>
  <c r="DZ7" i="29"/>
  <c r="CW51" i="27"/>
  <c r="CW51" i="29" s="1"/>
  <c r="CG51" i="27"/>
  <c r="CG51" i="29" s="1"/>
  <c r="CV51" i="27"/>
  <c r="CV51" i="29" s="1"/>
  <c r="CF51" i="27"/>
  <c r="CF51" i="29" s="1"/>
  <c r="CU51" i="27"/>
  <c r="CU51" i="29" s="1"/>
  <c r="CE51" i="27"/>
  <c r="CE51" i="29" s="1"/>
  <c r="CP51" i="27"/>
  <c r="CP51" i="29" s="1"/>
  <c r="CN51" i="27"/>
  <c r="CN51" i="29" s="1"/>
  <c r="CJ51" i="27"/>
  <c r="CJ51" i="29" s="1"/>
  <c r="CH51" i="27"/>
  <c r="CH51" i="29" s="1"/>
  <c r="CD51" i="27"/>
  <c r="CD51" i="29" s="1"/>
  <c r="CC51" i="27"/>
  <c r="CC51" i="29" s="1"/>
  <c r="CT51" i="27"/>
  <c r="CT51" i="29" s="1"/>
  <c r="CS51" i="27"/>
  <c r="CS51" i="29" s="1"/>
  <c r="CR51" i="27"/>
  <c r="CR51" i="29" s="1"/>
  <c r="CK51" i="27"/>
  <c r="CK51" i="29" s="1"/>
  <c r="CI51" i="27"/>
  <c r="CI51" i="29" s="1"/>
  <c r="CQ51" i="27"/>
  <c r="CQ51" i="29" s="1"/>
  <c r="CO51" i="27"/>
  <c r="CO51" i="29" s="1"/>
  <c r="CM51" i="27"/>
  <c r="CM51" i="29" s="1"/>
  <c r="Z143" i="26"/>
  <c r="CL51" i="27"/>
  <c r="CL51" i="29" s="1"/>
  <c r="AA144" i="26"/>
  <c r="AC144" i="26" s="1"/>
  <c r="BL70" i="27"/>
  <c r="BL70" i="29" s="1"/>
  <c r="BK70" i="27"/>
  <c r="BK70" i="29" s="1"/>
  <c r="BJ70" i="27"/>
  <c r="BJ70" i="29" s="1"/>
  <c r="BI70" i="27"/>
  <c r="BI70" i="29" s="1"/>
  <c r="BH70" i="27"/>
  <c r="BH70" i="29" s="1"/>
  <c r="BG70" i="27"/>
  <c r="BG70" i="29" s="1"/>
  <c r="BF70" i="27"/>
  <c r="BF70" i="29" s="1"/>
  <c r="BE70" i="27"/>
  <c r="BE70" i="29" s="1"/>
  <c r="BN70" i="27"/>
  <c r="BN70" i="29" s="1"/>
  <c r="AX70" i="27"/>
  <c r="AX70" i="29" s="1"/>
  <c r="BR70" i="27"/>
  <c r="BR70" i="29" s="1"/>
  <c r="BQ70" i="27"/>
  <c r="BQ70" i="29" s="1"/>
  <c r="BP70" i="27"/>
  <c r="BP70" i="29" s="1"/>
  <c r="BO70" i="27"/>
  <c r="BO70" i="29" s="1"/>
  <c r="BM70" i="27"/>
  <c r="BM70" i="29" s="1"/>
  <c r="BD70" i="27"/>
  <c r="BD70" i="29" s="1"/>
  <c r="BC70" i="27"/>
  <c r="BC70" i="29" s="1"/>
  <c r="BB70" i="27"/>
  <c r="BB70" i="29" s="1"/>
  <c r="BA70" i="27"/>
  <c r="BA70" i="29" s="1"/>
  <c r="AZ70" i="27"/>
  <c r="AZ70" i="29" s="1"/>
  <c r="AY70" i="27"/>
  <c r="AY70" i="29" s="1"/>
  <c r="AA195" i="26"/>
  <c r="AC195" i="26" s="1"/>
  <c r="Z194" i="26"/>
  <c r="EN35" i="27"/>
  <c r="EN35" i="29" s="1"/>
  <c r="ER35" i="27"/>
  <c r="ER35" i="29" s="1"/>
  <c r="EQ35" i="27"/>
  <c r="EQ35" i="29" s="1"/>
  <c r="EP35" i="27"/>
  <c r="EP35" i="29" s="1"/>
  <c r="EO35" i="27"/>
  <c r="EO35" i="29" s="1"/>
  <c r="EM35" i="27"/>
  <c r="EM35" i="29" s="1"/>
  <c r="EL35" i="27"/>
  <c r="EL35" i="29" s="1"/>
  <c r="EK35" i="27"/>
  <c r="EK35" i="29" s="1"/>
  <c r="EH35" i="27"/>
  <c r="EH35" i="29" s="1"/>
  <c r="ET35" i="27"/>
  <c r="ET35" i="29" s="1"/>
  <c r="EC35" i="27"/>
  <c r="EC35" i="29" s="1"/>
  <c r="EF35" i="27"/>
  <c r="EF35" i="29" s="1"/>
  <c r="EE35" i="27"/>
  <c r="EE35" i="29" s="1"/>
  <c r="ED35" i="27"/>
  <c r="ED35" i="29" s="1"/>
  <c r="Z774" i="26"/>
  <c r="EU35" i="27"/>
  <c r="EU35" i="29" s="1"/>
  <c r="ES35" i="27"/>
  <c r="ES35" i="29" s="1"/>
  <c r="EJ35" i="27"/>
  <c r="EJ35" i="29" s="1"/>
  <c r="EI35" i="27"/>
  <c r="EI35" i="29" s="1"/>
  <c r="EG35" i="27"/>
  <c r="EG35" i="29" s="1"/>
  <c r="AA27" i="26"/>
  <c r="AC27" i="26" s="1"/>
  <c r="Z28" i="26"/>
  <c r="BR54" i="27"/>
  <c r="BR54" i="29" s="1"/>
  <c r="BL54" i="27"/>
  <c r="BL54" i="29" s="1"/>
  <c r="BK54" i="27"/>
  <c r="BK54" i="29" s="1"/>
  <c r="BJ54" i="27"/>
  <c r="BJ54" i="29" s="1"/>
  <c r="BV54" i="27"/>
  <c r="BV54" i="29" s="1"/>
  <c r="BT54" i="27"/>
  <c r="BT54" i="29" s="1"/>
  <c r="BF54" i="27"/>
  <c r="BF54" i="29" s="1"/>
  <c r="BZ54" i="27"/>
  <c r="BZ54" i="29" s="1"/>
  <c r="BY54" i="27"/>
  <c r="BY54" i="29" s="1"/>
  <c r="BX54" i="27"/>
  <c r="BX54" i="29" s="1"/>
  <c r="BW54" i="27"/>
  <c r="BW54" i="29" s="1"/>
  <c r="BU54" i="27"/>
  <c r="BU54" i="29" s="1"/>
  <c r="BS54" i="27"/>
  <c r="BS54" i="29" s="1"/>
  <c r="BQ54" i="27"/>
  <c r="BQ54" i="29" s="1"/>
  <c r="BP54" i="27"/>
  <c r="BP54" i="29" s="1"/>
  <c r="BO54" i="27"/>
  <c r="BO54" i="29" s="1"/>
  <c r="BN54" i="27"/>
  <c r="BN54" i="29" s="1"/>
  <c r="BH54" i="27"/>
  <c r="BH54" i="29" s="1"/>
  <c r="AA168" i="26"/>
  <c r="AC168" i="26" s="1"/>
  <c r="BM54" i="27"/>
  <c r="BM54" i="29" s="1"/>
  <c r="BI54" i="27"/>
  <c r="BI54" i="29" s="1"/>
  <c r="BG54" i="27"/>
  <c r="BG54" i="29" s="1"/>
  <c r="Z169" i="26"/>
  <c r="Z561" i="26"/>
  <c r="EW34" i="27"/>
  <c r="EW34" i="29" s="1"/>
  <c r="EV34" i="27"/>
  <c r="EV34" i="29" s="1"/>
  <c r="AA773" i="26"/>
  <c r="AC773" i="26" s="1"/>
  <c r="BQ76" i="27"/>
  <c r="BQ76" i="29" s="1"/>
  <c r="BA76" i="27"/>
  <c r="BA76" i="29" s="1"/>
  <c r="BP76" i="27"/>
  <c r="BP76" i="29" s="1"/>
  <c r="AZ76" i="27"/>
  <c r="AZ76" i="29" s="1"/>
  <c r="BO76" i="27"/>
  <c r="BO76" i="29" s="1"/>
  <c r="AY76" i="27"/>
  <c r="AY76" i="29" s="1"/>
  <c r="BN76" i="27"/>
  <c r="BN76" i="29" s="1"/>
  <c r="BM76" i="27"/>
  <c r="BM76" i="29" s="1"/>
  <c r="BL76" i="27"/>
  <c r="BL76" i="29" s="1"/>
  <c r="BH76" i="27"/>
  <c r="BH76" i="29" s="1"/>
  <c r="BR76" i="27"/>
  <c r="BR76" i="29" s="1"/>
  <c r="BK76" i="27"/>
  <c r="BK76" i="29" s="1"/>
  <c r="BJ76" i="27"/>
  <c r="BJ76" i="29" s="1"/>
  <c r="BI76" i="27"/>
  <c r="BI76" i="29" s="1"/>
  <c r="BG76" i="27"/>
  <c r="BG76" i="29" s="1"/>
  <c r="BF76" i="27"/>
  <c r="BF76" i="29" s="1"/>
  <c r="BE76" i="27"/>
  <c r="BE76" i="29" s="1"/>
  <c r="BC76" i="27"/>
  <c r="BC76" i="29" s="1"/>
  <c r="BB76" i="27"/>
  <c r="BB76" i="29" s="1"/>
  <c r="AX76" i="27"/>
  <c r="AX76" i="29" s="1"/>
  <c r="BD76" i="27"/>
  <c r="BD76" i="29" s="1"/>
  <c r="AA201" i="26"/>
  <c r="AC201" i="26" s="1"/>
  <c r="Z202" i="26"/>
  <c r="CL71" i="27"/>
  <c r="CL71" i="29" s="1"/>
  <c r="BV71" i="27"/>
  <c r="BV71" i="29" s="1"/>
  <c r="CK71" i="27"/>
  <c r="CK71" i="29" s="1"/>
  <c r="BU71" i="27"/>
  <c r="BU71" i="29" s="1"/>
  <c r="CJ71" i="27"/>
  <c r="CJ71" i="29" s="1"/>
  <c r="BT71" i="27"/>
  <c r="BT71" i="29" s="1"/>
  <c r="CI71" i="27"/>
  <c r="CI71" i="29" s="1"/>
  <c r="CH71" i="27"/>
  <c r="CH71" i="29" s="1"/>
  <c r="CG71" i="27"/>
  <c r="CG71" i="29" s="1"/>
  <c r="CF71" i="27"/>
  <c r="CF71" i="29" s="1"/>
  <c r="CE71" i="27"/>
  <c r="CE71" i="29" s="1"/>
  <c r="CD71" i="27"/>
  <c r="CD71" i="29" s="1"/>
  <c r="CC71" i="27"/>
  <c r="CC71" i="29" s="1"/>
  <c r="CB71" i="27"/>
  <c r="CB71" i="29" s="1"/>
  <c r="CN71" i="27"/>
  <c r="CN71" i="29" s="1"/>
  <c r="CO71" i="27"/>
  <c r="CO71" i="29" s="1"/>
  <c r="CM71" i="27"/>
  <c r="CM71" i="29" s="1"/>
  <c r="CA71" i="27"/>
  <c r="CA71" i="29" s="1"/>
  <c r="BZ71" i="27"/>
  <c r="BZ71" i="29" s="1"/>
  <c r="BY71" i="27"/>
  <c r="BY71" i="29" s="1"/>
  <c r="BW71" i="27"/>
  <c r="BW71" i="29" s="1"/>
  <c r="BX71" i="27"/>
  <c r="BX71" i="29" s="1"/>
  <c r="AA187" i="26"/>
  <c r="AC187" i="26" s="1"/>
  <c r="Z188" i="26"/>
  <c r="Z448" i="26" s="1"/>
  <c r="AA351" i="26"/>
  <c r="AC351" i="26" s="1"/>
  <c r="Z352" i="26"/>
  <c r="Z73" i="27" s="1"/>
  <c r="Z73" i="29" s="1"/>
  <c r="BE53" i="29"/>
  <c r="BD53" i="29"/>
  <c r="AA560" i="26"/>
  <c r="AC560" i="26" s="1"/>
  <c r="EI47" i="27"/>
  <c r="EI47" i="29" s="1"/>
  <c r="EG47" i="27"/>
  <c r="EG47" i="29" s="1"/>
  <c r="DZ47" i="27"/>
  <c r="DZ47" i="29" s="1"/>
  <c r="EC47" i="27"/>
  <c r="EC47" i="29" s="1"/>
  <c r="EA47" i="27"/>
  <c r="EA47" i="29" s="1"/>
  <c r="DY47" i="27"/>
  <c r="DY47" i="29" s="1"/>
  <c r="DX47" i="27"/>
  <c r="DX47" i="29" s="1"/>
  <c r="DW47" i="27"/>
  <c r="DW47" i="29" s="1"/>
  <c r="DV47" i="27"/>
  <c r="DV47" i="29" s="1"/>
  <c r="EK47" i="27"/>
  <c r="EK47" i="29" s="1"/>
  <c r="EJ47" i="27"/>
  <c r="EJ47" i="29" s="1"/>
  <c r="EH47" i="27"/>
  <c r="EH47" i="29" s="1"/>
  <c r="EF47" i="27"/>
  <c r="EF47" i="29" s="1"/>
  <c r="EE47" i="27"/>
  <c r="EE47" i="29" s="1"/>
  <c r="ED47" i="27"/>
  <c r="ED47" i="29" s="1"/>
  <c r="EB47" i="27"/>
  <c r="EB47" i="29" s="1"/>
  <c r="Z38" i="26"/>
  <c r="AA37" i="26"/>
  <c r="AC37" i="26" s="1"/>
  <c r="DO28" i="27"/>
  <c r="DO28" i="29" s="1"/>
  <c r="DN28" i="27"/>
  <c r="DN28" i="29" s="1"/>
  <c r="DM28" i="27"/>
  <c r="DM28" i="29" s="1"/>
  <c r="DL28" i="27"/>
  <c r="DL28" i="29" s="1"/>
  <c r="EA28" i="27"/>
  <c r="EA28" i="29" s="1"/>
  <c r="DK28" i="27"/>
  <c r="DK28" i="29" s="1"/>
  <c r="DZ28" i="27"/>
  <c r="DZ28" i="29" s="1"/>
  <c r="DJ28" i="27"/>
  <c r="DJ28" i="29" s="1"/>
  <c r="DY28" i="27"/>
  <c r="DY28" i="29" s="1"/>
  <c r="DV28" i="27"/>
  <c r="DV28" i="29" s="1"/>
  <c r="DQ28" i="27"/>
  <c r="DQ28" i="29" s="1"/>
  <c r="DX28" i="27"/>
  <c r="DX28" i="29" s="1"/>
  <c r="DW28" i="27"/>
  <c r="DW28" i="29" s="1"/>
  <c r="DU28" i="27"/>
  <c r="DU28" i="29" s="1"/>
  <c r="DT28" i="27"/>
  <c r="DT28" i="29" s="1"/>
  <c r="DS28" i="27"/>
  <c r="DS28" i="29" s="1"/>
  <c r="DR28" i="27"/>
  <c r="DR28" i="29" s="1"/>
  <c r="DP28" i="27"/>
  <c r="DP28" i="29" s="1"/>
  <c r="AA53" i="26"/>
  <c r="AC53" i="26" s="1"/>
  <c r="Z52" i="26"/>
  <c r="BJ31" i="27"/>
  <c r="BJ31" i="29" s="1"/>
  <c r="BI31" i="27"/>
  <c r="BI31" i="29" s="1"/>
  <c r="BH31" i="27"/>
  <c r="BH31" i="29" s="1"/>
  <c r="BG31" i="27"/>
  <c r="BG31" i="29" s="1"/>
  <c r="BF31" i="27"/>
  <c r="BF31" i="29" s="1"/>
  <c r="BU31" i="27"/>
  <c r="BU31" i="29" s="1"/>
  <c r="BE31" i="27"/>
  <c r="BE31" i="29" s="1"/>
  <c r="BT31" i="27"/>
  <c r="BT31" i="29" s="1"/>
  <c r="BD31" i="27"/>
  <c r="BD31" i="29" s="1"/>
  <c r="BQ31" i="27"/>
  <c r="BQ31" i="29" s="1"/>
  <c r="BL31" i="27"/>
  <c r="BL31" i="29" s="1"/>
  <c r="BK31" i="27"/>
  <c r="BK31" i="29" s="1"/>
  <c r="BC31" i="27"/>
  <c r="BC31" i="29" s="1"/>
  <c r="BB31" i="27"/>
  <c r="BB31" i="29" s="1"/>
  <c r="BS31" i="27"/>
  <c r="BS31" i="29" s="1"/>
  <c r="BR31" i="27"/>
  <c r="BR31" i="29" s="1"/>
  <c r="BO31" i="27"/>
  <c r="BO31" i="29" s="1"/>
  <c r="AA105" i="26"/>
  <c r="AC105" i="26" s="1"/>
  <c r="Z104" i="26"/>
  <c r="BP31" i="27"/>
  <c r="BP31" i="29" s="1"/>
  <c r="BN31" i="27"/>
  <c r="BN31" i="29" s="1"/>
  <c r="BM31" i="27"/>
  <c r="BM31" i="29" s="1"/>
  <c r="DN51" i="27"/>
  <c r="DN51" i="29" s="1"/>
  <c r="DM51" i="27"/>
  <c r="DM51" i="29" s="1"/>
  <c r="DL51" i="27"/>
  <c r="DL51" i="29" s="1"/>
  <c r="DG51" i="27"/>
  <c r="DG51" i="29" s="1"/>
  <c r="DE51" i="27"/>
  <c r="DE51" i="29" s="1"/>
  <c r="DH51" i="27"/>
  <c r="DH51" i="29" s="1"/>
  <c r="DD51" i="27"/>
  <c r="DD51" i="29" s="1"/>
  <c r="DC51" i="27"/>
  <c r="DC51" i="29" s="1"/>
  <c r="DB51" i="27"/>
  <c r="DB51" i="29" s="1"/>
  <c r="DA51" i="27"/>
  <c r="DA51" i="29" s="1"/>
  <c r="CZ51" i="27"/>
  <c r="CZ51" i="29" s="1"/>
  <c r="CY51" i="27"/>
  <c r="CY51" i="29" s="1"/>
  <c r="DS51" i="27"/>
  <c r="DS51" i="29" s="1"/>
  <c r="DR51" i="27"/>
  <c r="DR51" i="29" s="1"/>
  <c r="DQ51" i="27"/>
  <c r="DQ51" i="29" s="1"/>
  <c r="DP51" i="27"/>
  <c r="DP51" i="29" s="1"/>
  <c r="DO51" i="27"/>
  <c r="DO51" i="29" s="1"/>
  <c r="DK51" i="27"/>
  <c r="DK51" i="29" s="1"/>
  <c r="DJ51" i="27"/>
  <c r="DJ51" i="29" s="1"/>
  <c r="DI51" i="27"/>
  <c r="DI51" i="29" s="1"/>
  <c r="DF51" i="27"/>
  <c r="DF51" i="29" s="1"/>
  <c r="Z122" i="26"/>
  <c r="AA123" i="26"/>
  <c r="AC123" i="26" s="1"/>
  <c r="V56" i="27"/>
  <c r="V56" i="29" s="1"/>
  <c r="F56" i="27"/>
  <c r="F56" i="29" s="1"/>
  <c r="L56" i="27"/>
  <c r="L56" i="29" s="1"/>
  <c r="K56" i="27"/>
  <c r="K56" i="29" s="1"/>
  <c r="J56" i="27"/>
  <c r="J56" i="29" s="1"/>
  <c r="U56" i="27"/>
  <c r="U56" i="29" s="1"/>
  <c r="S56" i="27"/>
  <c r="S56" i="29" s="1"/>
  <c r="P56" i="27"/>
  <c r="P56" i="29" s="1"/>
  <c r="N56" i="27"/>
  <c r="N56" i="29" s="1"/>
  <c r="M56" i="27"/>
  <c r="M56" i="29" s="1"/>
  <c r="I56" i="27"/>
  <c r="I56" i="29" s="1"/>
  <c r="H56" i="27"/>
  <c r="H56" i="29" s="1"/>
  <c r="G56" i="27"/>
  <c r="G56" i="29" s="1"/>
  <c r="T56" i="27"/>
  <c r="T56" i="29" s="1"/>
  <c r="R56" i="27"/>
  <c r="R56" i="29" s="1"/>
  <c r="Q56" i="27"/>
  <c r="Q56" i="29" s="1"/>
  <c r="O56" i="27"/>
  <c r="O56" i="29" s="1"/>
  <c r="X56" i="27"/>
  <c r="X56" i="29" s="1"/>
  <c r="W56" i="27"/>
  <c r="W56" i="29" s="1"/>
  <c r="Y56" i="27"/>
  <c r="Y56" i="29" s="1"/>
  <c r="Z234" i="26"/>
  <c r="AA233" i="26"/>
  <c r="AC233" i="26" s="1"/>
  <c r="L79" i="27"/>
  <c r="L79" i="29" s="1"/>
  <c r="K79" i="27"/>
  <c r="K79" i="29" s="1"/>
  <c r="J79" i="27"/>
  <c r="J79" i="29" s="1"/>
  <c r="Y79" i="27"/>
  <c r="Y79" i="29" s="1"/>
  <c r="I79" i="27"/>
  <c r="I79" i="29" s="1"/>
  <c r="X79" i="27"/>
  <c r="X79" i="29" s="1"/>
  <c r="H79" i="27"/>
  <c r="H79" i="29" s="1"/>
  <c r="W79" i="27"/>
  <c r="W79" i="29" s="1"/>
  <c r="S79" i="27"/>
  <c r="S79" i="29" s="1"/>
  <c r="V79" i="27"/>
  <c r="V79" i="29" s="1"/>
  <c r="U79" i="27"/>
  <c r="U79" i="29" s="1"/>
  <c r="T79" i="27"/>
  <c r="T79" i="29" s="1"/>
  <c r="R79" i="27"/>
  <c r="R79" i="29" s="1"/>
  <c r="P79" i="27"/>
  <c r="P79" i="29" s="1"/>
  <c r="O79" i="27"/>
  <c r="O79" i="29" s="1"/>
  <c r="N79" i="27"/>
  <c r="N79" i="29" s="1"/>
  <c r="M79" i="27"/>
  <c r="M79" i="29" s="1"/>
  <c r="Q79" i="27"/>
  <c r="Q79" i="29" s="1"/>
  <c r="AA254" i="26"/>
  <c r="AC254" i="26" s="1"/>
  <c r="Z255" i="26"/>
  <c r="D56" i="27"/>
  <c r="D56" i="29" s="1"/>
  <c r="E56" i="27"/>
  <c r="E56" i="29" s="1"/>
  <c r="AA289" i="26"/>
  <c r="AC289" i="26" s="1"/>
  <c r="Z290" i="26"/>
  <c r="W50" i="27"/>
  <c r="W50" i="29" s="1"/>
  <c r="G50" i="27"/>
  <c r="G50" i="29" s="1"/>
  <c r="U50" i="27"/>
  <c r="U50" i="29" s="1"/>
  <c r="N50" i="27"/>
  <c r="N50" i="29" s="1"/>
  <c r="M50" i="27"/>
  <c r="M50" i="29" s="1"/>
  <c r="K50" i="27"/>
  <c r="K50" i="29" s="1"/>
  <c r="J50" i="27"/>
  <c r="J50" i="29" s="1"/>
  <c r="I50" i="27"/>
  <c r="I50" i="29" s="1"/>
  <c r="H50" i="27"/>
  <c r="H50" i="29" s="1"/>
  <c r="F50" i="27"/>
  <c r="F50" i="29" s="1"/>
  <c r="Y50" i="27"/>
  <c r="Y50" i="29" s="1"/>
  <c r="X50" i="27"/>
  <c r="X50" i="29" s="1"/>
  <c r="V50" i="27"/>
  <c r="V50" i="29" s="1"/>
  <c r="T50" i="27"/>
  <c r="T50" i="29" s="1"/>
  <c r="S50" i="27"/>
  <c r="S50" i="29" s="1"/>
  <c r="R50" i="27"/>
  <c r="R50" i="29" s="1"/>
  <c r="Q50" i="27"/>
  <c r="Q50" i="29" s="1"/>
  <c r="P50" i="27"/>
  <c r="P50" i="29" s="1"/>
  <c r="O50" i="27"/>
  <c r="O50" i="29" s="1"/>
  <c r="Z226" i="26"/>
  <c r="L50" i="27"/>
  <c r="L50" i="29" s="1"/>
  <c r="AA227" i="26"/>
  <c r="AC227" i="26" s="1"/>
  <c r="M62" i="30" l="1"/>
  <c r="H102" i="30"/>
  <c r="Z815" i="26"/>
  <c r="Z814" i="26" s="1"/>
  <c r="Z813" i="26" s="1"/>
  <c r="Z812" i="26" s="1"/>
  <c r="Z811" i="26" s="1"/>
  <c r="Z795" i="26"/>
  <c r="Z611" i="26"/>
  <c r="Z878" i="26"/>
  <c r="M66" i="30"/>
  <c r="M76" i="30"/>
  <c r="M72" i="30"/>
  <c r="M68" i="30"/>
  <c r="M73" i="30"/>
  <c r="AC37" i="30"/>
  <c r="N70" i="30" s="1"/>
  <c r="AB21" i="30"/>
  <c r="AC21" i="30" s="1"/>
  <c r="AE21" i="30" s="1"/>
  <c r="AF21" i="30" s="1"/>
  <c r="Y14" i="30"/>
  <c r="D145" i="30"/>
  <c r="D159" i="30" s="1"/>
  <c r="M60" i="30"/>
  <c r="R89" i="30" s="1"/>
  <c r="AC41" i="30"/>
  <c r="AE41" i="30" s="1"/>
  <c r="AF41" i="30" s="1"/>
  <c r="AC22" i="30"/>
  <c r="N55" i="30" s="1"/>
  <c r="M58" i="30"/>
  <c r="I135" i="30"/>
  <c r="J135" i="30"/>
  <c r="K22" i="41"/>
  <c r="L21" i="41"/>
  <c r="X161" i="25"/>
  <c r="AE38" i="30"/>
  <c r="AF38" i="30" s="1"/>
  <c r="AI38" i="30" s="1"/>
  <c r="AN23" i="30"/>
  <c r="R91" i="30"/>
  <c r="M101" i="30"/>
  <c r="AI42" i="30"/>
  <c r="AL42" i="30"/>
  <c r="N59" i="30"/>
  <c r="AE26" i="30"/>
  <c r="AF26" i="30" s="1"/>
  <c r="AI30" i="30"/>
  <c r="AL30" i="30"/>
  <c r="J108" i="30" s="1"/>
  <c r="M108" i="30" s="1"/>
  <c r="AI34" i="30"/>
  <c r="AL34" i="30"/>
  <c r="J112" i="30" s="1"/>
  <c r="M112" i="30" s="1"/>
  <c r="N64" i="30"/>
  <c r="AE31" i="30"/>
  <c r="AF31" i="30" s="1"/>
  <c r="N66" i="30"/>
  <c r="AE33" i="30"/>
  <c r="AF33" i="30" s="1"/>
  <c r="N73" i="30"/>
  <c r="AE40" i="30"/>
  <c r="AF40" i="30" s="1"/>
  <c r="N58" i="30"/>
  <c r="AE25" i="30"/>
  <c r="AF25" i="30" s="1"/>
  <c r="N57" i="30"/>
  <c r="AE24" i="30"/>
  <c r="AF24" i="30" s="1"/>
  <c r="N62" i="30"/>
  <c r="AE29" i="30"/>
  <c r="AF29" i="30" s="1"/>
  <c r="N78" i="30"/>
  <c r="AE45" i="30"/>
  <c r="AF45" i="30" s="1"/>
  <c r="N68" i="30"/>
  <c r="AE35" i="30"/>
  <c r="AF35" i="30" s="1"/>
  <c r="AI44" i="30"/>
  <c r="AL44" i="30"/>
  <c r="N79" i="30"/>
  <c r="AE46" i="30"/>
  <c r="AF46" i="30" s="1"/>
  <c r="AI36" i="30"/>
  <c r="AL36" i="30"/>
  <c r="J114" i="30" s="1"/>
  <c r="M114" i="30" s="1"/>
  <c r="AI28" i="30"/>
  <c r="AL28" i="30"/>
  <c r="J106" i="30" s="1"/>
  <c r="M106" i="30" s="1"/>
  <c r="N65" i="30"/>
  <c r="AE32" i="30"/>
  <c r="AF32" i="30" s="1"/>
  <c r="N60" i="30"/>
  <c r="AE27" i="30"/>
  <c r="AF27" i="30" s="1"/>
  <c r="N72" i="30"/>
  <c r="AE39" i="30"/>
  <c r="AF39" i="30" s="1"/>
  <c r="N76" i="30"/>
  <c r="AE43" i="30"/>
  <c r="AF43" i="30" s="1"/>
  <c r="R113" i="30"/>
  <c r="N231" i="25"/>
  <c r="P231" i="25" s="1"/>
  <c r="Q231" i="25" s="1"/>
  <c r="Y178" i="25"/>
  <c r="M244" i="25"/>
  <c r="U244" i="25"/>
  <c r="N199" i="25"/>
  <c r="P199" i="25" s="1"/>
  <c r="Q199" i="25" s="1"/>
  <c r="M200" i="25"/>
  <c r="N200" i="25" s="1"/>
  <c r="P200" i="25" s="1"/>
  <c r="Q200" i="25" s="1"/>
  <c r="Y242" i="25"/>
  <c r="X242" i="25"/>
  <c r="Z242" i="25"/>
  <c r="R187" i="25"/>
  <c r="V187" i="25"/>
  <c r="Z187" i="25" s="1"/>
  <c r="AA161" i="25"/>
  <c r="AE161" i="25" s="1"/>
  <c r="Y161" i="25"/>
  <c r="Z178" i="25"/>
  <c r="Z161" i="25"/>
  <c r="R243" i="25"/>
  <c r="V243" i="25"/>
  <c r="AA243" i="25" s="1"/>
  <c r="AE243" i="25" s="1"/>
  <c r="AA178" i="25"/>
  <c r="AE178" i="25" s="1"/>
  <c r="R228" i="25"/>
  <c r="V228" i="25"/>
  <c r="Z228" i="25" s="1"/>
  <c r="X178" i="25"/>
  <c r="R217" i="25"/>
  <c r="V217" i="25"/>
  <c r="AA217" i="25" s="1"/>
  <c r="AE217" i="25" s="1"/>
  <c r="V205" i="25"/>
  <c r="Z205" i="25" s="1"/>
  <c r="R205" i="25"/>
  <c r="V197" i="25"/>
  <c r="Z197" i="25" s="1"/>
  <c r="R197" i="25"/>
  <c r="U179" i="25"/>
  <c r="V230" i="25"/>
  <c r="X230" i="25" s="1"/>
  <c r="R230" i="25"/>
  <c r="BD54" i="27"/>
  <c r="BE54" i="27"/>
  <c r="AZ48" i="27"/>
  <c r="BA48" i="27"/>
  <c r="BB48" i="27"/>
  <c r="BC48" i="27"/>
  <c r="BD48" i="27"/>
  <c r="BE48" i="27"/>
  <c r="Z510" i="26"/>
  <c r="DX68" i="27"/>
  <c r="DX68" i="29" s="1"/>
  <c r="DL68" i="27"/>
  <c r="DL68" i="29" s="1"/>
  <c r="DM68" i="27"/>
  <c r="DM68" i="29" s="1"/>
  <c r="DN68" i="27"/>
  <c r="DN68" i="29" s="1"/>
  <c r="DO68" i="27"/>
  <c r="DO68" i="29" s="1"/>
  <c r="DP68" i="27"/>
  <c r="DP68" i="29" s="1"/>
  <c r="DQ68" i="27"/>
  <c r="DQ68" i="29" s="1"/>
  <c r="DR68" i="27"/>
  <c r="DR68" i="29" s="1"/>
  <c r="DS68" i="27"/>
  <c r="DS68" i="29" s="1"/>
  <c r="DT68" i="27"/>
  <c r="DT68" i="29" s="1"/>
  <c r="DU68" i="27"/>
  <c r="DU68" i="29" s="1"/>
  <c r="DV68" i="27"/>
  <c r="DV68" i="29" s="1"/>
  <c r="DW68" i="27"/>
  <c r="DW68" i="29" s="1"/>
  <c r="AA509" i="26"/>
  <c r="AC509" i="26" s="1"/>
  <c r="BS72" i="27"/>
  <c r="BS72" i="29" s="1"/>
  <c r="AA448" i="26"/>
  <c r="AC448" i="26" s="1"/>
  <c r="CP71" i="27"/>
  <c r="CP71" i="29" s="1"/>
  <c r="AA489" i="26"/>
  <c r="AC489" i="26" s="1"/>
  <c r="Z474" i="26"/>
  <c r="BS63" i="27"/>
  <c r="BS63" i="29" s="1"/>
  <c r="BU63" i="27"/>
  <c r="BU63" i="29" s="1"/>
  <c r="BV63" i="27"/>
  <c r="BV63" i="29" s="1"/>
  <c r="BW63" i="27"/>
  <c r="BW63" i="29" s="1"/>
  <c r="BX63" i="27"/>
  <c r="BX63" i="29" s="1"/>
  <c r="BY63" i="27"/>
  <c r="BY63" i="29" s="1"/>
  <c r="BZ63" i="27"/>
  <c r="BZ63" i="29" s="1"/>
  <c r="CA63" i="27"/>
  <c r="CA63" i="29" s="1"/>
  <c r="CB63" i="27"/>
  <c r="CB63" i="29" s="1"/>
  <c r="BT63" i="27"/>
  <c r="BT63" i="29" s="1"/>
  <c r="AA475" i="26"/>
  <c r="AC475" i="26" s="1"/>
  <c r="Z397" i="26"/>
  <c r="AA398" i="26"/>
  <c r="AC398" i="26" s="1"/>
  <c r="AV68" i="27"/>
  <c r="AV68" i="29" s="1"/>
  <c r="AA404" i="26"/>
  <c r="AC404" i="26" s="1"/>
  <c r="AV74" i="27"/>
  <c r="AV74" i="29" s="1"/>
  <c r="Z405" i="26"/>
  <c r="H101" i="30"/>
  <c r="R100" i="30"/>
  <c r="M100" i="30"/>
  <c r="R108" i="30"/>
  <c r="R101" i="30"/>
  <c r="R106" i="30"/>
  <c r="H114" i="30"/>
  <c r="R105" i="30"/>
  <c r="I91" i="30"/>
  <c r="H105" i="30"/>
  <c r="H111" i="30"/>
  <c r="R103" i="30"/>
  <c r="H103" i="30"/>
  <c r="M99" i="30"/>
  <c r="H99" i="30"/>
  <c r="J91" i="30"/>
  <c r="EC14" i="27"/>
  <c r="EC14" i="29" s="1"/>
  <c r="EA14" i="27"/>
  <c r="EA14" i="29" s="1"/>
  <c r="Z828" i="26"/>
  <c r="DV13" i="27" s="1"/>
  <c r="EH14" i="27"/>
  <c r="EH14" i="29" s="1"/>
  <c r="AA7" i="26"/>
  <c r="AC7" i="26" s="1"/>
  <c r="EB14" i="27"/>
  <c r="EB14" i="29" s="1"/>
  <c r="EL14" i="27"/>
  <c r="EL14" i="29" s="1"/>
  <c r="EE14" i="27"/>
  <c r="EE14" i="29" s="1"/>
  <c r="ED14" i="27"/>
  <c r="ED14" i="29" s="1"/>
  <c r="DZ14" i="27"/>
  <c r="DZ14" i="29" s="1"/>
  <c r="DY14" i="27"/>
  <c r="DY14" i="29" s="1"/>
  <c r="DX14" i="27"/>
  <c r="DX14" i="29" s="1"/>
  <c r="DW14" i="27"/>
  <c r="DW14" i="29" s="1"/>
  <c r="Z8" i="26"/>
  <c r="EF14" i="27"/>
  <c r="EF14" i="29" s="1"/>
  <c r="EJ14" i="27"/>
  <c r="EJ14" i="29" s="1"/>
  <c r="EM14" i="27"/>
  <c r="EM14" i="29" s="1"/>
  <c r="EI14" i="27"/>
  <c r="EI14" i="29" s="1"/>
  <c r="EK14" i="27"/>
  <c r="EK14" i="29" s="1"/>
  <c r="EG14" i="27"/>
  <c r="EG14" i="29" s="1"/>
  <c r="F78" i="27"/>
  <c r="F78" i="29" s="1"/>
  <c r="AA316" i="26"/>
  <c r="AC316" i="26" s="1"/>
  <c r="Z317" i="26"/>
  <c r="G78" i="27"/>
  <c r="G78" i="29" s="1"/>
  <c r="AA827" i="26"/>
  <c r="AC827" i="26" s="1"/>
  <c r="DV12" i="29"/>
  <c r="Z344" i="26"/>
  <c r="Z65" i="27" s="1"/>
  <c r="AA345" i="26"/>
  <c r="AC345" i="26" s="1"/>
  <c r="Z67" i="29"/>
  <c r="EN13" i="27"/>
  <c r="EN13" i="29" s="1"/>
  <c r="EJ13" i="27"/>
  <c r="EJ13" i="29" s="1"/>
  <c r="EL13" i="27"/>
  <c r="EL13" i="29" s="1"/>
  <c r="EK13" i="27"/>
  <c r="EK13" i="29" s="1"/>
  <c r="AA816" i="26"/>
  <c r="AC816" i="26" s="1"/>
  <c r="EI13" i="27"/>
  <c r="EI13" i="29" s="1"/>
  <c r="EO13" i="27"/>
  <c r="EO13" i="29" s="1"/>
  <c r="EM13" i="27"/>
  <c r="EM13" i="29" s="1"/>
  <c r="Z309" i="26"/>
  <c r="AA310" i="26"/>
  <c r="AC310" i="26" s="1"/>
  <c r="F72" i="27"/>
  <c r="F72" i="29" s="1"/>
  <c r="E72" i="27"/>
  <c r="E72" i="29" s="1"/>
  <c r="G72" i="27"/>
  <c r="G72" i="29" s="1"/>
  <c r="EM36" i="27"/>
  <c r="EM36" i="29" s="1"/>
  <c r="EF36" i="27"/>
  <c r="EF36" i="29" s="1"/>
  <c r="EE36" i="27"/>
  <c r="EE36" i="29" s="1"/>
  <c r="EU36" i="27"/>
  <c r="EU36" i="29" s="1"/>
  <c r="ED36" i="27"/>
  <c r="ED36" i="29" s="1"/>
  <c r="ET36" i="27"/>
  <c r="ET36" i="29" s="1"/>
  <c r="EC36" i="27"/>
  <c r="EC36" i="29" s="1"/>
  <c r="ES36" i="27"/>
  <c r="ES36" i="29" s="1"/>
  <c r="ER36" i="27"/>
  <c r="ER36" i="29" s="1"/>
  <c r="EQ36" i="27"/>
  <c r="EQ36" i="29" s="1"/>
  <c r="EN36" i="27"/>
  <c r="EN36" i="29" s="1"/>
  <c r="EH36" i="27"/>
  <c r="EH36" i="29" s="1"/>
  <c r="EG36" i="27"/>
  <c r="EG36" i="29" s="1"/>
  <c r="EP36" i="27"/>
  <c r="EP36" i="29" s="1"/>
  <c r="EO36" i="27"/>
  <c r="EO36" i="29" s="1"/>
  <c r="EL36" i="27"/>
  <c r="EL36" i="29" s="1"/>
  <c r="EK36" i="27"/>
  <c r="EK36" i="29" s="1"/>
  <c r="EJ36" i="27"/>
  <c r="EJ36" i="29" s="1"/>
  <c r="EI36" i="27"/>
  <c r="EI36" i="29" s="1"/>
  <c r="Z29" i="26"/>
  <c r="Z775" i="26"/>
  <c r="AA28" i="26"/>
  <c r="AC28" i="26" s="1"/>
  <c r="BW55" i="27"/>
  <c r="BW55" i="29" s="1"/>
  <c r="BG55" i="27"/>
  <c r="BG55" i="29" s="1"/>
  <c r="BY55" i="27"/>
  <c r="BY55" i="29" s="1"/>
  <c r="BH55" i="27"/>
  <c r="BH55" i="29" s="1"/>
  <c r="BX55" i="27"/>
  <c r="BX55" i="29" s="1"/>
  <c r="BF55" i="27"/>
  <c r="BF55" i="29" s="1"/>
  <c r="BV55" i="27"/>
  <c r="BV55" i="29" s="1"/>
  <c r="BQ55" i="27"/>
  <c r="BQ55" i="29" s="1"/>
  <c r="BO55" i="27"/>
  <c r="BO55" i="29" s="1"/>
  <c r="BU55" i="27"/>
  <c r="BU55" i="29" s="1"/>
  <c r="BS55" i="27"/>
  <c r="BS55" i="29" s="1"/>
  <c r="BR55" i="27"/>
  <c r="BR55" i="29" s="1"/>
  <c r="BP55" i="27"/>
  <c r="BP55" i="29" s="1"/>
  <c r="BN55" i="27"/>
  <c r="BN55" i="29" s="1"/>
  <c r="BM55" i="27"/>
  <c r="BM55" i="29" s="1"/>
  <c r="BL55" i="27"/>
  <c r="BL55" i="29" s="1"/>
  <c r="BK55" i="27"/>
  <c r="BK55" i="29" s="1"/>
  <c r="BJ55" i="27"/>
  <c r="BJ55" i="29" s="1"/>
  <c r="BI55" i="27"/>
  <c r="BI55" i="29" s="1"/>
  <c r="AA169" i="26"/>
  <c r="AC169" i="26" s="1"/>
  <c r="BZ55" i="27"/>
  <c r="BZ55" i="29" s="1"/>
  <c r="Z562" i="26"/>
  <c r="BT55" i="27"/>
  <c r="BT55" i="29" s="1"/>
  <c r="Z170" i="26"/>
  <c r="AA361" i="26"/>
  <c r="AC361" i="26" s="1"/>
  <c r="Z49" i="27"/>
  <c r="Z49" i="29" s="1"/>
  <c r="CA72" i="27"/>
  <c r="CA72" i="29" s="1"/>
  <c r="BZ72" i="27"/>
  <c r="BZ72" i="29" s="1"/>
  <c r="CO72" i="27"/>
  <c r="CO72" i="29" s="1"/>
  <c r="BY72" i="27"/>
  <c r="BY72" i="29" s="1"/>
  <c r="CM72" i="27"/>
  <c r="CM72" i="29" s="1"/>
  <c r="BW72" i="27"/>
  <c r="BW72" i="29" s="1"/>
  <c r="CL72" i="27"/>
  <c r="CL72" i="29" s="1"/>
  <c r="BV72" i="27"/>
  <c r="BV72" i="29" s="1"/>
  <c r="CH72" i="27"/>
  <c r="CH72" i="29" s="1"/>
  <c r="CF72" i="27"/>
  <c r="CF72" i="29" s="1"/>
  <c r="CE72" i="27"/>
  <c r="CE72" i="29" s="1"/>
  <c r="CD72" i="27"/>
  <c r="CD72" i="29" s="1"/>
  <c r="CC72" i="27"/>
  <c r="CC72" i="29" s="1"/>
  <c r="CB72" i="27"/>
  <c r="CB72" i="29" s="1"/>
  <c r="BX72" i="27"/>
  <c r="BX72" i="29" s="1"/>
  <c r="BU72" i="27"/>
  <c r="BU72" i="29" s="1"/>
  <c r="BT72" i="27"/>
  <c r="BT72" i="29" s="1"/>
  <c r="CI72" i="27"/>
  <c r="CI72" i="29" s="1"/>
  <c r="CN72" i="27"/>
  <c r="CN72" i="29" s="1"/>
  <c r="CK72" i="27"/>
  <c r="CK72" i="29" s="1"/>
  <c r="CJ72" i="27"/>
  <c r="CJ72" i="29" s="1"/>
  <c r="CG72" i="27"/>
  <c r="CG72" i="29" s="1"/>
  <c r="Z189" i="26"/>
  <c r="Z449" i="26" s="1"/>
  <c r="AA188" i="26"/>
  <c r="AC188" i="26" s="1"/>
  <c r="DK50" i="27"/>
  <c r="DK50" i="29" s="1"/>
  <c r="DJ50" i="27"/>
  <c r="DJ50" i="29" s="1"/>
  <c r="DI50" i="27"/>
  <c r="DI50" i="29" s="1"/>
  <c r="DD50" i="27"/>
  <c r="DD50" i="29" s="1"/>
  <c r="DR50" i="27"/>
  <c r="DR50" i="29" s="1"/>
  <c r="DB50" i="27"/>
  <c r="DB50" i="29" s="1"/>
  <c r="CZ50" i="27"/>
  <c r="CZ50" i="29" s="1"/>
  <c r="DS50" i="27"/>
  <c r="DS50" i="29" s="1"/>
  <c r="DQ50" i="27"/>
  <c r="DQ50" i="29" s="1"/>
  <c r="DP50" i="27"/>
  <c r="DP50" i="29" s="1"/>
  <c r="DO50" i="27"/>
  <c r="DO50" i="29" s="1"/>
  <c r="DN50" i="27"/>
  <c r="DN50" i="29" s="1"/>
  <c r="DM50" i="27"/>
  <c r="DM50" i="29" s="1"/>
  <c r="DH50" i="27"/>
  <c r="DH50" i="29" s="1"/>
  <c r="DA50" i="27"/>
  <c r="DA50" i="29" s="1"/>
  <c r="CY50" i="27"/>
  <c r="CY50" i="29" s="1"/>
  <c r="DL50" i="27"/>
  <c r="DL50" i="29" s="1"/>
  <c r="DG50" i="27"/>
  <c r="DG50" i="29" s="1"/>
  <c r="DF50" i="27"/>
  <c r="DF50" i="29" s="1"/>
  <c r="DE50" i="27"/>
  <c r="DE50" i="29" s="1"/>
  <c r="DC50" i="27"/>
  <c r="DC50" i="29" s="1"/>
  <c r="AA122" i="26"/>
  <c r="AC122" i="26" s="1"/>
  <c r="Z121" i="26"/>
  <c r="AN74" i="27"/>
  <c r="AN74" i="29" s="1"/>
  <c r="AM74" i="27"/>
  <c r="AM74" i="29" s="1"/>
  <c r="AL74" i="27"/>
  <c r="AL74" i="29" s="1"/>
  <c r="AJ74" i="27"/>
  <c r="AJ74" i="29" s="1"/>
  <c r="AI74" i="27"/>
  <c r="AI74" i="29" s="1"/>
  <c r="AU74" i="27"/>
  <c r="AU74" i="29" s="1"/>
  <c r="AE74" i="27"/>
  <c r="AE74" i="29" s="1"/>
  <c r="AT74" i="27"/>
  <c r="AT74" i="29" s="1"/>
  <c r="AS74" i="27"/>
  <c r="AS74" i="29" s="1"/>
  <c r="AR74" i="27"/>
  <c r="AR74" i="29" s="1"/>
  <c r="AQ74" i="27"/>
  <c r="AQ74" i="29" s="1"/>
  <c r="AP74" i="27"/>
  <c r="AP74" i="29" s="1"/>
  <c r="AO74" i="27"/>
  <c r="AO74" i="29" s="1"/>
  <c r="AK74" i="27"/>
  <c r="AK74" i="29" s="1"/>
  <c r="AG74" i="27"/>
  <c r="AG74" i="29" s="1"/>
  <c r="AA74" i="27"/>
  <c r="AA74" i="29" s="1"/>
  <c r="AH74" i="27"/>
  <c r="AH74" i="29" s="1"/>
  <c r="AF74" i="27"/>
  <c r="AF74" i="29" s="1"/>
  <c r="AD74" i="27"/>
  <c r="AD74" i="29" s="1"/>
  <c r="AC74" i="27"/>
  <c r="AC74" i="29" s="1"/>
  <c r="AB74" i="27"/>
  <c r="AB74" i="29" s="1"/>
  <c r="Z218" i="26"/>
  <c r="AA217" i="26"/>
  <c r="AC217" i="26" s="1"/>
  <c r="DC71" i="27"/>
  <c r="DC71" i="29" s="1"/>
  <c r="DB71" i="27"/>
  <c r="DB71" i="29" s="1"/>
  <c r="DA71" i="27"/>
  <c r="DA71" i="29" s="1"/>
  <c r="DF71" i="27"/>
  <c r="DF71" i="29" s="1"/>
  <c r="DE71" i="27"/>
  <c r="DE71" i="29" s="1"/>
  <c r="DD71" i="27"/>
  <c r="DD71" i="29" s="1"/>
  <c r="CZ71" i="27"/>
  <c r="CZ71" i="29" s="1"/>
  <c r="CY71" i="27"/>
  <c r="CY71" i="29" s="1"/>
  <c r="CX71" i="27"/>
  <c r="CX71" i="29" s="1"/>
  <c r="CW71" i="27"/>
  <c r="CW71" i="29" s="1"/>
  <c r="CV71" i="27"/>
  <c r="CV71" i="29" s="1"/>
  <c r="DH71" i="27"/>
  <c r="DH71" i="29" s="1"/>
  <c r="CU71" i="27"/>
  <c r="CU71" i="29" s="1"/>
  <c r="CT71" i="27"/>
  <c r="CT71" i="29" s="1"/>
  <c r="CS71" i="27"/>
  <c r="CS71" i="29" s="1"/>
  <c r="CR71" i="27"/>
  <c r="CR71" i="29" s="1"/>
  <c r="CQ71" i="27"/>
  <c r="CQ71" i="29" s="1"/>
  <c r="DI71" i="27"/>
  <c r="DI71" i="29" s="1"/>
  <c r="DK71" i="27"/>
  <c r="DK71" i="29" s="1"/>
  <c r="DJ71" i="27"/>
  <c r="DJ71" i="29" s="1"/>
  <c r="DG71" i="27"/>
  <c r="DG71" i="29" s="1"/>
  <c r="AA178" i="26"/>
  <c r="AC178" i="26" s="1"/>
  <c r="Z179" i="26"/>
  <c r="Z490" i="26" s="1"/>
  <c r="CJ58" i="27"/>
  <c r="CJ58" i="29" s="1"/>
  <c r="CR58" i="27"/>
  <c r="CR58" i="29" s="1"/>
  <c r="CQ58" i="27"/>
  <c r="CQ58" i="29" s="1"/>
  <c r="CP58" i="27"/>
  <c r="CP58" i="29" s="1"/>
  <c r="CO58" i="27"/>
  <c r="CO58" i="29" s="1"/>
  <c r="CN58" i="27"/>
  <c r="CN58" i="29" s="1"/>
  <c r="CM58" i="27"/>
  <c r="CM58" i="29" s="1"/>
  <c r="CL58" i="27"/>
  <c r="CL58" i="29" s="1"/>
  <c r="CK58" i="27"/>
  <c r="CK58" i="29" s="1"/>
  <c r="CI58" i="27"/>
  <c r="CI58" i="29" s="1"/>
  <c r="CH58" i="27"/>
  <c r="CH58" i="29" s="1"/>
  <c r="CS58" i="27"/>
  <c r="CS58" i="29" s="1"/>
  <c r="CG58" i="27"/>
  <c r="CG58" i="29" s="1"/>
  <c r="CF58" i="27"/>
  <c r="CF58" i="29" s="1"/>
  <c r="CE58" i="27"/>
  <c r="CE58" i="29" s="1"/>
  <c r="CD58" i="27"/>
  <c r="CD58" i="29" s="1"/>
  <c r="CC58" i="27"/>
  <c r="CC58" i="29" s="1"/>
  <c r="CU58" i="27"/>
  <c r="CU58" i="29" s="1"/>
  <c r="CT58" i="27"/>
  <c r="CT58" i="29" s="1"/>
  <c r="CV58" i="27"/>
  <c r="CV58" i="29" s="1"/>
  <c r="AA151" i="26"/>
  <c r="AC151" i="26" s="1"/>
  <c r="Z152" i="26"/>
  <c r="CW58" i="27"/>
  <c r="CW58" i="29" s="1"/>
  <c r="BD48" i="29"/>
  <c r="BE48" i="29"/>
  <c r="BC48" i="29"/>
  <c r="BB48" i="29"/>
  <c r="BA48" i="29"/>
  <c r="AZ48" i="29"/>
  <c r="AA575" i="26"/>
  <c r="AC575" i="26" s="1"/>
  <c r="Z574" i="26"/>
  <c r="CM28" i="27"/>
  <c r="CM28" i="29" s="1"/>
  <c r="CH28" i="27"/>
  <c r="CH28" i="29" s="1"/>
  <c r="CN28" i="27"/>
  <c r="CN28" i="29" s="1"/>
  <c r="CL28" i="27"/>
  <c r="CL28" i="29" s="1"/>
  <c r="CK28" i="27"/>
  <c r="CK28" i="29" s="1"/>
  <c r="CJ28" i="27"/>
  <c r="CJ28" i="29" s="1"/>
  <c r="CI28" i="27"/>
  <c r="CI28" i="29" s="1"/>
  <c r="CG28" i="27"/>
  <c r="CG28" i="29" s="1"/>
  <c r="Z86" i="26"/>
  <c r="Z610" i="26" s="1"/>
  <c r="AA87" i="26"/>
  <c r="AC87" i="26" s="1"/>
  <c r="BR47" i="27"/>
  <c r="BR47" i="29" s="1"/>
  <c r="BP47" i="27"/>
  <c r="BP47" i="29" s="1"/>
  <c r="BY47" i="27"/>
  <c r="BY47" i="29" s="1"/>
  <c r="BI47" i="27"/>
  <c r="BI47" i="29" s="1"/>
  <c r="BQ47" i="27"/>
  <c r="BQ47" i="29" s="1"/>
  <c r="BN47" i="27"/>
  <c r="BN47" i="29" s="1"/>
  <c r="BM47" i="27"/>
  <c r="BM47" i="29" s="1"/>
  <c r="BL47" i="27"/>
  <c r="BL47" i="29" s="1"/>
  <c r="BJ47" i="27"/>
  <c r="BJ47" i="29" s="1"/>
  <c r="BH47" i="27"/>
  <c r="BH47" i="29" s="1"/>
  <c r="BG47" i="27"/>
  <c r="BG47" i="29" s="1"/>
  <c r="BS47" i="27"/>
  <c r="BS47" i="29" s="1"/>
  <c r="BO47" i="27"/>
  <c r="BO47" i="29" s="1"/>
  <c r="BK47" i="27"/>
  <c r="BK47" i="29" s="1"/>
  <c r="BF47" i="27"/>
  <c r="BF47" i="29" s="1"/>
  <c r="BU47" i="27"/>
  <c r="BU47" i="29" s="1"/>
  <c r="BT47" i="27"/>
  <c r="BT47" i="29" s="1"/>
  <c r="BZ47" i="27"/>
  <c r="BZ47" i="29" s="1"/>
  <c r="BX47" i="27"/>
  <c r="BX47" i="29" s="1"/>
  <c r="Z160" i="26"/>
  <c r="BV47" i="27"/>
  <c r="BV47" i="29" s="1"/>
  <c r="AA161" i="26"/>
  <c r="AC161" i="26" s="1"/>
  <c r="BW47" i="27"/>
  <c r="BW47" i="29" s="1"/>
  <c r="W80" i="27"/>
  <c r="W80" i="29" s="1"/>
  <c r="V80" i="27"/>
  <c r="V80" i="29" s="1"/>
  <c r="U80" i="27"/>
  <c r="U80" i="29" s="1"/>
  <c r="T80" i="27"/>
  <c r="T80" i="29" s="1"/>
  <c r="S80" i="27"/>
  <c r="S80" i="29" s="1"/>
  <c r="R80" i="27"/>
  <c r="R80" i="29" s="1"/>
  <c r="N80" i="27"/>
  <c r="N80" i="29" s="1"/>
  <c r="I80" i="27"/>
  <c r="I80" i="29" s="1"/>
  <c r="H80" i="27"/>
  <c r="H80" i="29" s="1"/>
  <c r="Y80" i="27"/>
  <c r="Y80" i="29" s="1"/>
  <c r="Q80" i="27"/>
  <c r="Q80" i="29" s="1"/>
  <c r="K80" i="27"/>
  <c r="K80" i="29" s="1"/>
  <c r="X80" i="27"/>
  <c r="X80" i="29" s="1"/>
  <c r="P80" i="27"/>
  <c r="P80" i="29" s="1"/>
  <c r="O80" i="27"/>
  <c r="O80" i="29" s="1"/>
  <c r="M80" i="27"/>
  <c r="M80" i="29" s="1"/>
  <c r="L80" i="27"/>
  <c r="L80" i="29" s="1"/>
  <c r="J80" i="27"/>
  <c r="J80" i="29" s="1"/>
  <c r="Z256" i="26"/>
  <c r="AA255" i="26"/>
  <c r="AC255" i="26" s="1"/>
  <c r="AA612" i="26"/>
  <c r="AC612" i="26" s="1"/>
  <c r="BV29" i="27"/>
  <c r="BV29" i="29" s="1"/>
  <c r="BE77" i="27"/>
  <c r="BE77" i="29" s="1"/>
  <c r="BD77" i="27"/>
  <c r="BD77" i="29" s="1"/>
  <c r="BC77" i="27"/>
  <c r="BC77" i="29" s="1"/>
  <c r="BR77" i="27"/>
  <c r="BR77" i="29" s="1"/>
  <c r="BB77" i="27"/>
  <c r="BB77" i="29" s="1"/>
  <c r="BQ77" i="27"/>
  <c r="BQ77" i="29" s="1"/>
  <c r="BA77" i="27"/>
  <c r="BA77" i="29" s="1"/>
  <c r="BP77" i="27"/>
  <c r="BP77" i="29" s="1"/>
  <c r="AZ77" i="27"/>
  <c r="AZ77" i="29" s="1"/>
  <c r="BL77" i="27"/>
  <c r="BL77" i="29" s="1"/>
  <c r="BO77" i="27"/>
  <c r="BO77" i="29" s="1"/>
  <c r="BN77" i="27"/>
  <c r="BN77" i="29" s="1"/>
  <c r="BM77" i="27"/>
  <c r="BM77" i="29" s="1"/>
  <c r="BK77" i="27"/>
  <c r="BK77" i="29" s="1"/>
  <c r="BJ77" i="27"/>
  <c r="BJ77" i="29" s="1"/>
  <c r="BH77" i="27"/>
  <c r="BH77" i="29" s="1"/>
  <c r="BI77" i="27"/>
  <c r="BI77" i="29" s="1"/>
  <c r="BG77" i="27"/>
  <c r="BG77" i="29" s="1"/>
  <c r="BF77" i="27"/>
  <c r="BF77" i="29" s="1"/>
  <c r="AY77" i="27"/>
  <c r="AY77" i="29" s="1"/>
  <c r="AX77" i="27"/>
  <c r="AX77" i="29" s="1"/>
  <c r="Z203" i="26"/>
  <c r="AA202" i="26"/>
  <c r="AC202" i="26" s="1"/>
  <c r="DW35" i="27"/>
  <c r="DW35" i="29" s="1"/>
  <c r="DZ35" i="27"/>
  <c r="DZ35" i="29" s="1"/>
  <c r="DY35" i="27"/>
  <c r="DY35" i="29" s="1"/>
  <c r="DX35" i="27"/>
  <c r="DX35" i="29" s="1"/>
  <c r="DV35" i="27"/>
  <c r="DV35" i="29" s="1"/>
  <c r="DU35" i="27"/>
  <c r="DU35" i="29" s="1"/>
  <c r="DT35" i="27"/>
  <c r="DT35" i="29" s="1"/>
  <c r="DS35" i="27"/>
  <c r="DS35" i="29" s="1"/>
  <c r="DP35" i="27"/>
  <c r="DP35" i="29" s="1"/>
  <c r="DK35" i="27"/>
  <c r="DK35" i="29" s="1"/>
  <c r="EA35" i="27"/>
  <c r="EA35" i="29" s="1"/>
  <c r="DR35" i="27"/>
  <c r="DR35" i="29" s="1"/>
  <c r="DQ35" i="27"/>
  <c r="DQ35" i="29" s="1"/>
  <c r="DO35" i="27"/>
  <c r="DO35" i="29" s="1"/>
  <c r="DN35" i="27"/>
  <c r="DN35" i="29" s="1"/>
  <c r="DM35" i="27"/>
  <c r="DM35" i="29" s="1"/>
  <c r="DJ35" i="27"/>
  <c r="DJ35" i="29" s="1"/>
  <c r="Z61" i="26"/>
  <c r="AA60" i="26"/>
  <c r="AC60" i="26" s="1"/>
  <c r="DL35" i="27"/>
  <c r="DL35" i="29" s="1"/>
  <c r="DQ58" i="27"/>
  <c r="DQ58" i="29" s="1"/>
  <c r="DA58" i="27"/>
  <c r="DA58" i="29" s="1"/>
  <c r="DJ58" i="27"/>
  <c r="DJ58" i="29" s="1"/>
  <c r="DI58" i="27"/>
  <c r="DI58" i="29" s="1"/>
  <c r="DH58" i="27"/>
  <c r="DH58" i="29" s="1"/>
  <c r="DG58" i="27"/>
  <c r="DG58" i="29" s="1"/>
  <c r="DF58" i="27"/>
  <c r="DF58" i="29" s="1"/>
  <c r="DE58" i="27"/>
  <c r="DE58" i="29" s="1"/>
  <c r="DD58" i="27"/>
  <c r="DD58" i="29" s="1"/>
  <c r="DC58" i="27"/>
  <c r="DC58" i="29" s="1"/>
  <c r="DS58" i="27"/>
  <c r="DS58" i="29" s="1"/>
  <c r="DB58" i="27"/>
  <c r="DB58" i="29" s="1"/>
  <c r="DR58" i="27"/>
  <c r="DR58" i="29" s="1"/>
  <c r="CZ58" i="27"/>
  <c r="CZ58" i="29" s="1"/>
  <c r="DP58" i="27"/>
  <c r="DP58" i="29" s="1"/>
  <c r="DO58" i="27"/>
  <c r="DO58" i="29" s="1"/>
  <c r="DN58" i="27"/>
  <c r="DN58" i="29" s="1"/>
  <c r="DM58" i="27"/>
  <c r="DM58" i="29" s="1"/>
  <c r="DL58" i="27"/>
  <c r="DL58" i="29" s="1"/>
  <c r="CY58" i="27"/>
  <c r="CY58" i="29" s="1"/>
  <c r="Z131" i="26"/>
  <c r="Z549" i="26" s="1"/>
  <c r="AA130" i="26"/>
  <c r="AC130" i="26" s="1"/>
  <c r="DK58" i="27"/>
  <c r="DK58" i="29" s="1"/>
  <c r="DD37" i="27"/>
  <c r="DD37" i="29" s="1"/>
  <c r="DA37" i="27"/>
  <c r="DA37" i="29" s="1"/>
  <c r="CZ37" i="27"/>
  <c r="CZ37" i="29" s="1"/>
  <c r="CY37" i="27"/>
  <c r="CY37" i="29" s="1"/>
  <c r="CX37" i="27"/>
  <c r="CX37" i="29" s="1"/>
  <c r="CW37" i="27"/>
  <c r="CW37" i="29" s="1"/>
  <c r="CV37" i="27"/>
  <c r="CV37" i="29" s="1"/>
  <c r="CU37" i="27"/>
  <c r="CU37" i="29" s="1"/>
  <c r="CR37" i="27"/>
  <c r="CR37" i="29" s="1"/>
  <c r="DC37" i="27"/>
  <c r="DC37" i="29" s="1"/>
  <c r="DB37" i="27"/>
  <c r="DB37" i="29" s="1"/>
  <c r="DF37" i="27"/>
  <c r="DF37" i="29" s="1"/>
  <c r="DE37" i="27"/>
  <c r="DE37" i="29" s="1"/>
  <c r="CT37" i="27"/>
  <c r="CT37" i="29" s="1"/>
  <c r="CS37" i="27"/>
  <c r="CS37" i="29" s="1"/>
  <c r="CQ37" i="27"/>
  <c r="CQ37" i="29" s="1"/>
  <c r="Z79" i="26"/>
  <c r="DH37" i="27"/>
  <c r="DH37" i="29" s="1"/>
  <c r="DG37" i="27"/>
  <c r="DG37" i="29" s="1"/>
  <c r="AA78" i="26"/>
  <c r="AC78" i="26" s="1"/>
  <c r="T49" i="27"/>
  <c r="T49" i="29" s="1"/>
  <c r="R49" i="27"/>
  <c r="R49" i="29" s="1"/>
  <c r="K49" i="27"/>
  <c r="K49" i="29" s="1"/>
  <c r="X49" i="27"/>
  <c r="X49" i="29" s="1"/>
  <c r="V49" i="27"/>
  <c r="V49" i="29" s="1"/>
  <c r="U49" i="27"/>
  <c r="U49" i="29" s="1"/>
  <c r="S49" i="27"/>
  <c r="S49" i="29" s="1"/>
  <c r="Q49" i="27"/>
  <c r="Q49" i="29" s="1"/>
  <c r="P49" i="27"/>
  <c r="P49" i="29" s="1"/>
  <c r="O49" i="27"/>
  <c r="O49" i="29" s="1"/>
  <c r="N49" i="27"/>
  <c r="N49" i="29" s="1"/>
  <c r="M49" i="27"/>
  <c r="M49" i="29" s="1"/>
  <c r="L49" i="27"/>
  <c r="L49" i="29" s="1"/>
  <c r="J49" i="27"/>
  <c r="J49" i="29" s="1"/>
  <c r="I49" i="27"/>
  <c r="I49" i="29" s="1"/>
  <c r="H49" i="27"/>
  <c r="H49" i="29" s="1"/>
  <c r="G49" i="27"/>
  <c r="G49" i="29" s="1"/>
  <c r="F49" i="27"/>
  <c r="F49" i="29" s="1"/>
  <c r="Y49" i="27"/>
  <c r="Y49" i="29" s="1"/>
  <c r="W49" i="27"/>
  <c r="W49" i="29" s="1"/>
  <c r="Z225" i="26"/>
  <c r="AA226" i="26"/>
  <c r="AC226" i="26" s="1"/>
  <c r="DU57" i="27"/>
  <c r="DU57" i="29" s="1"/>
  <c r="DT57" i="27"/>
  <c r="DT57" i="29" s="1"/>
  <c r="AA547" i="26"/>
  <c r="AC547" i="26" s="1"/>
  <c r="EG27" i="27"/>
  <c r="EG27" i="29" s="1"/>
  <c r="EF27" i="27"/>
  <c r="EF27" i="29" s="1"/>
  <c r="EU27" i="27"/>
  <c r="EU27" i="29" s="1"/>
  <c r="EE27" i="27"/>
  <c r="EE27" i="29" s="1"/>
  <c r="ET27" i="27"/>
  <c r="ET27" i="29" s="1"/>
  <c r="ED27" i="27"/>
  <c r="ED27" i="29" s="1"/>
  <c r="ES27" i="27"/>
  <c r="ES27" i="29" s="1"/>
  <c r="EC27" i="27"/>
  <c r="EC27" i="29" s="1"/>
  <c r="ER27" i="27"/>
  <c r="ER27" i="29" s="1"/>
  <c r="EQ27" i="27"/>
  <c r="EQ27" i="29" s="1"/>
  <c r="EN27" i="27"/>
  <c r="EN27" i="29" s="1"/>
  <c r="EI27" i="27"/>
  <c r="EI27" i="29" s="1"/>
  <c r="EP27" i="27"/>
  <c r="EP27" i="29" s="1"/>
  <c r="EO27" i="27"/>
  <c r="EO27" i="29" s="1"/>
  <c r="EM27" i="27"/>
  <c r="EM27" i="29" s="1"/>
  <c r="Z789" i="26"/>
  <c r="EL27" i="27"/>
  <c r="EL27" i="29" s="1"/>
  <c r="EK27" i="27"/>
  <c r="EK27" i="29" s="1"/>
  <c r="EJ27" i="27"/>
  <c r="EJ27" i="29" s="1"/>
  <c r="EH27" i="27"/>
  <c r="EH27" i="29" s="1"/>
  <c r="Z18" i="26"/>
  <c r="AA19" i="26"/>
  <c r="AC19" i="26" s="1"/>
  <c r="N70" i="27"/>
  <c r="N70" i="29" s="1"/>
  <c r="M70" i="27"/>
  <c r="M70" i="29" s="1"/>
  <c r="L70" i="27"/>
  <c r="L70" i="29" s="1"/>
  <c r="K70" i="27"/>
  <c r="K70" i="29" s="1"/>
  <c r="J70" i="27"/>
  <c r="J70" i="29" s="1"/>
  <c r="Y70" i="27"/>
  <c r="Y70" i="29" s="1"/>
  <c r="I70" i="27"/>
  <c r="I70" i="29" s="1"/>
  <c r="X70" i="27"/>
  <c r="X70" i="29" s="1"/>
  <c r="H70" i="27"/>
  <c r="H70" i="29" s="1"/>
  <c r="W70" i="27"/>
  <c r="W70" i="29" s="1"/>
  <c r="P70" i="27"/>
  <c r="P70" i="29" s="1"/>
  <c r="V70" i="27"/>
  <c r="V70" i="29" s="1"/>
  <c r="U70" i="27"/>
  <c r="U70" i="29" s="1"/>
  <c r="T70" i="27"/>
  <c r="T70" i="29" s="1"/>
  <c r="S70" i="27"/>
  <c r="S70" i="29" s="1"/>
  <c r="R70" i="27"/>
  <c r="R70" i="29" s="1"/>
  <c r="Q70" i="27"/>
  <c r="Q70" i="29" s="1"/>
  <c r="O70" i="27"/>
  <c r="O70" i="29" s="1"/>
  <c r="AA245" i="26"/>
  <c r="AC245" i="26" s="1"/>
  <c r="Z244" i="26"/>
  <c r="CT50" i="27"/>
  <c r="CT50" i="29" s="1"/>
  <c r="CD50" i="27"/>
  <c r="CD50" i="29" s="1"/>
  <c r="CS50" i="27"/>
  <c r="CS50" i="29" s="1"/>
  <c r="CC50" i="27"/>
  <c r="CC50" i="29" s="1"/>
  <c r="CR50" i="27"/>
  <c r="CR50" i="29" s="1"/>
  <c r="CM50" i="27"/>
  <c r="CM50" i="29" s="1"/>
  <c r="CK50" i="27"/>
  <c r="CK50" i="29" s="1"/>
  <c r="CW50" i="27"/>
  <c r="CW50" i="29" s="1"/>
  <c r="CV50" i="27"/>
  <c r="CV50" i="29" s="1"/>
  <c r="CU50" i="27"/>
  <c r="CU50" i="29" s="1"/>
  <c r="CQ50" i="27"/>
  <c r="CQ50" i="29" s="1"/>
  <c r="CP50" i="27"/>
  <c r="CP50" i="29" s="1"/>
  <c r="CO50" i="27"/>
  <c r="CO50" i="29" s="1"/>
  <c r="CN50" i="27"/>
  <c r="CN50" i="29" s="1"/>
  <c r="CL50" i="27"/>
  <c r="CL50" i="29" s="1"/>
  <c r="CJ50" i="27"/>
  <c r="CJ50" i="29" s="1"/>
  <c r="CI50" i="27"/>
  <c r="CI50" i="29" s="1"/>
  <c r="CH50" i="27"/>
  <c r="CH50" i="29" s="1"/>
  <c r="CG50" i="27"/>
  <c r="CG50" i="29" s="1"/>
  <c r="CF50" i="27"/>
  <c r="CF50" i="29" s="1"/>
  <c r="CE50" i="27"/>
  <c r="CE50" i="29" s="1"/>
  <c r="Z142" i="26"/>
  <c r="AA143" i="26"/>
  <c r="AC143" i="26" s="1"/>
  <c r="AJ64" i="27"/>
  <c r="AJ64" i="29" s="1"/>
  <c r="AI64" i="27"/>
  <c r="AI64" i="29" s="1"/>
  <c r="AH64" i="27"/>
  <c r="AH64" i="29" s="1"/>
  <c r="AD64" i="27"/>
  <c r="AD64" i="29" s="1"/>
  <c r="AC64" i="27"/>
  <c r="AC64" i="29" s="1"/>
  <c r="AU64" i="27"/>
  <c r="AU64" i="29" s="1"/>
  <c r="AB64" i="27"/>
  <c r="AB64" i="29" s="1"/>
  <c r="AT64" i="27"/>
  <c r="AT64" i="29" s="1"/>
  <c r="AA64" i="27"/>
  <c r="AA64" i="29" s="1"/>
  <c r="AS64" i="27"/>
  <c r="AS64" i="29" s="1"/>
  <c r="AR64" i="27"/>
  <c r="AR64" i="29" s="1"/>
  <c r="AQ64" i="27"/>
  <c r="AQ64" i="29" s="1"/>
  <c r="AP64" i="27"/>
  <c r="AP64" i="29" s="1"/>
  <c r="AO64" i="27"/>
  <c r="AO64" i="29" s="1"/>
  <c r="AN64" i="27"/>
  <c r="AN64" i="29" s="1"/>
  <c r="AL64" i="27"/>
  <c r="AL64" i="29" s="1"/>
  <c r="AK64" i="27"/>
  <c r="AK64" i="29" s="1"/>
  <c r="AG64" i="27"/>
  <c r="AG64" i="29" s="1"/>
  <c r="AF64" i="27"/>
  <c r="AF64" i="29" s="1"/>
  <c r="AE64" i="27"/>
  <c r="AE64" i="29" s="1"/>
  <c r="AM64" i="27"/>
  <c r="AM64" i="29" s="1"/>
  <c r="Z206" i="26"/>
  <c r="AA207" i="26"/>
  <c r="AC207" i="26" s="1"/>
  <c r="BL30" i="27"/>
  <c r="BL30" i="29" s="1"/>
  <c r="BK30" i="27"/>
  <c r="BK30" i="29" s="1"/>
  <c r="BJ30" i="27"/>
  <c r="BJ30" i="29" s="1"/>
  <c r="BI30" i="27"/>
  <c r="BI30" i="29" s="1"/>
  <c r="BH30" i="27"/>
  <c r="BH30" i="29" s="1"/>
  <c r="BG30" i="27"/>
  <c r="BG30" i="29" s="1"/>
  <c r="BF30" i="27"/>
  <c r="BF30" i="29" s="1"/>
  <c r="BS30" i="27"/>
  <c r="BS30" i="29" s="1"/>
  <c r="BC30" i="27"/>
  <c r="BC30" i="29" s="1"/>
  <c r="BN30" i="27"/>
  <c r="BN30" i="29" s="1"/>
  <c r="BU30" i="27"/>
  <c r="BU30" i="29" s="1"/>
  <c r="BT30" i="27"/>
  <c r="BT30" i="29" s="1"/>
  <c r="BR30" i="27"/>
  <c r="BR30" i="29" s="1"/>
  <c r="BQ30" i="27"/>
  <c r="BQ30" i="29" s="1"/>
  <c r="BP30" i="27"/>
  <c r="BP30" i="29" s="1"/>
  <c r="Z103" i="26"/>
  <c r="BB30" i="27"/>
  <c r="BB30" i="29" s="1"/>
  <c r="BO30" i="27"/>
  <c r="BO30" i="29" s="1"/>
  <c r="BM30" i="27"/>
  <c r="BM30" i="29" s="1"/>
  <c r="BE30" i="27"/>
  <c r="BE30" i="29" s="1"/>
  <c r="BD30" i="27"/>
  <c r="BD30" i="29" s="1"/>
  <c r="AA104" i="26"/>
  <c r="AC104" i="26" s="1"/>
  <c r="X57" i="27"/>
  <c r="X57" i="29" s="1"/>
  <c r="H57" i="27"/>
  <c r="H57" i="29" s="1"/>
  <c r="U57" i="27"/>
  <c r="U57" i="29" s="1"/>
  <c r="T57" i="27"/>
  <c r="T57" i="29" s="1"/>
  <c r="S57" i="27"/>
  <c r="S57" i="29" s="1"/>
  <c r="Q57" i="27"/>
  <c r="Q57" i="29" s="1"/>
  <c r="P57" i="27"/>
  <c r="P57" i="29" s="1"/>
  <c r="N57" i="27"/>
  <c r="N57" i="29" s="1"/>
  <c r="M57" i="27"/>
  <c r="M57" i="29" s="1"/>
  <c r="L57" i="27"/>
  <c r="L57" i="29" s="1"/>
  <c r="Y57" i="27"/>
  <c r="Y57" i="29" s="1"/>
  <c r="V57" i="27"/>
  <c r="V57" i="29" s="1"/>
  <c r="R57" i="27"/>
  <c r="R57" i="29" s="1"/>
  <c r="O57" i="27"/>
  <c r="O57" i="29" s="1"/>
  <c r="K57" i="27"/>
  <c r="K57" i="29" s="1"/>
  <c r="J57" i="27"/>
  <c r="J57" i="29" s="1"/>
  <c r="I57" i="27"/>
  <c r="I57" i="29" s="1"/>
  <c r="G57" i="27"/>
  <c r="G57" i="29" s="1"/>
  <c r="F57" i="27"/>
  <c r="F57" i="29" s="1"/>
  <c r="W57" i="27"/>
  <c r="W57" i="29" s="1"/>
  <c r="AA234" i="26"/>
  <c r="AC234" i="26" s="1"/>
  <c r="Z235" i="26"/>
  <c r="BJ39" i="27"/>
  <c r="BJ39" i="29" s="1"/>
  <c r="BI39" i="27"/>
  <c r="BI39" i="29" s="1"/>
  <c r="BQ39" i="27"/>
  <c r="BQ39" i="29" s="1"/>
  <c r="BP39" i="27"/>
  <c r="BP39" i="29" s="1"/>
  <c r="BO39" i="27"/>
  <c r="BO39" i="29" s="1"/>
  <c r="BN39" i="27"/>
  <c r="BN39" i="29" s="1"/>
  <c r="BM39" i="27"/>
  <c r="BM39" i="29" s="1"/>
  <c r="BL39" i="27"/>
  <c r="BL39" i="29" s="1"/>
  <c r="BK39" i="27"/>
  <c r="BK39" i="29" s="1"/>
  <c r="BF39" i="27"/>
  <c r="BF39" i="29" s="1"/>
  <c r="BS39" i="27"/>
  <c r="BS39" i="29" s="1"/>
  <c r="BR39" i="27"/>
  <c r="BR39" i="29" s="1"/>
  <c r="BC39" i="27"/>
  <c r="BC39" i="29" s="1"/>
  <c r="BB39" i="27"/>
  <c r="BB39" i="29" s="1"/>
  <c r="BU39" i="27"/>
  <c r="BU39" i="29" s="1"/>
  <c r="BT39" i="27"/>
  <c r="BT39" i="29" s="1"/>
  <c r="BH39" i="27"/>
  <c r="BH39" i="29" s="1"/>
  <c r="BG39" i="27"/>
  <c r="BG39" i="29" s="1"/>
  <c r="BE39" i="27"/>
  <c r="BE39" i="29" s="1"/>
  <c r="BD39" i="27"/>
  <c r="BD39" i="29" s="1"/>
  <c r="AA113" i="26"/>
  <c r="AC113" i="26" s="1"/>
  <c r="Z114" i="26"/>
  <c r="AB57" i="27"/>
  <c r="AB57" i="29" s="1"/>
  <c r="AA57" i="27"/>
  <c r="AA57" i="29" s="1"/>
  <c r="Z57" i="27"/>
  <c r="Z57" i="29" s="1"/>
  <c r="AA369" i="26"/>
  <c r="AC369" i="26" s="1"/>
  <c r="Z370" i="26"/>
  <c r="CL37" i="27"/>
  <c r="CL37" i="29" s="1"/>
  <c r="CH37" i="27"/>
  <c r="CH37" i="29" s="1"/>
  <c r="CG37" i="27"/>
  <c r="CG37" i="29" s="1"/>
  <c r="CF37" i="27"/>
  <c r="CF37" i="29" s="1"/>
  <c r="CE37" i="27"/>
  <c r="CE37" i="29" s="1"/>
  <c r="CD37" i="27"/>
  <c r="CD37" i="29" s="1"/>
  <c r="CC37" i="27"/>
  <c r="CC37" i="29" s="1"/>
  <c r="CB37" i="27"/>
  <c r="CB37" i="29" s="1"/>
  <c r="BY37" i="27"/>
  <c r="BY37" i="29" s="1"/>
  <c r="CJ37" i="27"/>
  <c r="CJ37" i="29" s="1"/>
  <c r="CI37" i="27"/>
  <c r="CI37" i="29" s="1"/>
  <c r="CN37" i="27"/>
  <c r="CN37" i="29" s="1"/>
  <c r="CM37" i="27"/>
  <c r="CM37" i="29" s="1"/>
  <c r="CK37" i="27"/>
  <c r="CK37" i="29" s="1"/>
  <c r="CA37" i="27"/>
  <c r="CA37" i="29" s="1"/>
  <c r="BW37" i="27"/>
  <c r="BW37" i="29" s="1"/>
  <c r="AA96" i="26"/>
  <c r="AC96" i="26" s="1"/>
  <c r="BZ37" i="27"/>
  <c r="BZ37" i="29" s="1"/>
  <c r="BX37" i="27"/>
  <c r="BX37" i="29" s="1"/>
  <c r="Z97" i="26"/>
  <c r="Z603" i="26" s="1"/>
  <c r="D49" i="27"/>
  <c r="D49" i="29" s="1"/>
  <c r="E49" i="27"/>
  <c r="E49" i="29" s="1"/>
  <c r="C49" i="27"/>
  <c r="C49" i="29" s="1"/>
  <c r="Z281" i="26"/>
  <c r="AA282" i="26"/>
  <c r="AC282" i="26" s="1"/>
  <c r="DW48" i="27"/>
  <c r="DW48" i="29" s="1"/>
  <c r="EK48" i="27"/>
  <c r="EK48" i="29" s="1"/>
  <c r="ED48" i="27"/>
  <c r="ED48" i="29" s="1"/>
  <c r="EJ48" i="27"/>
  <c r="EJ48" i="29" s="1"/>
  <c r="EI48" i="27"/>
  <c r="EI48" i="29" s="1"/>
  <c r="EH48" i="27"/>
  <c r="EH48" i="29" s="1"/>
  <c r="EG48" i="27"/>
  <c r="EG48" i="29" s="1"/>
  <c r="EF48" i="27"/>
  <c r="EF48" i="29" s="1"/>
  <c r="EE48" i="27"/>
  <c r="EE48" i="29" s="1"/>
  <c r="EC48" i="27"/>
  <c r="EC48" i="29" s="1"/>
  <c r="EA48" i="27"/>
  <c r="EA48" i="29" s="1"/>
  <c r="DZ48" i="27"/>
  <c r="DZ48" i="29" s="1"/>
  <c r="DY48" i="27"/>
  <c r="DY48" i="29" s="1"/>
  <c r="DX48" i="27"/>
  <c r="DX48" i="29" s="1"/>
  <c r="DV48" i="27"/>
  <c r="DV48" i="29" s="1"/>
  <c r="EB48" i="27"/>
  <c r="EB48" i="29" s="1"/>
  <c r="Z39" i="26"/>
  <c r="AA38" i="26"/>
  <c r="AC38" i="26" s="1"/>
  <c r="D57" i="27"/>
  <c r="D57" i="29" s="1"/>
  <c r="Z291" i="26"/>
  <c r="E57" i="27"/>
  <c r="E57" i="29" s="1"/>
  <c r="AA290" i="26"/>
  <c r="AC290" i="26" s="1"/>
  <c r="AA352" i="26"/>
  <c r="AC352" i="26" s="1"/>
  <c r="Z353" i="26"/>
  <c r="Z74" i="27" s="1"/>
  <c r="Z74" i="29" s="1"/>
  <c r="AA774" i="26"/>
  <c r="AC774" i="26" s="1"/>
  <c r="EW35" i="27"/>
  <c r="EW35" i="29" s="1"/>
  <c r="EV35" i="27"/>
  <c r="EV35" i="29" s="1"/>
  <c r="BG69" i="27"/>
  <c r="BG69" i="29" s="1"/>
  <c r="BF69" i="27"/>
  <c r="BF69" i="29" s="1"/>
  <c r="BE69" i="27"/>
  <c r="BE69" i="29" s="1"/>
  <c r="BD69" i="27"/>
  <c r="BD69" i="29" s="1"/>
  <c r="BC69" i="27"/>
  <c r="BC69" i="29" s="1"/>
  <c r="BR69" i="27"/>
  <c r="BR69" i="29" s="1"/>
  <c r="BB69" i="27"/>
  <c r="BB69" i="29" s="1"/>
  <c r="BQ69" i="27"/>
  <c r="BQ69" i="29" s="1"/>
  <c r="BA69" i="27"/>
  <c r="BA69" i="29" s="1"/>
  <c r="BP69" i="27"/>
  <c r="BP69" i="29" s="1"/>
  <c r="AZ69" i="27"/>
  <c r="AZ69" i="29" s="1"/>
  <c r="BI69" i="27"/>
  <c r="BI69" i="29" s="1"/>
  <c r="BO69" i="27"/>
  <c r="BO69" i="29" s="1"/>
  <c r="BN69" i="27"/>
  <c r="BN69" i="29" s="1"/>
  <c r="BM69" i="27"/>
  <c r="BM69" i="29" s="1"/>
  <c r="BL69" i="27"/>
  <c r="BL69" i="29" s="1"/>
  <c r="BK69" i="27"/>
  <c r="BK69" i="29" s="1"/>
  <c r="BJ69" i="27"/>
  <c r="BJ69" i="29" s="1"/>
  <c r="BH69" i="27"/>
  <c r="BH69" i="29" s="1"/>
  <c r="AY69" i="27"/>
  <c r="AY69" i="29" s="1"/>
  <c r="AX69" i="27"/>
  <c r="AX69" i="29" s="1"/>
  <c r="Z193" i="26"/>
  <c r="AA194" i="26"/>
  <c r="AC194" i="26" s="1"/>
  <c r="CV29" i="27"/>
  <c r="CV29" i="29" s="1"/>
  <c r="CU29" i="27"/>
  <c r="CU29" i="29" s="1"/>
  <c r="CT29" i="27"/>
  <c r="CT29" i="29" s="1"/>
  <c r="CS29" i="27"/>
  <c r="CS29" i="29" s="1"/>
  <c r="DH29" i="27"/>
  <c r="DH29" i="29" s="1"/>
  <c r="CR29" i="27"/>
  <c r="CR29" i="29" s="1"/>
  <c r="DG29" i="27"/>
  <c r="DG29" i="29" s="1"/>
  <c r="CQ29" i="27"/>
  <c r="CQ29" i="29" s="1"/>
  <c r="DF29" i="27"/>
  <c r="DF29" i="29" s="1"/>
  <c r="DC29" i="27"/>
  <c r="DC29" i="29" s="1"/>
  <c r="CX29" i="27"/>
  <c r="CX29" i="29" s="1"/>
  <c r="DE29" i="27"/>
  <c r="DE29" i="29" s="1"/>
  <c r="DD29" i="27"/>
  <c r="DD29" i="29" s="1"/>
  <c r="DB29" i="27"/>
  <c r="DB29" i="29" s="1"/>
  <c r="DA29" i="27"/>
  <c r="DA29" i="29" s="1"/>
  <c r="CZ29" i="27"/>
  <c r="CZ29" i="29" s="1"/>
  <c r="CY29" i="27"/>
  <c r="CY29" i="29" s="1"/>
  <c r="CW29" i="27"/>
  <c r="CW29" i="29" s="1"/>
  <c r="Z69" i="26"/>
  <c r="AA70" i="26"/>
  <c r="AC70" i="26" s="1"/>
  <c r="DP27" i="27"/>
  <c r="DP27" i="29" s="1"/>
  <c r="DO27" i="27"/>
  <c r="DO27" i="29" s="1"/>
  <c r="DN27" i="27"/>
  <c r="DN27" i="29" s="1"/>
  <c r="DM27" i="27"/>
  <c r="DM27" i="29" s="1"/>
  <c r="DL27" i="27"/>
  <c r="DL27" i="29" s="1"/>
  <c r="EA27" i="27"/>
  <c r="EA27" i="29" s="1"/>
  <c r="DK27" i="27"/>
  <c r="DK27" i="29" s="1"/>
  <c r="DZ27" i="27"/>
  <c r="DZ27" i="29" s="1"/>
  <c r="DJ27" i="27"/>
  <c r="DJ27" i="29" s="1"/>
  <c r="DW27" i="27"/>
  <c r="DW27" i="29" s="1"/>
  <c r="DR27" i="27"/>
  <c r="DR27" i="29" s="1"/>
  <c r="DU27" i="27"/>
  <c r="DU27" i="29" s="1"/>
  <c r="DT27" i="27"/>
  <c r="DT27" i="29" s="1"/>
  <c r="DS27" i="27"/>
  <c r="DS27" i="29" s="1"/>
  <c r="DQ27" i="27"/>
  <c r="DQ27" i="29" s="1"/>
  <c r="DX27" i="27"/>
  <c r="DX27" i="29" s="1"/>
  <c r="Z51" i="26"/>
  <c r="DY27" i="27"/>
  <c r="DY27" i="29" s="1"/>
  <c r="DV27" i="27"/>
  <c r="DV27" i="29" s="1"/>
  <c r="AA52" i="26"/>
  <c r="AC52" i="26" s="1"/>
  <c r="BE54" i="29"/>
  <c r="BD54" i="29"/>
  <c r="AA561" i="26"/>
  <c r="AC561" i="26" s="1"/>
  <c r="BV36" i="27"/>
  <c r="BV36" i="29" s="1"/>
  <c r="AA601" i="26"/>
  <c r="AC601" i="26" s="1"/>
  <c r="EV28" i="27"/>
  <c r="EV28" i="29" s="1"/>
  <c r="EX28" i="27"/>
  <c r="EX28" i="29" s="1"/>
  <c r="AA790" i="26"/>
  <c r="AC790" i="26" s="1"/>
  <c r="EW28" i="27"/>
  <c r="EW28" i="29" s="1"/>
  <c r="M54" i="30" l="1"/>
  <c r="AE37" i="30"/>
  <c r="AF37" i="30" s="1"/>
  <c r="Z396" i="26"/>
  <c r="AW67" i="27"/>
  <c r="AW67" i="29" s="1"/>
  <c r="BX28" i="27"/>
  <c r="BY28" i="27"/>
  <c r="BZ28" i="27"/>
  <c r="CA28" i="27"/>
  <c r="CB28" i="27"/>
  <c r="CC28" i="27"/>
  <c r="CD28" i="27"/>
  <c r="CE28" i="27"/>
  <c r="BW28" i="27"/>
  <c r="BW28" i="29" s="1"/>
  <c r="AE22" i="30"/>
  <c r="AF22" i="30" s="1"/>
  <c r="AI22" i="30" s="1"/>
  <c r="R90" i="30"/>
  <c r="N74" i="30"/>
  <c r="S91" i="30" s="1"/>
  <c r="R88" i="30"/>
  <c r="K23" i="41"/>
  <c r="L22" i="41"/>
  <c r="AL38" i="30"/>
  <c r="AN38" i="30" s="1"/>
  <c r="N54" i="30"/>
  <c r="S90" i="30"/>
  <c r="AN28" i="30"/>
  <c r="AL40" i="30"/>
  <c r="AI40" i="30"/>
  <c r="AL39" i="30"/>
  <c r="AI39" i="30"/>
  <c r="AN44" i="30"/>
  <c r="AN30" i="30"/>
  <c r="AI43" i="30"/>
  <c r="AL43" i="30"/>
  <c r="AI35" i="30"/>
  <c r="AL35" i="30"/>
  <c r="J113" i="30" s="1"/>
  <c r="M113" i="30" s="1"/>
  <c r="AI26" i="30"/>
  <c r="AL26" i="30"/>
  <c r="J104" i="30" s="1"/>
  <c r="M104" i="30" s="1"/>
  <c r="AI27" i="30"/>
  <c r="AL27" i="30"/>
  <c r="J105" i="30" s="1"/>
  <c r="M105" i="30" s="1"/>
  <c r="S89" i="30"/>
  <c r="AI45" i="30"/>
  <c r="AL45" i="30"/>
  <c r="AI21" i="30"/>
  <c r="AL21" i="30"/>
  <c r="AL25" i="30"/>
  <c r="J103" i="30" s="1"/>
  <c r="M103" i="30" s="1"/>
  <c r="AI25" i="30"/>
  <c r="AL41" i="30"/>
  <c r="AI41" i="30"/>
  <c r="AI31" i="30"/>
  <c r="AL31" i="30"/>
  <c r="J109" i="30" s="1"/>
  <c r="M109" i="30" s="1"/>
  <c r="AL24" i="30"/>
  <c r="J102" i="30" s="1"/>
  <c r="M102" i="30" s="1"/>
  <c r="AI24" i="30"/>
  <c r="AN36" i="30"/>
  <c r="AI46" i="30"/>
  <c r="AL46" i="30"/>
  <c r="AN34" i="30"/>
  <c r="AI37" i="30"/>
  <c r="AL37" i="30"/>
  <c r="AI29" i="30"/>
  <c r="AL29" i="30"/>
  <c r="J107" i="30" s="1"/>
  <c r="M107" i="30" s="1"/>
  <c r="AI32" i="30"/>
  <c r="AL32" i="30"/>
  <c r="J110" i="30" s="1"/>
  <c r="M110" i="30" s="1"/>
  <c r="AI33" i="30"/>
  <c r="AL33" i="30"/>
  <c r="J111" i="30" s="1"/>
  <c r="M111" i="30" s="1"/>
  <c r="AN42" i="30"/>
  <c r="N244" i="25"/>
  <c r="V244" i="25"/>
  <c r="X244" i="25" s="1"/>
  <c r="X205" i="25"/>
  <c r="AA187" i="25"/>
  <c r="AE187" i="25" s="1"/>
  <c r="Y187" i="25"/>
  <c r="X187" i="25"/>
  <c r="Y205" i="25"/>
  <c r="Z217" i="25"/>
  <c r="X217" i="25"/>
  <c r="Y217" i="25"/>
  <c r="AA228" i="25"/>
  <c r="AE228" i="25" s="1"/>
  <c r="Z230" i="25"/>
  <c r="X197" i="25"/>
  <c r="Y197" i="25"/>
  <c r="AA197" i="25"/>
  <c r="AE197" i="25" s="1"/>
  <c r="AA230" i="25"/>
  <c r="AE230" i="25" s="1"/>
  <c r="Y228" i="25"/>
  <c r="Y230" i="25"/>
  <c r="X243" i="25"/>
  <c r="Y243" i="25"/>
  <c r="U231" i="25"/>
  <c r="Z243" i="25"/>
  <c r="U198" i="25"/>
  <c r="U218" i="25"/>
  <c r="U188" i="25"/>
  <c r="X228" i="25"/>
  <c r="AA205" i="25"/>
  <c r="AE205" i="25" s="1"/>
  <c r="V179" i="25"/>
  <c r="AA179" i="25" s="1"/>
  <c r="AE179" i="25" s="1"/>
  <c r="R179" i="25"/>
  <c r="AZ47" i="27"/>
  <c r="BA47" i="27"/>
  <c r="BB47" i="27"/>
  <c r="BC47" i="27"/>
  <c r="BD47" i="27"/>
  <c r="BE47" i="27"/>
  <c r="BD55" i="27"/>
  <c r="BE55" i="27"/>
  <c r="Z511" i="26"/>
  <c r="DX69" i="27"/>
  <c r="DX69" i="29" s="1"/>
  <c r="DY69" i="27"/>
  <c r="DY69" i="29" s="1"/>
  <c r="DL69" i="27"/>
  <c r="DL69" i="29" s="1"/>
  <c r="DM69" i="27"/>
  <c r="DM69" i="29" s="1"/>
  <c r="DN69" i="27"/>
  <c r="DN69" i="29" s="1"/>
  <c r="DO69" i="27"/>
  <c r="DO69" i="29" s="1"/>
  <c r="DP69" i="27"/>
  <c r="DP69" i="29" s="1"/>
  <c r="DQ69" i="27"/>
  <c r="DQ69" i="29" s="1"/>
  <c r="DR69" i="27"/>
  <c r="DR69" i="29" s="1"/>
  <c r="DS69" i="27"/>
  <c r="DS69" i="29" s="1"/>
  <c r="DT69" i="27"/>
  <c r="DT69" i="29" s="1"/>
  <c r="DU69" i="27"/>
  <c r="DU69" i="29" s="1"/>
  <c r="DV69" i="27"/>
  <c r="DV69" i="29" s="1"/>
  <c r="DW69" i="27"/>
  <c r="DW69" i="29" s="1"/>
  <c r="AA510" i="26"/>
  <c r="AC510" i="26" s="1"/>
  <c r="CP72" i="27"/>
  <c r="CP72" i="29" s="1"/>
  <c r="AA490" i="26"/>
  <c r="AC490" i="26" s="1"/>
  <c r="BS73" i="27"/>
  <c r="BS73" i="29" s="1"/>
  <c r="AA449" i="26"/>
  <c r="AC449" i="26" s="1"/>
  <c r="AA405" i="26"/>
  <c r="AC405" i="26" s="1"/>
  <c r="AV75" i="27"/>
  <c r="AV75" i="29" s="1"/>
  <c r="Z406" i="26"/>
  <c r="AA397" i="26"/>
  <c r="AC397" i="26" s="1"/>
  <c r="AV67" i="27"/>
  <c r="AV67" i="29" s="1"/>
  <c r="Z473" i="26"/>
  <c r="BS62" i="27"/>
  <c r="BS62" i="29" s="1"/>
  <c r="BU62" i="27"/>
  <c r="BU62" i="29" s="1"/>
  <c r="BV62" i="27"/>
  <c r="BV62" i="29" s="1"/>
  <c r="BW62" i="27"/>
  <c r="BW62" i="29" s="1"/>
  <c r="BX62" i="27"/>
  <c r="BX62" i="29" s="1"/>
  <c r="BY62" i="27"/>
  <c r="BY62" i="29" s="1"/>
  <c r="BZ62" i="27"/>
  <c r="BZ62" i="29" s="1"/>
  <c r="CA62" i="27"/>
  <c r="CA62" i="29" s="1"/>
  <c r="CB62" i="27"/>
  <c r="CB62" i="29" s="1"/>
  <c r="BT62" i="27"/>
  <c r="BT62" i="29" s="1"/>
  <c r="AA474" i="26"/>
  <c r="AC474" i="26" s="1"/>
  <c r="AA795" i="26"/>
  <c r="AC795" i="26" s="1"/>
  <c r="EN14" i="27"/>
  <c r="EN14" i="29" s="1"/>
  <c r="Z796" i="26"/>
  <c r="EO14" i="27"/>
  <c r="EO14" i="29" s="1"/>
  <c r="EP14" i="27"/>
  <c r="EP14" i="29" s="1"/>
  <c r="AA344" i="26"/>
  <c r="AC344" i="26" s="1"/>
  <c r="Z66" i="29"/>
  <c r="Z343" i="26"/>
  <c r="Z64" i="27" s="1"/>
  <c r="Z63" i="27" s="1"/>
  <c r="EI12" i="27"/>
  <c r="EI12" i="29" s="1"/>
  <c r="EN12" i="27"/>
  <c r="EN12" i="29" s="1"/>
  <c r="AA815" i="26"/>
  <c r="AC815" i="26" s="1"/>
  <c r="EK12" i="27"/>
  <c r="EK12" i="29" s="1"/>
  <c r="EL12" i="27"/>
  <c r="EL12" i="29" s="1"/>
  <c r="EM12" i="27"/>
  <c r="EM12" i="29" s="1"/>
  <c r="EJ12" i="27"/>
  <c r="EJ12" i="29" s="1"/>
  <c r="DV13" i="29"/>
  <c r="AA828" i="26"/>
  <c r="AC828" i="26" s="1"/>
  <c r="G71" i="27"/>
  <c r="G71" i="29" s="1"/>
  <c r="F71" i="27"/>
  <c r="F71" i="29" s="1"/>
  <c r="AA309" i="26"/>
  <c r="AC309" i="26" s="1"/>
  <c r="E71" i="27"/>
  <c r="E71" i="29" s="1"/>
  <c r="Z308" i="26"/>
  <c r="G79" i="27"/>
  <c r="G79" i="29" s="1"/>
  <c r="AA317" i="26"/>
  <c r="AC317" i="26" s="1"/>
  <c r="F79" i="27"/>
  <c r="F79" i="29" s="1"/>
  <c r="Z318" i="26"/>
  <c r="ED15" i="27"/>
  <c r="ED15" i="29" s="1"/>
  <c r="DW15" i="27"/>
  <c r="DW15" i="29" s="1"/>
  <c r="EJ15" i="27"/>
  <c r="EJ15" i="29" s="1"/>
  <c r="EI15" i="27"/>
  <c r="EI15" i="29" s="1"/>
  <c r="EE15" i="27"/>
  <c r="EE15" i="29" s="1"/>
  <c r="DZ15" i="27"/>
  <c r="DZ15" i="29" s="1"/>
  <c r="EC15" i="27"/>
  <c r="EC15" i="29" s="1"/>
  <c r="EA15" i="27"/>
  <c r="EA15" i="29" s="1"/>
  <c r="EB15" i="27"/>
  <c r="EB15" i="29" s="1"/>
  <c r="EL15" i="27"/>
  <c r="EL15" i="29" s="1"/>
  <c r="EK15" i="27"/>
  <c r="EK15" i="29" s="1"/>
  <c r="EH15" i="27"/>
  <c r="EH15" i="29" s="1"/>
  <c r="Z9" i="26"/>
  <c r="EM15" i="27"/>
  <c r="EM15" i="29" s="1"/>
  <c r="EF15" i="27"/>
  <c r="EF15" i="29" s="1"/>
  <c r="DY15" i="27"/>
  <c r="DY15" i="29" s="1"/>
  <c r="AA8" i="26"/>
  <c r="AC8" i="26" s="1"/>
  <c r="DX15" i="27"/>
  <c r="DX15" i="29" s="1"/>
  <c r="EG15" i="27"/>
  <c r="EG15" i="29" s="1"/>
  <c r="Z829" i="26"/>
  <c r="DV14" i="27" s="1"/>
  <c r="AA353" i="26"/>
  <c r="AC353" i="26" s="1"/>
  <c r="Z354" i="26"/>
  <c r="Z75" i="27" s="1"/>
  <c r="Z75" i="29" s="1"/>
  <c r="BP78" i="27"/>
  <c r="BP78" i="29" s="1"/>
  <c r="AZ78" i="27"/>
  <c r="AZ78" i="29" s="1"/>
  <c r="BO78" i="27"/>
  <c r="BO78" i="29" s="1"/>
  <c r="AY78" i="27"/>
  <c r="AY78" i="29" s="1"/>
  <c r="BN78" i="27"/>
  <c r="BN78" i="29" s="1"/>
  <c r="AX78" i="27"/>
  <c r="AX78" i="29" s="1"/>
  <c r="BM78" i="27"/>
  <c r="BM78" i="29" s="1"/>
  <c r="BL78" i="27"/>
  <c r="BL78" i="29" s="1"/>
  <c r="BK78" i="27"/>
  <c r="BK78" i="29" s="1"/>
  <c r="BG78" i="27"/>
  <c r="BG78" i="29" s="1"/>
  <c r="BR78" i="27"/>
  <c r="BR78" i="29" s="1"/>
  <c r="BQ78" i="27"/>
  <c r="BQ78" i="29" s="1"/>
  <c r="BJ78" i="27"/>
  <c r="BJ78" i="29" s="1"/>
  <c r="BI78" i="27"/>
  <c r="BI78" i="29" s="1"/>
  <c r="BF78" i="27"/>
  <c r="BF78" i="29" s="1"/>
  <c r="BA78" i="27"/>
  <c r="BA78" i="29" s="1"/>
  <c r="BH78" i="27"/>
  <c r="BH78" i="29" s="1"/>
  <c r="BE78" i="27"/>
  <c r="BE78" i="29" s="1"/>
  <c r="BD78" i="27"/>
  <c r="BD78" i="29" s="1"/>
  <c r="BC78" i="27"/>
  <c r="BC78" i="29" s="1"/>
  <c r="BB78" i="27"/>
  <c r="BB78" i="29" s="1"/>
  <c r="AA203" i="26"/>
  <c r="AC203" i="26" s="1"/>
  <c r="Z204" i="26"/>
  <c r="BR68" i="27"/>
  <c r="BR68" i="29" s="1"/>
  <c r="BB68" i="27"/>
  <c r="BB68" i="29" s="1"/>
  <c r="BQ68" i="27"/>
  <c r="BQ68" i="29" s="1"/>
  <c r="BA68" i="27"/>
  <c r="BA68" i="29" s="1"/>
  <c r="BP68" i="27"/>
  <c r="BP68" i="29" s="1"/>
  <c r="AZ68" i="27"/>
  <c r="AZ68" i="29" s="1"/>
  <c r="BO68" i="27"/>
  <c r="BO68" i="29" s="1"/>
  <c r="AY68" i="27"/>
  <c r="AY68" i="29" s="1"/>
  <c r="BN68" i="27"/>
  <c r="BN68" i="29" s="1"/>
  <c r="AX68" i="27"/>
  <c r="AX68" i="29" s="1"/>
  <c r="BM68" i="27"/>
  <c r="BM68" i="29" s="1"/>
  <c r="BL68" i="27"/>
  <c r="BL68" i="29" s="1"/>
  <c r="BD68" i="27"/>
  <c r="BD68" i="29" s="1"/>
  <c r="BK68" i="27"/>
  <c r="BK68" i="29" s="1"/>
  <c r="BJ68" i="27"/>
  <c r="BJ68" i="29" s="1"/>
  <c r="BI68" i="27"/>
  <c r="BI68" i="29" s="1"/>
  <c r="BH68" i="27"/>
  <c r="BH68" i="29" s="1"/>
  <c r="BG68" i="27"/>
  <c r="BG68" i="29" s="1"/>
  <c r="BF68" i="27"/>
  <c r="BF68" i="29" s="1"/>
  <c r="BE68" i="27"/>
  <c r="BE68" i="29" s="1"/>
  <c r="BC68" i="27"/>
  <c r="BC68" i="29" s="1"/>
  <c r="AA193" i="26"/>
  <c r="AC193" i="26" s="1"/>
  <c r="Z192" i="26"/>
  <c r="Z415" i="26" s="1"/>
  <c r="CP59" i="27"/>
  <c r="CP59" i="29" s="1"/>
  <c r="CN59" i="27"/>
  <c r="CN59" i="29" s="1"/>
  <c r="CM59" i="27"/>
  <c r="CM59" i="29" s="1"/>
  <c r="CL59" i="27"/>
  <c r="CL59" i="29" s="1"/>
  <c r="CK59" i="27"/>
  <c r="CK59" i="29" s="1"/>
  <c r="CJ59" i="27"/>
  <c r="CJ59" i="29" s="1"/>
  <c r="CI59" i="27"/>
  <c r="CI59" i="29" s="1"/>
  <c r="CH59" i="27"/>
  <c r="CH59" i="29" s="1"/>
  <c r="CG59" i="27"/>
  <c r="CG59" i="29" s="1"/>
  <c r="CF59" i="27"/>
  <c r="CF59" i="29" s="1"/>
  <c r="CW59" i="27"/>
  <c r="CW59" i="29" s="1"/>
  <c r="CE59" i="27"/>
  <c r="CE59" i="29" s="1"/>
  <c r="CV59" i="27"/>
  <c r="CV59" i="29" s="1"/>
  <c r="CD59" i="27"/>
  <c r="CD59" i="29" s="1"/>
  <c r="CR59" i="27"/>
  <c r="CR59" i="29" s="1"/>
  <c r="CQ59" i="27"/>
  <c r="CQ59" i="29" s="1"/>
  <c r="CO59" i="27"/>
  <c r="CO59" i="29" s="1"/>
  <c r="CC59" i="27"/>
  <c r="CC59" i="29" s="1"/>
  <c r="CT59" i="27"/>
  <c r="CT59" i="29" s="1"/>
  <c r="CS59" i="27"/>
  <c r="CS59" i="29" s="1"/>
  <c r="CU59" i="27"/>
  <c r="CU59" i="29" s="1"/>
  <c r="AA152" i="26"/>
  <c r="AC152" i="26" s="1"/>
  <c r="Z153" i="26"/>
  <c r="BV37" i="27"/>
  <c r="BV37" i="29" s="1"/>
  <c r="AA602" i="26"/>
  <c r="AC602" i="26" s="1"/>
  <c r="AA58" i="27"/>
  <c r="AA58" i="29" s="1"/>
  <c r="Z58" i="27"/>
  <c r="Z58" i="29" s="1"/>
  <c r="AB58" i="27"/>
  <c r="AB58" i="29" s="1"/>
  <c r="AA370" i="26"/>
  <c r="AC370" i="26" s="1"/>
  <c r="Z371" i="26"/>
  <c r="CQ49" i="27"/>
  <c r="CQ49" i="29" s="1"/>
  <c r="CO49" i="27"/>
  <c r="CO49" i="29" s="1"/>
  <c r="CH49" i="27"/>
  <c r="CH49" i="29" s="1"/>
  <c r="CL49" i="27"/>
  <c r="CL49" i="29" s="1"/>
  <c r="CJ49" i="27"/>
  <c r="CJ49" i="29" s="1"/>
  <c r="CI49" i="27"/>
  <c r="CI49" i="29" s="1"/>
  <c r="CG49" i="27"/>
  <c r="CG49" i="29" s="1"/>
  <c r="CF49" i="27"/>
  <c r="CF49" i="29" s="1"/>
  <c r="CE49" i="27"/>
  <c r="CE49" i="29" s="1"/>
  <c r="CW49" i="27"/>
  <c r="CW49" i="29" s="1"/>
  <c r="CD49" i="27"/>
  <c r="CD49" i="29" s="1"/>
  <c r="CV49" i="27"/>
  <c r="CV49" i="29" s="1"/>
  <c r="CC49" i="27"/>
  <c r="CC49" i="29" s="1"/>
  <c r="CT49" i="27"/>
  <c r="CT49" i="29" s="1"/>
  <c r="CM49" i="27"/>
  <c r="CM49" i="29" s="1"/>
  <c r="CK49" i="27"/>
  <c r="CK49" i="29" s="1"/>
  <c r="CU49" i="27"/>
  <c r="CU49" i="29" s="1"/>
  <c r="CS49" i="27"/>
  <c r="CS49" i="29" s="1"/>
  <c r="CR49" i="27"/>
  <c r="CR49" i="29" s="1"/>
  <c r="CP49" i="27"/>
  <c r="CP49" i="29" s="1"/>
  <c r="CN49" i="27"/>
  <c r="CN49" i="29" s="1"/>
  <c r="Z141" i="26"/>
  <c r="AA142" i="26"/>
  <c r="AC142" i="26" s="1"/>
  <c r="CG73" i="27"/>
  <c r="CG73" i="29" s="1"/>
  <c r="CF73" i="27"/>
  <c r="CF73" i="29" s="1"/>
  <c r="CE73" i="27"/>
  <c r="CE73" i="29" s="1"/>
  <c r="CC73" i="27"/>
  <c r="CC73" i="29" s="1"/>
  <c r="CB73" i="27"/>
  <c r="CB73" i="29" s="1"/>
  <c r="CN73" i="27"/>
  <c r="CN73" i="29" s="1"/>
  <c r="BX73" i="27"/>
  <c r="BX73" i="29" s="1"/>
  <c r="CA73" i="27"/>
  <c r="CA73" i="29" s="1"/>
  <c r="BZ73" i="27"/>
  <c r="BZ73" i="29" s="1"/>
  <c r="BY73" i="27"/>
  <c r="BY73" i="29" s="1"/>
  <c r="BW73" i="27"/>
  <c r="BW73" i="29" s="1"/>
  <c r="BV73" i="27"/>
  <c r="BV73" i="29" s="1"/>
  <c r="BU73" i="27"/>
  <c r="BU73" i="29" s="1"/>
  <c r="BT73" i="27"/>
  <c r="BT73" i="29" s="1"/>
  <c r="CH73" i="27"/>
  <c r="CH73" i="29" s="1"/>
  <c r="CO73" i="27"/>
  <c r="CO73" i="29" s="1"/>
  <c r="CM73" i="27"/>
  <c r="CM73" i="29" s="1"/>
  <c r="CL73" i="27"/>
  <c r="CL73" i="29" s="1"/>
  <c r="CK73" i="27"/>
  <c r="CK73" i="29" s="1"/>
  <c r="CJ73" i="27"/>
  <c r="CJ73" i="29" s="1"/>
  <c r="CI73" i="27"/>
  <c r="CI73" i="29" s="1"/>
  <c r="CD73" i="27"/>
  <c r="CD73" i="29" s="1"/>
  <c r="Z190" i="26"/>
  <c r="AA189" i="26"/>
  <c r="AC189" i="26" s="1"/>
  <c r="EW27" i="27"/>
  <c r="EW27" i="29" s="1"/>
  <c r="EV27" i="27"/>
  <c r="EV27" i="29" s="1"/>
  <c r="EX27" i="27"/>
  <c r="EX27" i="29" s="1"/>
  <c r="AA789" i="26"/>
  <c r="AC789" i="26" s="1"/>
  <c r="CG27" i="27"/>
  <c r="CG27" i="29" s="1"/>
  <c r="CN27" i="27"/>
  <c r="CN27" i="29" s="1"/>
  <c r="CI27" i="27"/>
  <c r="CI27" i="29" s="1"/>
  <c r="CJ27" i="27"/>
  <c r="CJ27" i="29" s="1"/>
  <c r="CH27" i="27"/>
  <c r="CH27" i="29" s="1"/>
  <c r="CL27" i="27"/>
  <c r="CL27" i="29" s="1"/>
  <c r="CK27" i="27"/>
  <c r="CK27" i="29" s="1"/>
  <c r="CM27" i="27"/>
  <c r="CM27" i="29" s="1"/>
  <c r="AA86" i="26"/>
  <c r="AC86" i="26" s="1"/>
  <c r="Z85" i="26"/>
  <c r="CS38" i="27"/>
  <c r="CS38" i="29" s="1"/>
  <c r="DE38" i="27"/>
  <c r="DE38" i="29" s="1"/>
  <c r="CQ38" i="27"/>
  <c r="CQ38" i="29" s="1"/>
  <c r="DH38" i="27"/>
  <c r="DH38" i="29" s="1"/>
  <c r="DG38" i="27"/>
  <c r="DG38" i="29" s="1"/>
  <c r="DF38" i="27"/>
  <c r="DF38" i="29" s="1"/>
  <c r="DD38" i="27"/>
  <c r="DD38" i="29" s="1"/>
  <c r="DC38" i="27"/>
  <c r="DC38" i="29" s="1"/>
  <c r="DB38" i="27"/>
  <c r="DB38" i="29" s="1"/>
  <c r="CY38" i="27"/>
  <c r="CY38" i="29" s="1"/>
  <c r="CT38" i="27"/>
  <c r="CT38" i="29" s="1"/>
  <c r="CR38" i="27"/>
  <c r="CR38" i="29" s="1"/>
  <c r="CX38" i="27"/>
  <c r="CX38" i="29" s="1"/>
  <c r="CW38" i="27"/>
  <c r="CW38" i="29" s="1"/>
  <c r="CV38" i="27"/>
  <c r="CV38" i="29" s="1"/>
  <c r="CU38" i="27"/>
  <c r="CU38" i="29" s="1"/>
  <c r="AA79" i="26"/>
  <c r="AC79" i="26" s="1"/>
  <c r="Z80" i="26"/>
  <c r="DA38" i="27"/>
  <c r="DA38" i="29" s="1"/>
  <c r="CZ38" i="27"/>
  <c r="CZ38" i="29" s="1"/>
  <c r="E58" i="27"/>
  <c r="E58" i="29" s="1"/>
  <c r="D58" i="27"/>
  <c r="D58" i="29" s="1"/>
  <c r="AA291" i="26"/>
  <c r="AC291" i="26" s="1"/>
  <c r="Z292" i="26"/>
  <c r="DG59" i="27"/>
  <c r="DG59" i="29" s="1"/>
  <c r="DF59" i="27"/>
  <c r="DF59" i="29" s="1"/>
  <c r="DE59" i="27"/>
  <c r="DE59" i="29" s="1"/>
  <c r="DI59" i="27"/>
  <c r="DI59" i="29" s="1"/>
  <c r="DH59" i="27"/>
  <c r="DH59" i="29" s="1"/>
  <c r="DD59" i="27"/>
  <c r="DD59" i="29" s="1"/>
  <c r="DC59" i="27"/>
  <c r="DC59" i="29" s="1"/>
  <c r="DB59" i="27"/>
  <c r="DB59" i="29" s="1"/>
  <c r="DA59" i="27"/>
  <c r="DA59" i="29" s="1"/>
  <c r="DS59" i="27"/>
  <c r="DS59" i="29" s="1"/>
  <c r="CZ59" i="27"/>
  <c r="CZ59" i="29" s="1"/>
  <c r="DR59" i="27"/>
  <c r="DR59" i="29" s="1"/>
  <c r="CY59" i="27"/>
  <c r="CY59" i="29" s="1"/>
  <c r="DQ59" i="27"/>
  <c r="DQ59" i="29" s="1"/>
  <c r="DP59" i="27"/>
  <c r="DP59" i="29" s="1"/>
  <c r="DO59" i="27"/>
  <c r="DO59" i="29" s="1"/>
  <c r="DN59" i="27"/>
  <c r="DN59" i="29" s="1"/>
  <c r="DM59" i="27"/>
  <c r="DM59" i="29" s="1"/>
  <c r="DJ59" i="27"/>
  <c r="DJ59" i="29" s="1"/>
  <c r="AA131" i="26"/>
  <c r="AC131" i="26" s="1"/>
  <c r="DL59" i="27"/>
  <c r="DL59" i="29" s="1"/>
  <c r="DV59" i="27"/>
  <c r="DV59" i="29" s="1"/>
  <c r="DK59" i="27"/>
  <c r="DK59" i="29" s="1"/>
  <c r="Z132" i="26"/>
  <c r="Z550" i="26" s="1"/>
  <c r="BV28" i="27"/>
  <c r="BV28" i="29" s="1"/>
  <c r="AA611" i="26"/>
  <c r="AC611" i="26" s="1"/>
  <c r="DH49" i="27"/>
  <c r="DH49" i="29" s="1"/>
  <c r="DF49" i="27"/>
  <c r="DF49" i="29" s="1"/>
  <c r="DO49" i="27"/>
  <c r="DO49" i="29" s="1"/>
  <c r="CY49" i="27"/>
  <c r="CY49" i="29" s="1"/>
  <c r="DG49" i="27"/>
  <c r="DG49" i="29" s="1"/>
  <c r="DD49" i="27"/>
  <c r="DD49" i="29" s="1"/>
  <c r="DC49" i="27"/>
  <c r="DC49" i="29" s="1"/>
  <c r="DB49" i="27"/>
  <c r="DB49" i="29" s="1"/>
  <c r="DA49" i="27"/>
  <c r="DA49" i="29" s="1"/>
  <c r="DS49" i="27"/>
  <c r="DS49" i="29" s="1"/>
  <c r="CZ49" i="27"/>
  <c r="CZ49" i="29" s="1"/>
  <c r="DR49" i="27"/>
  <c r="DR49" i="29" s="1"/>
  <c r="DQ49" i="27"/>
  <c r="DQ49" i="29" s="1"/>
  <c r="DP49" i="27"/>
  <c r="DP49" i="29" s="1"/>
  <c r="DN49" i="27"/>
  <c r="DN49" i="29" s="1"/>
  <c r="DM49" i="27"/>
  <c r="DM49" i="29" s="1"/>
  <c r="DL49" i="27"/>
  <c r="DL49" i="29" s="1"/>
  <c r="DK49" i="27"/>
  <c r="DK49" i="29" s="1"/>
  <c r="DJ49" i="27"/>
  <c r="DJ49" i="29" s="1"/>
  <c r="DI49" i="27"/>
  <c r="DI49" i="29" s="1"/>
  <c r="DE49" i="27"/>
  <c r="DE49" i="29" s="1"/>
  <c r="Z120" i="26"/>
  <c r="AA121" i="26"/>
  <c r="AC121" i="26" s="1"/>
  <c r="DU58" i="27"/>
  <c r="DU58" i="29" s="1"/>
  <c r="DT58" i="27"/>
  <c r="DT58" i="29" s="1"/>
  <c r="AA548" i="26"/>
  <c r="AC548" i="26" s="1"/>
  <c r="CF28" i="27"/>
  <c r="CF28" i="29" s="1"/>
  <c r="CE28" i="29"/>
  <c r="CD28" i="29"/>
  <c r="CC28" i="29"/>
  <c r="CB28" i="29"/>
  <c r="CA28" i="29"/>
  <c r="BZ28" i="29"/>
  <c r="AA878" i="26"/>
  <c r="AC878" i="26" s="1"/>
  <c r="BY28" i="29"/>
  <c r="Z877" i="26"/>
  <c r="BX28" i="29"/>
  <c r="DZ49" i="27"/>
  <c r="DZ49" i="29" s="1"/>
  <c r="DX49" i="27"/>
  <c r="DX49" i="29" s="1"/>
  <c r="EG49" i="27"/>
  <c r="EG49" i="29" s="1"/>
  <c r="EC49" i="27"/>
  <c r="EC49" i="29" s="1"/>
  <c r="EA49" i="27"/>
  <c r="EA49" i="29" s="1"/>
  <c r="DY49" i="27"/>
  <c r="DY49" i="29" s="1"/>
  <c r="DW49" i="27"/>
  <c r="DW49" i="29" s="1"/>
  <c r="DV49" i="27"/>
  <c r="DV49" i="29" s="1"/>
  <c r="EJ49" i="27"/>
  <c r="EJ49" i="29" s="1"/>
  <c r="ED49" i="27"/>
  <c r="ED49" i="29" s="1"/>
  <c r="EB49" i="27"/>
  <c r="EB49" i="29" s="1"/>
  <c r="EF49" i="27"/>
  <c r="EF49" i="29" s="1"/>
  <c r="EE49" i="27"/>
  <c r="EE49" i="29" s="1"/>
  <c r="EK49" i="27"/>
  <c r="EK49" i="29" s="1"/>
  <c r="EI49" i="27"/>
  <c r="EI49" i="29" s="1"/>
  <c r="AA39" i="26"/>
  <c r="AC39" i="26" s="1"/>
  <c r="Z40" i="26"/>
  <c r="EH49" i="27"/>
  <c r="EH49" i="29" s="1"/>
  <c r="BS40" i="27"/>
  <c r="BS40" i="29" s="1"/>
  <c r="BC40" i="27"/>
  <c r="BC40" i="29" s="1"/>
  <c r="BI40" i="27"/>
  <c r="BI40" i="29" s="1"/>
  <c r="BE40" i="27"/>
  <c r="BE40" i="29" s="1"/>
  <c r="BD40" i="27"/>
  <c r="BD40" i="29" s="1"/>
  <c r="BU40" i="27"/>
  <c r="BU40" i="29" s="1"/>
  <c r="BB40" i="27"/>
  <c r="BB40" i="29" s="1"/>
  <c r="BT40" i="27"/>
  <c r="BT40" i="29" s="1"/>
  <c r="BR40" i="27"/>
  <c r="BR40" i="29" s="1"/>
  <c r="BQ40" i="27"/>
  <c r="BQ40" i="29" s="1"/>
  <c r="BP40" i="27"/>
  <c r="BP40" i="29" s="1"/>
  <c r="BM40" i="27"/>
  <c r="BM40" i="29" s="1"/>
  <c r="BG40" i="27"/>
  <c r="BG40" i="29" s="1"/>
  <c r="BF40" i="27"/>
  <c r="BF40" i="29" s="1"/>
  <c r="BO40" i="27"/>
  <c r="BO40" i="29" s="1"/>
  <c r="BN40" i="27"/>
  <c r="BN40" i="29" s="1"/>
  <c r="BL40" i="27"/>
  <c r="BL40" i="29" s="1"/>
  <c r="BK40" i="27"/>
  <c r="BK40" i="29" s="1"/>
  <c r="BJ40" i="27"/>
  <c r="BJ40" i="29" s="1"/>
  <c r="BH40" i="27"/>
  <c r="BH40" i="29" s="1"/>
  <c r="Z115" i="26"/>
  <c r="AA114" i="26"/>
  <c r="AC114" i="26" s="1"/>
  <c r="BB47" i="29"/>
  <c r="AZ47" i="29"/>
  <c r="BE47" i="29"/>
  <c r="BD47" i="29"/>
  <c r="BC47" i="29"/>
  <c r="Z573" i="26"/>
  <c r="AA574" i="26"/>
  <c r="AC574" i="26" s="1"/>
  <c r="BA47" i="29"/>
  <c r="EW36" i="27"/>
  <c r="EW36" i="29" s="1"/>
  <c r="EV36" i="27"/>
  <c r="EV36" i="29" s="1"/>
  <c r="AA775" i="26"/>
  <c r="AC775" i="26" s="1"/>
  <c r="V81" i="27"/>
  <c r="V81" i="29" s="1"/>
  <c r="U81" i="27"/>
  <c r="U81" i="29" s="1"/>
  <c r="T81" i="27"/>
  <c r="T81" i="29" s="1"/>
  <c r="S81" i="27"/>
  <c r="S81" i="29" s="1"/>
  <c r="R81" i="27"/>
  <c r="R81" i="29" s="1"/>
  <c r="Q81" i="27"/>
  <c r="Q81" i="29" s="1"/>
  <c r="M81" i="27"/>
  <c r="M81" i="29" s="1"/>
  <c r="N81" i="27"/>
  <c r="N81" i="29" s="1"/>
  <c r="L81" i="27"/>
  <c r="L81" i="29" s="1"/>
  <c r="K81" i="27"/>
  <c r="K81" i="29" s="1"/>
  <c r="J81" i="27"/>
  <c r="J81" i="29" s="1"/>
  <c r="I81" i="27"/>
  <c r="I81" i="29" s="1"/>
  <c r="H81" i="27"/>
  <c r="H81" i="29" s="1"/>
  <c r="P81" i="27"/>
  <c r="P81" i="29" s="1"/>
  <c r="Y81" i="27"/>
  <c r="Y81" i="29" s="1"/>
  <c r="X81" i="27"/>
  <c r="X81" i="29" s="1"/>
  <c r="W81" i="27"/>
  <c r="W81" i="29" s="1"/>
  <c r="O81" i="27"/>
  <c r="O81" i="29" s="1"/>
  <c r="Z257" i="26"/>
  <c r="AA256" i="26"/>
  <c r="AC256" i="26" s="1"/>
  <c r="EL37" i="27"/>
  <c r="EL37" i="29" s="1"/>
  <c r="EK37" i="27"/>
  <c r="EK37" i="29" s="1"/>
  <c r="EJ37" i="27"/>
  <c r="EJ37" i="29" s="1"/>
  <c r="EI37" i="27"/>
  <c r="EI37" i="29" s="1"/>
  <c r="EH37" i="27"/>
  <c r="EH37" i="29" s="1"/>
  <c r="EG37" i="27"/>
  <c r="EG37" i="29" s="1"/>
  <c r="EF37" i="27"/>
  <c r="EF37" i="29" s="1"/>
  <c r="EE37" i="27"/>
  <c r="EE37" i="29" s="1"/>
  <c r="ES37" i="27"/>
  <c r="ES37" i="29" s="1"/>
  <c r="EN37" i="27"/>
  <c r="EN37" i="29" s="1"/>
  <c r="EM37" i="27"/>
  <c r="EM37" i="29" s="1"/>
  <c r="EU37" i="27"/>
  <c r="EU37" i="29" s="1"/>
  <c r="ET37" i="27"/>
  <c r="ET37" i="29" s="1"/>
  <c r="ER37" i="27"/>
  <c r="ER37" i="29" s="1"/>
  <c r="EQ37" i="27"/>
  <c r="EQ37" i="29" s="1"/>
  <c r="EP37" i="27"/>
  <c r="EP37" i="29" s="1"/>
  <c r="EO37" i="27"/>
  <c r="EO37" i="29" s="1"/>
  <c r="ED37" i="27"/>
  <c r="ED37" i="29" s="1"/>
  <c r="EC37" i="27"/>
  <c r="EC37" i="29" s="1"/>
  <c r="Z776" i="26"/>
  <c r="AA29" i="26"/>
  <c r="AC29" i="26" s="1"/>
  <c r="Z30" i="26"/>
  <c r="DM26" i="27"/>
  <c r="DM26" i="29" s="1"/>
  <c r="EA26" i="27"/>
  <c r="EA26" i="29" s="1"/>
  <c r="DK26" i="27"/>
  <c r="DK26" i="29" s="1"/>
  <c r="DY26" i="27"/>
  <c r="DY26" i="29" s="1"/>
  <c r="DX26" i="27"/>
  <c r="DX26" i="29" s="1"/>
  <c r="DT26" i="27"/>
  <c r="DT26" i="29" s="1"/>
  <c r="DO26" i="27"/>
  <c r="DO26" i="29" s="1"/>
  <c r="DR26" i="27"/>
  <c r="DR26" i="29" s="1"/>
  <c r="DQ26" i="27"/>
  <c r="DQ26" i="29" s="1"/>
  <c r="DP26" i="27"/>
  <c r="DP26" i="29" s="1"/>
  <c r="DN26" i="27"/>
  <c r="DN26" i="29" s="1"/>
  <c r="DL26" i="27"/>
  <c r="DL26" i="29" s="1"/>
  <c r="DJ26" i="27"/>
  <c r="DJ26" i="29" s="1"/>
  <c r="DU26" i="27"/>
  <c r="DU26" i="29" s="1"/>
  <c r="Z50" i="26"/>
  <c r="AA51" i="26"/>
  <c r="AC51" i="26" s="1"/>
  <c r="DS26" i="27"/>
  <c r="DS26" i="29" s="1"/>
  <c r="DZ26" i="27"/>
  <c r="DZ26" i="29" s="1"/>
  <c r="DV26" i="27"/>
  <c r="DV26" i="29" s="1"/>
  <c r="DW26" i="27"/>
  <c r="DW26" i="29" s="1"/>
  <c r="E48" i="27"/>
  <c r="E48" i="29" s="1"/>
  <c r="D48" i="27"/>
  <c r="D48" i="29" s="1"/>
  <c r="C48" i="27"/>
  <c r="C48" i="29" s="1"/>
  <c r="AA281" i="26"/>
  <c r="AC281" i="26" s="1"/>
  <c r="Z280" i="26"/>
  <c r="BN29" i="27"/>
  <c r="BN29" i="29" s="1"/>
  <c r="BM29" i="27"/>
  <c r="BM29" i="29" s="1"/>
  <c r="BL29" i="27"/>
  <c r="BL29" i="29" s="1"/>
  <c r="BK29" i="27"/>
  <c r="BK29" i="29" s="1"/>
  <c r="BJ29" i="27"/>
  <c r="BJ29" i="29" s="1"/>
  <c r="BI29" i="27"/>
  <c r="BI29" i="29" s="1"/>
  <c r="BH29" i="27"/>
  <c r="BH29" i="29" s="1"/>
  <c r="BU29" i="27"/>
  <c r="BU29" i="29" s="1"/>
  <c r="BE29" i="27"/>
  <c r="BE29" i="29" s="1"/>
  <c r="BP29" i="27"/>
  <c r="BP29" i="29" s="1"/>
  <c r="BT29" i="27"/>
  <c r="BT29" i="29" s="1"/>
  <c r="BS29" i="27"/>
  <c r="BS29" i="29" s="1"/>
  <c r="BR29" i="27"/>
  <c r="BR29" i="29" s="1"/>
  <c r="BQ29" i="27"/>
  <c r="BQ29" i="29" s="1"/>
  <c r="BO29" i="27"/>
  <c r="BO29" i="29" s="1"/>
  <c r="BG29" i="27"/>
  <c r="BG29" i="29" s="1"/>
  <c r="BF29" i="27"/>
  <c r="BF29" i="29" s="1"/>
  <c r="BD29" i="27"/>
  <c r="BD29" i="29" s="1"/>
  <c r="BC29" i="27"/>
  <c r="BC29" i="29" s="1"/>
  <c r="Z102" i="26"/>
  <c r="AA103" i="26"/>
  <c r="AC103" i="26" s="1"/>
  <c r="BB29" i="27"/>
  <c r="BB29" i="29" s="1"/>
  <c r="Y69" i="27"/>
  <c r="Y69" i="29" s="1"/>
  <c r="I69" i="27"/>
  <c r="I69" i="29" s="1"/>
  <c r="X69" i="27"/>
  <c r="X69" i="29" s="1"/>
  <c r="H69" i="27"/>
  <c r="H69" i="29" s="1"/>
  <c r="W69" i="27"/>
  <c r="W69" i="29" s="1"/>
  <c r="V69" i="27"/>
  <c r="V69" i="29" s="1"/>
  <c r="U69" i="27"/>
  <c r="U69" i="29" s="1"/>
  <c r="T69" i="27"/>
  <c r="T69" i="29" s="1"/>
  <c r="S69" i="27"/>
  <c r="S69" i="29" s="1"/>
  <c r="R69" i="27"/>
  <c r="R69" i="29" s="1"/>
  <c r="K69" i="27"/>
  <c r="K69" i="29" s="1"/>
  <c r="Q69" i="27"/>
  <c r="Q69" i="29" s="1"/>
  <c r="P69" i="27"/>
  <c r="P69" i="29" s="1"/>
  <c r="O69" i="27"/>
  <c r="O69" i="29" s="1"/>
  <c r="N69" i="27"/>
  <c r="N69" i="29" s="1"/>
  <c r="L69" i="27"/>
  <c r="L69" i="29" s="1"/>
  <c r="AA244" i="26"/>
  <c r="AC244" i="26" s="1"/>
  <c r="Z243" i="26"/>
  <c r="M69" i="27"/>
  <c r="M69" i="29" s="1"/>
  <c r="J69" i="27"/>
  <c r="J69" i="29" s="1"/>
  <c r="P48" i="27"/>
  <c r="P48" i="29" s="1"/>
  <c r="N48" i="27"/>
  <c r="N48" i="29" s="1"/>
  <c r="G48" i="27"/>
  <c r="G48" i="29" s="1"/>
  <c r="M48" i="27"/>
  <c r="M48" i="29" s="1"/>
  <c r="K48" i="27"/>
  <c r="K48" i="29" s="1"/>
  <c r="J48" i="27"/>
  <c r="J48" i="29" s="1"/>
  <c r="I48" i="27"/>
  <c r="I48" i="29" s="1"/>
  <c r="H48" i="27"/>
  <c r="H48" i="29" s="1"/>
  <c r="F48" i="27"/>
  <c r="F48" i="29" s="1"/>
  <c r="U48" i="27"/>
  <c r="U48" i="29" s="1"/>
  <c r="O48" i="27"/>
  <c r="O48" i="29" s="1"/>
  <c r="L48" i="27"/>
  <c r="L48" i="29" s="1"/>
  <c r="Z224" i="26"/>
  <c r="T48" i="27"/>
  <c r="T48" i="29" s="1"/>
  <c r="S48" i="27"/>
  <c r="S48" i="29" s="1"/>
  <c r="R48" i="27"/>
  <c r="R48" i="29" s="1"/>
  <c r="Q48" i="27"/>
  <c r="Q48" i="29" s="1"/>
  <c r="AA225" i="26"/>
  <c r="AC225" i="26" s="1"/>
  <c r="BL56" i="27"/>
  <c r="BL56" i="29" s="1"/>
  <c r="BT56" i="27"/>
  <c r="BT56" i="29" s="1"/>
  <c r="BS56" i="27"/>
  <c r="BS56" i="29" s="1"/>
  <c r="BR56" i="27"/>
  <c r="BR56" i="29" s="1"/>
  <c r="BM56" i="27"/>
  <c r="BM56" i="29" s="1"/>
  <c r="BK56" i="27"/>
  <c r="BK56" i="29" s="1"/>
  <c r="BJ56" i="27"/>
  <c r="BJ56" i="29" s="1"/>
  <c r="BP56" i="27"/>
  <c r="BP56" i="29" s="1"/>
  <c r="BN56" i="27"/>
  <c r="BN56" i="29" s="1"/>
  <c r="BI56" i="27"/>
  <c r="BI56" i="29" s="1"/>
  <c r="BH56" i="27"/>
  <c r="BH56" i="29" s="1"/>
  <c r="BG56" i="27"/>
  <c r="BG56" i="29" s="1"/>
  <c r="BF56" i="27"/>
  <c r="BF56" i="29" s="1"/>
  <c r="BZ56" i="27"/>
  <c r="BZ56" i="29" s="1"/>
  <c r="BY56" i="27"/>
  <c r="BY56" i="29" s="1"/>
  <c r="BV56" i="27"/>
  <c r="BV56" i="29" s="1"/>
  <c r="BU56" i="27"/>
  <c r="BU56" i="29" s="1"/>
  <c r="BQ56" i="27"/>
  <c r="BQ56" i="29" s="1"/>
  <c r="BO56" i="27"/>
  <c r="BO56" i="29" s="1"/>
  <c r="Z563" i="26"/>
  <c r="BX56" i="27"/>
  <c r="BX56" i="29" s="1"/>
  <c r="BW56" i="27"/>
  <c r="BW56" i="29" s="1"/>
  <c r="Z171" i="26"/>
  <c r="AA170" i="26"/>
  <c r="AC170" i="26" s="1"/>
  <c r="AS63" i="27"/>
  <c r="AS63" i="29" s="1"/>
  <c r="AC63" i="27"/>
  <c r="AC63" i="29" s="1"/>
  <c r="AR63" i="27"/>
  <c r="AR63" i="29" s="1"/>
  <c r="AB63" i="27"/>
  <c r="AB63" i="29" s="1"/>
  <c r="AQ63" i="27"/>
  <c r="AQ63" i="29" s="1"/>
  <c r="AA63" i="27"/>
  <c r="AA63" i="29" s="1"/>
  <c r="AN63" i="27"/>
  <c r="AN63" i="29" s="1"/>
  <c r="AM63" i="27"/>
  <c r="AM63" i="29" s="1"/>
  <c r="AL63" i="27"/>
  <c r="AL63" i="29" s="1"/>
  <c r="AK63" i="27"/>
  <c r="AK63" i="29" s="1"/>
  <c r="AJ63" i="27"/>
  <c r="AJ63" i="29" s="1"/>
  <c r="AI63" i="27"/>
  <c r="AI63" i="29" s="1"/>
  <c r="AH63" i="27"/>
  <c r="AH63" i="29" s="1"/>
  <c r="AG63" i="27"/>
  <c r="AG63" i="29" s="1"/>
  <c r="AF63" i="27"/>
  <c r="AF63" i="29" s="1"/>
  <c r="AE63" i="27"/>
  <c r="AE63" i="29" s="1"/>
  <c r="AU63" i="27"/>
  <c r="AU63" i="29" s="1"/>
  <c r="AP63" i="27"/>
  <c r="AP63" i="29" s="1"/>
  <c r="AA206" i="26"/>
  <c r="AC206" i="26" s="1"/>
  <c r="AT63" i="27"/>
  <c r="AT63" i="29" s="1"/>
  <c r="AO63" i="27"/>
  <c r="AO63" i="29" s="1"/>
  <c r="AD63" i="27"/>
  <c r="AD63" i="29" s="1"/>
  <c r="Z205" i="26"/>
  <c r="Z897" i="26" s="1"/>
  <c r="DH72" i="27"/>
  <c r="DH72" i="29" s="1"/>
  <c r="CR72" i="27"/>
  <c r="CR72" i="29" s="1"/>
  <c r="DG72" i="27"/>
  <c r="DG72" i="29" s="1"/>
  <c r="CQ72" i="27"/>
  <c r="CQ72" i="29" s="1"/>
  <c r="DF72" i="27"/>
  <c r="DF72" i="29" s="1"/>
  <c r="DD72" i="27"/>
  <c r="DD72" i="29" s="1"/>
  <c r="DC72" i="27"/>
  <c r="DC72" i="29" s="1"/>
  <c r="CY72" i="27"/>
  <c r="CY72" i="29" s="1"/>
  <c r="DI72" i="27"/>
  <c r="DI72" i="29" s="1"/>
  <c r="DE72" i="27"/>
  <c r="DE72" i="29" s="1"/>
  <c r="DB72" i="27"/>
  <c r="DB72" i="29" s="1"/>
  <c r="DA72" i="27"/>
  <c r="DA72" i="29" s="1"/>
  <c r="CZ72" i="27"/>
  <c r="CZ72" i="29" s="1"/>
  <c r="CX72" i="27"/>
  <c r="CX72" i="29" s="1"/>
  <c r="CW72" i="27"/>
  <c r="CW72" i="29" s="1"/>
  <c r="CV72" i="27"/>
  <c r="CV72" i="29" s="1"/>
  <c r="DK72" i="27"/>
  <c r="DK72" i="29" s="1"/>
  <c r="CU72" i="27"/>
  <c r="CU72" i="29" s="1"/>
  <c r="CT72" i="27"/>
  <c r="CT72" i="29" s="1"/>
  <c r="CS72" i="27"/>
  <c r="CS72" i="29" s="1"/>
  <c r="DJ72" i="27"/>
  <c r="DJ72" i="29" s="1"/>
  <c r="Z180" i="26"/>
  <c r="Z491" i="26" s="1"/>
  <c r="AA179" i="26"/>
  <c r="AC179" i="26" s="1"/>
  <c r="CX28" i="27"/>
  <c r="CX28" i="29" s="1"/>
  <c r="CW28" i="27"/>
  <c r="CW28" i="29" s="1"/>
  <c r="CV28" i="27"/>
  <c r="CV28" i="29" s="1"/>
  <c r="CU28" i="27"/>
  <c r="CU28" i="29" s="1"/>
  <c r="CT28" i="27"/>
  <c r="CT28" i="29" s="1"/>
  <c r="CS28" i="27"/>
  <c r="CS28" i="29" s="1"/>
  <c r="DH28" i="27"/>
  <c r="DH28" i="29" s="1"/>
  <c r="CR28" i="27"/>
  <c r="CR28" i="29" s="1"/>
  <c r="DE28" i="27"/>
  <c r="DE28" i="29" s="1"/>
  <c r="CZ28" i="27"/>
  <c r="CZ28" i="29" s="1"/>
  <c r="CY28" i="27"/>
  <c r="CY28" i="29" s="1"/>
  <c r="CQ28" i="27"/>
  <c r="CQ28" i="29" s="1"/>
  <c r="DG28" i="27"/>
  <c r="DG28" i="29" s="1"/>
  <c r="DD28" i="27"/>
  <c r="DD28" i="29" s="1"/>
  <c r="DA28" i="27"/>
  <c r="DA28" i="29" s="1"/>
  <c r="AA69" i="26"/>
  <c r="AC69" i="26" s="1"/>
  <c r="DC28" i="27"/>
  <c r="DC28" i="29" s="1"/>
  <c r="Z68" i="26"/>
  <c r="DB28" i="27"/>
  <c r="DB28" i="29" s="1"/>
  <c r="DF28" i="27"/>
  <c r="DF28" i="29" s="1"/>
  <c r="DV36" i="27"/>
  <c r="DV36" i="29" s="1"/>
  <c r="DN36" i="27"/>
  <c r="DN36" i="29" s="1"/>
  <c r="DM36" i="27"/>
  <c r="DM36" i="29" s="1"/>
  <c r="DL36" i="27"/>
  <c r="DL36" i="29" s="1"/>
  <c r="DK36" i="27"/>
  <c r="DK36" i="29" s="1"/>
  <c r="EA36" i="27"/>
  <c r="EA36" i="29" s="1"/>
  <c r="DJ36" i="27"/>
  <c r="DJ36" i="29" s="1"/>
  <c r="DZ36" i="27"/>
  <c r="DZ36" i="29" s="1"/>
  <c r="DY36" i="27"/>
  <c r="DY36" i="29" s="1"/>
  <c r="DU36" i="27"/>
  <c r="DU36" i="29" s="1"/>
  <c r="DP36" i="27"/>
  <c r="DP36" i="29" s="1"/>
  <c r="DO36" i="27"/>
  <c r="DO36" i="29" s="1"/>
  <c r="DX36" i="27"/>
  <c r="DX36" i="29" s="1"/>
  <c r="DW36" i="27"/>
  <c r="DW36" i="29" s="1"/>
  <c r="DT36" i="27"/>
  <c r="DT36" i="29" s="1"/>
  <c r="DS36" i="27"/>
  <c r="DS36" i="29" s="1"/>
  <c r="DQ36" i="27"/>
  <c r="DQ36" i="29" s="1"/>
  <c r="Z62" i="26"/>
  <c r="DR36" i="27"/>
  <c r="DR36" i="29" s="1"/>
  <c r="AA61" i="26"/>
  <c r="AC61" i="26" s="1"/>
  <c r="BE55" i="29"/>
  <c r="AA562" i="26"/>
  <c r="AC562" i="26" s="1"/>
  <c r="BD55" i="29"/>
  <c r="CA38" i="27"/>
  <c r="CA38" i="29" s="1"/>
  <c r="CL38" i="27"/>
  <c r="CL38" i="29" s="1"/>
  <c r="BW38" i="27"/>
  <c r="BW38" i="29" s="1"/>
  <c r="CN38" i="27"/>
  <c r="CN38" i="29" s="1"/>
  <c r="CM38" i="27"/>
  <c r="CM38" i="29" s="1"/>
  <c r="CK38" i="27"/>
  <c r="CK38" i="29" s="1"/>
  <c r="CJ38" i="27"/>
  <c r="CJ38" i="29" s="1"/>
  <c r="CI38" i="27"/>
  <c r="CI38" i="29" s="1"/>
  <c r="CH38" i="27"/>
  <c r="CH38" i="29" s="1"/>
  <c r="CE38" i="27"/>
  <c r="CE38" i="29" s="1"/>
  <c r="BY38" i="27"/>
  <c r="BY38" i="29" s="1"/>
  <c r="BX38" i="27"/>
  <c r="BX38" i="29" s="1"/>
  <c r="CG38" i="27"/>
  <c r="CG38" i="29" s="1"/>
  <c r="CF38" i="27"/>
  <c r="CF38" i="29" s="1"/>
  <c r="CD38" i="27"/>
  <c r="CD38" i="29" s="1"/>
  <c r="CC38" i="27"/>
  <c r="CC38" i="29" s="1"/>
  <c r="CB38" i="27"/>
  <c r="CB38" i="29" s="1"/>
  <c r="BZ38" i="27"/>
  <c r="BZ38" i="29" s="1"/>
  <c r="Z98" i="26"/>
  <c r="Z604" i="26" s="1"/>
  <c r="AA97" i="26"/>
  <c r="AC97" i="26" s="1"/>
  <c r="V58" i="27"/>
  <c r="V58" i="29" s="1"/>
  <c r="F58" i="27"/>
  <c r="F58" i="29" s="1"/>
  <c r="J58" i="27"/>
  <c r="J58" i="29" s="1"/>
  <c r="I58" i="27"/>
  <c r="I58" i="29" s="1"/>
  <c r="Y58" i="27"/>
  <c r="Y58" i="29" s="1"/>
  <c r="H58" i="27"/>
  <c r="H58" i="29" s="1"/>
  <c r="X58" i="27"/>
  <c r="X58" i="29" s="1"/>
  <c r="G58" i="27"/>
  <c r="G58" i="29" s="1"/>
  <c r="W58" i="27"/>
  <c r="W58" i="29" s="1"/>
  <c r="U58" i="27"/>
  <c r="U58" i="29" s="1"/>
  <c r="T58" i="27"/>
  <c r="T58" i="29" s="1"/>
  <c r="S58" i="27"/>
  <c r="S58" i="29" s="1"/>
  <c r="R58" i="27"/>
  <c r="R58" i="29" s="1"/>
  <c r="Q58" i="27"/>
  <c r="Q58" i="29" s="1"/>
  <c r="P58" i="27"/>
  <c r="P58" i="29" s="1"/>
  <c r="O58" i="27"/>
  <c r="O58" i="29" s="1"/>
  <c r="N58" i="27"/>
  <c r="N58" i="29" s="1"/>
  <c r="M58" i="27"/>
  <c r="M58" i="29" s="1"/>
  <c r="L58" i="27"/>
  <c r="L58" i="29" s="1"/>
  <c r="K58" i="27"/>
  <c r="K58" i="29" s="1"/>
  <c r="Z236" i="26"/>
  <c r="AA235" i="26"/>
  <c r="AC235" i="26" s="1"/>
  <c r="ET26" i="27"/>
  <c r="ET26" i="29" s="1"/>
  <c r="ED26" i="27"/>
  <c r="ED26" i="29" s="1"/>
  <c r="ER26" i="27"/>
  <c r="ER26" i="29" s="1"/>
  <c r="EQ26" i="27"/>
  <c r="EQ26" i="29" s="1"/>
  <c r="EP26" i="27"/>
  <c r="EP26" i="29" s="1"/>
  <c r="EO26" i="27"/>
  <c r="EO26" i="29" s="1"/>
  <c r="EN26" i="27"/>
  <c r="EN26" i="29" s="1"/>
  <c r="EK26" i="27"/>
  <c r="EK26" i="29" s="1"/>
  <c r="EF26" i="27"/>
  <c r="EF26" i="29" s="1"/>
  <c r="Z788" i="26"/>
  <c r="EU26" i="27"/>
  <c r="EU26" i="29" s="1"/>
  <c r="ES26" i="27"/>
  <c r="ES26" i="29" s="1"/>
  <c r="EM26" i="27"/>
  <c r="EM26" i="29" s="1"/>
  <c r="EL26" i="27"/>
  <c r="EL26" i="29" s="1"/>
  <c r="EJ26" i="27"/>
  <c r="EJ26" i="29" s="1"/>
  <c r="EI26" i="27"/>
  <c r="EI26" i="29" s="1"/>
  <c r="EH26" i="27"/>
  <c r="EH26" i="29" s="1"/>
  <c r="EG26" i="27"/>
  <c r="EG26" i="29" s="1"/>
  <c r="EE26" i="27"/>
  <c r="EE26" i="29" s="1"/>
  <c r="Z17" i="26"/>
  <c r="AA18" i="26"/>
  <c r="AC18" i="26" s="1"/>
  <c r="EC26" i="27"/>
  <c r="EC26" i="29" s="1"/>
  <c r="BN46" i="27"/>
  <c r="BN46" i="29" s="1"/>
  <c r="BL46" i="27"/>
  <c r="BL46" i="29" s="1"/>
  <c r="BK46" i="27"/>
  <c r="BK46" i="29" s="1"/>
  <c r="BI46" i="27"/>
  <c r="BI46" i="29" s="1"/>
  <c r="BZ46" i="27"/>
  <c r="BZ46" i="29" s="1"/>
  <c r="BH46" i="27"/>
  <c r="BH46" i="29" s="1"/>
  <c r="BY46" i="27"/>
  <c r="BY46" i="29" s="1"/>
  <c r="BW46" i="27"/>
  <c r="BW46" i="29" s="1"/>
  <c r="BV46" i="27"/>
  <c r="BV46" i="29" s="1"/>
  <c r="BU46" i="27"/>
  <c r="BU46" i="29" s="1"/>
  <c r="BT46" i="27"/>
  <c r="BT46" i="29" s="1"/>
  <c r="BS46" i="27"/>
  <c r="BS46" i="29" s="1"/>
  <c r="BR46" i="27"/>
  <c r="BR46" i="29" s="1"/>
  <c r="BQ46" i="27"/>
  <c r="BQ46" i="29" s="1"/>
  <c r="BP46" i="27"/>
  <c r="BP46" i="29" s="1"/>
  <c r="BO46" i="27"/>
  <c r="BO46" i="29" s="1"/>
  <c r="BM46" i="27"/>
  <c r="BM46" i="29" s="1"/>
  <c r="BF46" i="27"/>
  <c r="BF46" i="29" s="1"/>
  <c r="BX46" i="27"/>
  <c r="BX46" i="29" s="1"/>
  <c r="BJ46" i="27"/>
  <c r="BJ46" i="29" s="1"/>
  <c r="BG46" i="27"/>
  <c r="BG46" i="29" s="1"/>
  <c r="AA160" i="26"/>
  <c r="AC160" i="26" s="1"/>
  <c r="Z159" i="26"/>
  <c r="AT75" i="27"/>
  <c r="AT75" i="29" s="1"/>
  <c r="AD75" i="27"/>
  <c r="AD75" i="29" s="1"/>
  <c r="AS75" i="27"/>
  <c r="AS75" i="29" s="1"/>
  <c r="AC75" i="27"/>
  <c r="AC75" i="29" s="1"/>
  <c r="AR75" i="27"/>
  <c r="AR75" i="29" s="1"/>
  <c r="AB75" i="27"/>
  <c r="AB75" i="29" s="1"/>
  <c r="AP75" i="27"/>
  <c r="AP75" i="29" s="1"/>
  <c r="AO75" i="27"/>
  <c r="AO75" i="29" s="1"/>
  <c r="AK75" i="27"/>
  <c r="AK75" i="29" s="1"/>
  <c r="AU75" i="27"/>
  <c r="AU75" i="29" s="1"/>
  <c r="AQ75" i="27"/>
  <c r="AQ75" i="29" s="1"/>
  <c r="AN75" i="27"/>
  <c r="AN75" i="29" s="1"/>
  <c r="AM75" i="27"/>
  <c r="AM75" i="29" s="1"/>
  <c r="AL75" i="27"/>
  <c r="AL75" i="29" s="1"/>
  <c r="AJ75" i="27"/>
  <c r="AJ75" i="29" s="1"/>
  <c r="AI75" i="27"/>
  <c r="AI75" i="29" s="1"/>
  <c r="AH75" i="27"/>
  <c r="AH75" i="29" s="1"/>
  <c r="AF75" i="27"/>
  <c r="AF75" i="29" s="1"/>
  <c r="AG75" i="27"/>
  <c r="AG75" i="29" s="1"/>
  <c r="AE75" i="27"/>
  <c r="AE75" i="29" s="1"/>
  <c r="AA218" i="26"/>
  <c r="AC218" i="26" s="1"/>
  <c r="Z219" i="26"/>
  <c r="AA75" i="27"/>
  <c r="AA75" i="29" s="1"/>
  <c r="AF49" i="30" l="1"/>
  <c r="AL22" i="30"/>
  <c r="R93" i="30"/>
  <c r="Z597" i="26"/>
  <c r="Z594" i="26"/>
  <c r="Z593" i="26" s="1"/>
  <c r="Z592" i="26" s="1"/>
  <c r="Z591" i="26" s="1"/>
  <c r="Z590" i="26" s="1"/>
  <c r="Z589" i="26" s="1"/>
  <c r="Z588" i="26" s="1"/>
  <c r="Z587" i="26" s="1"/>
  <c r="Z586" i="26" s="1"/>
  <c r="Z585" i="26" s="1"/>
  <c r="Z584" i="26" s="1"/>
  <c r="Z583" i="26" s="1"/>
  <c r="Z582" i="26" s="1"/>
  <c r="Z581" i="26" s="1"/>
  <c r="Z580" i="26" s="1"/>
  <c r="AW66" i="27"/>
  <c r="AW66" i="29" s="1"/>
  <c r="Z395" i="26"/>
  <c r="AM61" i="27"/>
  <c r="AN61" i="27"/>
  <c r="AO61" i="27"/>
  <c r="AP61" i="27"/>
  <c r="AQ61" i="27"/>
  <c r="AD61" i="27"/>
  <c r="AR61" i="27"/>
  <c r="AE61" i="27"/>
  <c r="AS61" i="27"/>
  <c r="AF61" i="27"/>
  <c r="AT61" i="27"/>
  <c r="AG61" i="27"/>
  <c r="AU61" i="27"/>
  <c r="AH61" i="27"/>
  <c r="Z896" i="26"/>
  <c r="AI61" i="27"/>
  <c r="AC61" i="27"/>
  <c r="AJ61" i="27"/>
  <c r="AK61" i="27"/>
  <c r="AL61" i="27"/>
  <c r="N83" i="30"/>
  <c r="K24" i="41"/>
  <c r="L23" i="41"/>
  <c r="AN25" i="30"/>
  <c r="S88" i="30"/>
  <c r="S93" i="30" s="1"/>
  <c r="AN24" i="30"/>
  <c r="AN22" i="30"/>
  <c r="AN41" i="30"/>
  <c r="AN33" i="30"/>
  <c r="AN45" i="30"/>
  <c r="AN46" i="30"/>
  <c r="AN21" i="30"/>
  <c r="AN43" i="30"/>
  <c r="AN37" i="30"/>
  <c r="AN39" i="30"/>
  <c r="AN32" i="30"/>
  <c r="AN40" i="30"/>
  <c r="AN35" i="30"/>
  <c r="AN29" i="30"/>
  <c r="AN26" i="30"/>
  <c r="AN31" i="30"/>
  <c r="AN27" i="30"/>
  <c r="R244" i="25"/>
  <c r="P244" i="25"/>
  <c r="Q244" i="25" s="1"/>
  <c r="Z244" i="25"/>
  <c r="AA244" i="25"/>
  <c r="AE244" i="25" s="1"/>
  <c r="Y244" i="25"/>
  <c r="Z179" i="25"/>
  <c r="X179" i="25"/>
  <c r="V218" i="25"/>
  <c r="AA218" i="25" s="1"/>
  <c r="AE218" i="25" s="1"/>
  <c r="R218" i="25"/>
  <c r="R198" i="25"/>
  <c r="V198" i="25"/>
  <c r="AA198" i="25" s="1"/>
  <c r="AE198" i="25" s="1"/>
  <c r="Y179" i="25"/>
  <c r="V188" i="25"/>
  <c r="AA188" i="25" s="1"/>
  <c r="AE188" i="25" s="1"/>
  <c r="R188" i="25"/>
  <c r="R231" i="25"/>
  <c r="V231" i="25"/>
  <c r="Y231" i="25" s="1"/>
  <c r="CB27" i="27"/>
  <c r="CC27" i="27"/>
  <c r="CD27" i="27"/>
  <c r="CE27" i="27"/>
  <c r="CF27" i="27"/>
  <c r="BD56" i="27"/>
  <c r="BE56" i="27"/>
  <c r="AZ46" i="27"/>
  <c r="BA46" i="27"/>
  <c r="BB46" i="27"/>
  <c r="BC46" i="27"/>
  <c r="BD46" i="27"/>
  <c r="BE46" i="27"/>
  <c r="BG42" i="27"/>
  <c r="BH42" i="27"/>
  <c r="BI42" i="27"/>
  <c r="BJ42" i="27"/>
  <c r="BK42" i="27"/>
  <c r="BL42" i="27"/>
  <c r="BM42" i="27"/>
  <c r="BN42" i="27"/>
  <c r="BO42" i="27"/>
  <c r="BP42" i="27"/>
  <c r="BQ42" i="27"/>
  <c r="BR42" i="27"/>
  <c r="BS42" i="27"/>
  <c r="BT42" i="27"/>
  <c r="BU42" i="27"/>
  <c r="BV42" i="27"/>
  <c r="BW42" i="27"/>
  <c r="BX42" i="27"/>
  <c r="BY42" i="27"/>
  <c r="BF42" i="27"/>
  <c r="AA597" i="26"/>
  <c r="AC597" i="26" s="1"/>
  <c r="Z598" i="26"/>
  <c r="Z512" i="26"/>
  <c r="DX70" i="27"/>
  <c r="DX70" i="29" s="1"/>
  <c r="DY70" i="27"/>
  <c r="DY70" i="29" s="1"/>
  <c r="DL70" i="27"/>
  <c r="DL70" i="29" s="1"/>
  <c r="DM70" i="27"/>
  <c r="DM70" i="29" s="1"/>
  <c r="DN70" i="27"/>
  <c r="DN70" i="29" s="1"/>
  <c r="DO70" i="27"/>
  <c r="DO70" i="29" s="1"/>
  <c r="DP70" i="27"/>
  <c r="DP70" i="29" s="1"/>
  <c r="DQ70" i="27"/>
  <c r="DQ70" i="29" s="1"/>
  <c r="DR70" i="27"/>
  <c r="DR70" i="29" s="1"/>
  <c r="DS70" i="27"/>
  <c r="DS70" i="29" s="1"/>
  <c r="DT70" i="27"/>
  <c r="DT70" i="29" s="1"/>
  <c r="DU70" i="27"/>
  <c r="DU70" i="29" s="1"/>
  <c r="DV70" i="27"/>
  <c r="DV70" i="29" s="1"/>
  <c r="DW70" i="27"/>
  <c r="DW70" i="29" s="1"/>
  <c r="AA511" i="26"/>
  <c r="AC511" i="26" s="1"/>
  <c r="CP73" i="27"/>
  <c r="CP73" i="29" s="1"/>
  <c r="AA491" i="26"/>
  <c r="AC491" i="26" s="1"/>
  <c r="Z450" i="26"/>
  <c r="Z434" i="26"/>
  <c r="Z425" i="26"/>
  <c r="Z431" i="26" s="1"/>
  <c r="Z430" i="26" s="1"/>
  <c r="Z429" i="26" s="1"/>
  <c r="AY63" i="27"/>
  <c r="AY63" i="29" s="1"/>
  <c r="AZ63" i="27"/>
  <c r="AZ63" i="29" s="1"/>
  <c r="BA63" i="27"/>
  <c r="BA63" i="29" s="1"/>
  <c r="BB63" i="27"/>
  <c r="BB63" i="29" s="1"/>
  <c r="BC63" i="27"/>
  <c r="BC63" i="29" s="1"/>
  <c r="BD63" i="27"/>
  <c r="BD63" i="29" s="1"/>
  <c r="BE63" i="27"/>
  <c r="BE63" i="29" s="1"/>
  <c r="BF63" i="27"/>
  <c r="BF63" i="29" s="1"/>
  <c r="BG63" i="27"/>
  <c r="BG63" i="29" s="1"/>
  <c r="BH63" i="27"/>
  <c r="BH63" i="29" s="1"/>
  <c r="BI63" i="27"/>
  <c r="BI63" i="29" s="1"/>
  <c r="BJ63" i="27"/>
  <c r="BJ63" i="29" s="1"/>
  <c r="BK63" i="27"/>
  <c r="BK63" i="29" s="1"/>
  <c r="BL63" i="27"/>
  <c r="BL63" i="29" s="1"/>
  <c r="BM63" i="27"/>
  <c r="BM63" i="29" s="1"/>
  <c r="BN63" i="27"/>
  <c r="BN63" i="29" s="1"/>
  <c r="BO63" i="27"/>
  <c r="BO63" i="29" s="1"/>
  <c r="BP63" i="27"/>
  <c r="BP63" i="29" s="1"/>
  <c r="BQ63" i="27"/>
  <c r="BQ63" i="29" s="1"/>
  <c r="BR63" i="27"/>
  <c r="BR63" i="29" s="1"/>
  <c r="AX63" i="27"/>
  <c r="AX63" i="29" s="1"/>
  <c r="AA415" i="26"/>
  <c r="AC415" i="26" s="1"/>
  <c r="Z416" i="26"/>
  <c r="Z472" i="26"/>
  <c r="Z471" i="26" s="1"/>
  <c r="BS61" i="27"/>
  <c r="BS61" i="29" s="1"/>
  <c r="BU61" i="27"/>
  <c r="BU61" i="29" s="1"/>
  <c r="BV61" i="27"/>
  <c r="BV61" i="29" s="1"/>
  <c r="BW61" i="27"/>
  <c r="BW61" i="29" s="1"/>
  <c r="BX61" i="27"/>
  <c r="BX61" i="29" s="1"/>
  <c r="BY61" i="27"/>
  <c r="BY61" i="29" s="1"/>
  <c r="BZ61" i="27"/>
  <c r="BZ61" i="29" s="1"/>
  <c r="CA61" i="27"/>
  <c r="CA61" i="29" s="1"/>
  <c r="CB61" i="27"/>
  <c r="CB61" i="29" s="1"/>
  <c r="BT61" i="27"/>
  <c r="BT61" i="29" s="1"/>
  <c r="AA473" i="26"/>
  <c r="AC473" i="26" s="1"/>
  <c r="AA396" i="26"/>
  <c r="AC396" i="26" s="1"/>
  <c r="AV66" i="27"/>
  <c r="AV66" i="29" s="1"/>
  <c r="AA406" i="26"/>
  <c r="AC406" i="26" s="1"/>
  <c r="AV76" i="27"/>
  <c r="AV76" i="29" s="1"/>
  <c r="Z407" i="26"/>
  <c r="AA829" i="26"/>
  <c r="AC829" i="26" s="1"/>
  <c r="DV14" i="29"/>
  <c r="EI11" i="27"/>
  <c r="EI11" i="29" s="1"/>
  <c r="EL11" i="27"/>
  <c r="EL11" i="29" s="1"/>
  <c r="EK11" i="27"/>
  <c r="EK11" i="29" s="1"/>
  <c r="AA814" i="26"/>
  <c r="AC814" i="26" s="1"/>
  <c r="EJ11" i="27"/>
  <c r="EJ11" i="29" s="1"/>
  <c r="G80" i="27"/>
  <c r="G80" i="29" s="1"/>
  <c r="F80" i="27"/>
  <c r="F80" i="29" s="1"/>
  <c r="Z319" i="26"/>
  <c r="AA318" i="26"/>
  <c r="AC318" i="26" s="1"/>
  <c r="EJ16" i="27"/>
  <c r="EJ16" i="29" s="1"/>
  <c r="EE16" i="27"/>
  <c r="EE16" i="29" s="1"/>
  <c r="DY16" i="27"/>
  <c r="DY16" i="29" s="1"/>
  <c r="DX16" i="27"/>
  <c r="DX16" i="29" s="1"/>
  <c r="EM16" i="27"/>
  <c r="EM16" i="29" s="1"/>
  <c r="EI16" i="27"/>
  <c r="EI16" i="29" s="1"/>
  <c r="Z830" i="26"/>
  <c r="DV15" i="27" s="1"/>
  <c r="EC16" i="27"/>
  <c r="EC16" i="29" s="1"/>
  <c r="EB16" i="27"/>
  <c r="EB16" i="29" s="1"/>
  <c r="ED16" i="27"/>
  <c r="ED16" i="29" s="1"/>
  <c r="AA9" i="26"/>
  <c r="AC9" i="26" s="1"/>
  <c r="DW16" i="27"/>
  <c r="DW16" i="29" s="1"/>
  <c r="EH16" i="27"/>
  <c r="EH16" i="29" s="1"/>
  <c r="Z10" i="26"/>
  <c r="EG16" i="27"/>
  <c r="EG16" i="29" s="1"/>
  <c r="EF16" i="27"/>
  <c r="EF16" i="29" s="1"/>
  <c r="EA16" i="27"/>
  <c r="EA16" i="29" s="1"/>
  <c r="EL16" i="27"/>
  <c r="EL16" i="29" s="1"/>
  <c r="DZ16" i="27"/>
  <c r="DZ16" i="29" s="1"/>
  <c r="EK16" i="27"/>
  <c r="EK16" i="29" s="1"/>
  <c r="AA343" i="26"/>
  <c r="AC343" i="26" s="1"/>
  <c r="Z65" i="29"/>
  <c r="Z342" i="26"/>
  <c r="EP15" i="27"/>
  <c r="EP15" i="29" s="1"/>
  <c r="AA796" i="26"/>
  <c r="AC796" i="26" s="1"/>
  <c r="EO15" i="27"/>
  <c r="EO15" i="29" s="1"/>
  <c r="EN15" i="27"/>
  <c r="EN15" i="29" s="1"/>
  <c r="Z797" i="26"/>
  <c r="G70" i="27"/>
  <c r="G70" i="29" s="1"/>
  <c r="E70" i="27"/>
  <c r="E70" i="29" s="1"/>
  <c r="F70" i="27"/>
  <c r="F70" i="29" s="1"/>
  <c r="AA308" i="26"/>
  <c r="AC308" i="26" s="1"/>
  <c r="Z307" i="26"/>
  <c r="BZ45" i="27"/>
  <c r="BZ45" i="29" s="1"/>
  <c r="BJ45" i="27"/>
  <c r="BJ45" i="29" s="1"/>
  <c r="BX45" i="27"/>
  <c r="BX45" i="29" s="1"/>
  <c r="BH45" i="27"/>
  <c r="BH45" i="29" s="1"/>
  <c r="BK45" i="27"/>
  <c r="BK45" i="29" s="1"/>
  <c r="BG45" i="27"/>
  <c r="BG45" i="29" s="1"/>
  <c r="BY45" i="27"/>
  <c r="BY45" i="29" s="1"/>
  <c r="BF45" i="27"/>
  <c r="BF45" i="29" s="1"/>
  <c r="BU45" i="27"/>
  <c r="BU45" i="29" s="1"/>
  <c r="BT45" i="27"/>
  <c r="BT45" i="29" s="1"/>
  <c r="BS45" i="27"/>
  <c r="BS45" i="29" s="1"/>
  <c r="BN45" i="27"/>
  <c r="BN45" i="29" s="1"/>
  <c r="BM45" i="27"/>
  <c r="BM45" i="29" s="1"/>
  <c r="BL45" i="27"/>
  <c r="BL45" i="29" s="1"/>
  <c r="BI45" i="27"/>
  <c r="BI45" i="29" s="1"/>
  <c r="BP45" i="27"/>
  <c r="BP45" i="29" s="1"/>
  <c r="BO45" i="27"/>
  <c r="BO45" i="29" s="1"/>
  <c r="BW45" i="27"/>
  <c r="BW45" i="29" s="1"/>
  <c r="BV45" i="27"/>
  <c r="BV45" i="29" s="1"/>
  <c r="BR45" i="27"/>
  <c r="BR45" i="29" s="1"/>
  <c r="BQ45" i="27"/>
  <c r="BQ45" i="29" s="1"/>
  <c r="Z158" i="26"/>
  <c r="AA159" i="26"/>
  <c r="AC159" i="26" s="1"/>
  <c r="B47" i="27"/>
  <c r="B47" i="29" s="1"/>
  <c r="C47" i="27"/>
  <c r="C47" i="29" s="1"/>
  <c r="E47" i="27"/>
  <c r="E47" i="29" s="1"/>
  <c r="D47" i="27"/>
  <c r="D47" i="29" s="1"/>
  <c r="Z279" i="26"/>
  <c r="AA280" i="26"/>
  <c r="AC280" i="26" s="1"/>
  <c r="T82" i="27"/>
  <c r="T82" i="29" s="1"/>
  <c r="J82" i="27"/>
  <c r="J82" i="29" s="1"/>
  <c r="I82" i="27"/>
  <c r="I82" i="29" s="1"/>
  <c r="Y82" i="27"/>
  <c r="Y82" i="29" s="1"/>
  <c r="H82" i="27"/>
  <c r="H82" i="29" s="1"/>
  <c r="X82" i="27"/>
  <c r="X82" i="29" s="1"/>
  <c r="W82" i="27"/>
  <c r="W82" i="29" s="1"/>
  <c r="V82" i="27"/>
  <c r="V82" i="29" s="1"/>
  <c r="Q82" i="27"/>
  <c r="Q82" i="29" s="1"/>
  <c r="U82" i="27"/>
  <c r="U82" i="29" s="1"/>
  <c r="S82" i="27"/>
  <c r="S82" i="29" s="1"/>
  <c r="R82" i="27"/>
  <c r="R82" i="29" s="1"/>
  <c r="P82" i="27"/>
  <c r="P82" i="29" s="1"/>
  <c r="O82" i="27"/>
  <c r="O82" i="29" s="1"/>
  <c r="M82" i="27"/>
  <c r="M82" i="29" s="1"/>
  <c r="N82" i="27"/>
  <c r="N82" i="29" s="1"/>
  <c r="L82" i="27"/>
  <c r="L82" i="29" s="1"/>
  <c r="K82" i="27"/>
  <c r="K82" i="29" s="1"/>
  <c r="AA257" i="26"/>
  <c r="AC257" i="26" s="1"/>
  <c r="Z258" i="26"/>
  <c r="BG41" i="27"/>
  <c r="BG41" i="29" s="1"/>
  <c r="BT41" i="27"/>
  <c r="BT41" i="29" s="1"/>
  <c r="BC41" i="27"/>
  <c r="BC41" i="29" s="1"/>
  <c r="BF41" i="27"/>
  <c r="BF41" i="29" s="1"/>
  <c r="BE41" i="27"/>
  <c r="BE41" i="29" s="1"/>
  <c r="BD41" i="27"/>
  <c r="BD41" i="29" s="1"/>
  <c r="BU41" i="27"/>
  <c r="BU41" i="29" s="1"/>
  <c r="BB41" i="27"/>
  <c r="BB41" i="29" s="1"/>
  <c r="BS41" i="27"/>
  <c r="BS41" i="29" s="1"/>
  <c r="BR41" i="27"/>
  <c r="BR41" i="29" s="1"/>
  <c r="BQ41" i="27"/>
  <c r="BQ41" i="29" s="1"/>
  <c r="BN41" i="27"/>
  <c r="BN41" i="29" s="1"/>
  <c r="BI41" i="27"/>
  <c r="BI41" i="29" s="1"/>
  <c r="BH41" i="27"/>
  <c r="BH41" i="29" s="1"/>
  <c r="BP41" i="27"/>
  <c r="BP41" i="29" s="1"/>
  <c r="BO41" i="27"/>
  <c r="BO41" i="29" s="1"/>
  <c r="BM41" i="27"/>
  <c r="BM41" i="29" s="1"/>
  <c r="BL41" i="27"/>
  <c r="BL41" i="29" s="1"/>
  <c r="BK41" i="27"/>
  <c r="BK41" i="29" s="1"/>
  <c r="BJ41" i="27"/>
  <c r="BJ41" i="29" s="1"/>
  <c r="AA115" i="26"/>
  <c r="AC115" i="26" s="1"/>
  <c r="DH39" i="27"/>
  <c r="DH39" i="29" s="1"/>
  <c r="CR39" i="27"/>
  <c r="CR39" i="29" s="1"/>
  <c r="CT39" i="27"/>
  <c r="CT39" i="29" s="1"/>
  <c r="DC39" i="27"/>
  <c r="DC39" i="29" s="1"/>
  <c r="DB39" i="27"/>
  <c r="DB39" i="29" s="1"/>
  <c r="DA39" i="27"/>
  <c r="DA39" i="29" s="1"/>
  <c r="CZ39" i="27"/>
  <c r="CZ39" i="29" s="1"/>
  <c r="CY39" i="27"/>
  <c r="CY39" i="29" s="1"/>
  <c r="CX39" i="27"/>
  <c r="CX39" i="29" s="1"/>
  <c r="CW39" i="27"/>
  <c r="CW39" i="29" s="1"/>
  <c r="CS39" i="27"/>
  <c r="CS39" i="29" s="1"/>
  <c r="DE39" i="27"/>
  <c r="DE39" i="29" s="1"/>
  <c r="DD39" i="27"/>
  <c r="DD39" i="29" s="1"/>
  <c r="CV39" i="27"/>
  <c r="CV39" i="29" s="1"/>
  <c r="CU39" i="27"/>
  <c r="CU39" i="29" s="1"/>
  <c r="CQ39" i="27"/>
  <c r="CQ39" i="29" s="1"/>
  <c r="DG39" i="27"/>
  <c r="DG39" i="29" s="1"/>
  <c r="Z81" i="26"/>
  <c r="AA80" i="26"/>
  <c r="AC80" i="26" s="1"/>
  <c r="DF39" i="27"/>
  <c r="DF39" i="29" s="1"/>
  <c r="CX73" i="27"/>
  <c r="CX73" i="29" s="1"/>
  <c r="CW73" i="27"/>
  <c r="CW73" i="29" s="1"/>
  <c r="CV73" i="27"/>
  <c r="CV73" i="29" s="1"/>
  <c r="DJ73" i="27"/>
  <c r="DJ73" i="29" s="1"/>
  <c r="CT73" i="27"/>
  <c r="CT73" i="29" s="1"/>
  <c r="DI73" i="27"/>
  <c r="DI73" i="29" s="1"/>
  <c r="CS73" i="27"/>
  <c r="CS73" i="29" s="1"/>
  <c r="DE73" i="27"/>
  <c r="DE73" i="29" s="1"/>
  <c r="DC73" i="27"/>
  <c r="DC73" i="29" s="1"/>
  <c r="DB73" i="27"/>
  <c r="DB73" i="29" s="1"/>
  <c r="DA73" i="27"/>
  <c r="DA73" i="29" s="1"/>
  <c r="CZ73" i="27"/>
  <c r="CZ73" i="29" s="1"/>
  <c r="CY73" i="27"/>
  <c r="CY73" i="29" s="1"/>
  <c r="CU73" i="27"/>
  <c r="CU73" i="29" s="1"/>
  <c r="CR73" i="27"/>
  <c r="CR73" i="29" s="1"/>
  <c r="CQ73" i="27"/>
  <c r="CQ73" i="29" s="1"/>
  <c r="DF73" i="27"/>
  <c r="DF73" i="29" s="1"/>
  <c r="DD73" i="27"/>
  <c r="DD73" i="29" s="1"/>
  <c r="DK73" i="27"/>
  <c r="DK73" i="29" s="1"/>
  <c r="DH73" i="27"/>
  <c r="DH73" i="29" s="1"/>
  <c r="DG73" i="27"/>
  <c r="DG73" i="29" s="1"/>
  <c r="AA180" i="26"/>
  <c r="AC180" i="26" s="1"/>
  <c r="Z181" i="26"/>
  <c r="Z492" i="26" s="1"/>
  <c r="BV38" i="27"/>
  <c r="BV38" i="29" s="1"/>
  <c r="AA603" i="26"/>
  <c r="AC603" i="26" s="1"/>
  <c r="DO60" i="27"/>
  <c r="DO60" i="29" s="1"/>
  <c r="CY60" i="27"/>
  <c r="CY60" i="29" s="1"/>
  <c r="DN60" i="27"/>
  <c r="DN60" i="29" s="1"/>
  <c r="DM60" i="27"/>
  <c r="DM60" i="29" s="1"/>
  <c r="DS60" i="27"/>
  <c r="DS60" i="29" s="1"/>
  <c r="CZ60" i="27"/>
  <c r="CZ60" i="29" s="1"/>
  <c r="DR60" i="27"/>
  <c r="DR60" i="29" s="1"/>
  <c r="DQ60" i="27"/>
  <c r="DQ60" i="29" s="1"/>
  <c r="DP60" i="27"/>
  <c r="DP60" i="29" s="1"/>
  <c r="DL60" i="27"/>
  <c r="DL60" i="29" s="1"/>
  <c r="DK60" i="27"/>
  <c r="DK60" i="29" s="1"/>
  <c r="DJ60" i="27"/>
  <c r="DJ60" i="29" s="1"/>
  <c r="DI60" i="27"/>
  <c r="DI60" i="29" s="1"/>
  <c r="DH60" i="27"/>
  <c r="DH60" i="29" s="1"/>
  <c r="DG60" i="27"/>
  <c r="DG60" i="29" s="1"/>
  <c r="DE60" i="27"/>
  <c r="DE60" i="29" s="1"/>
  <c r="DD60" i="27"/>
  <c r="DD60" i="29" s="1"/>
  <c r="DC60" i="27"/>
  <c r="DC60" i="29" s="1"/>
  <c r="DB60" i="27"/>
  <c r="DB60" i="29" s="1"/>
  <c r="DA60" i="27"/>
  <c r="DA60" i="29" s="1"/>
  <c r="DF60" i="27"/>
  <c r="DF60" i="29" s="1"/>
  <c r="DV60" i="27"/>
  <c r="Z133" i="26"/>
  <c r="Z551" i="26" s="1"/>
  <c r="AA132" i="26"/>
  <c r="AC132" i="26" s="1"/>
  <c r="CH60" i="27"/>
  <c r="CH60" i="29" s="1"/>
  <c r="CW60" i="27"/>
  <c r="CW60" i="29" s="1"/>
  <c r="CG60" i="27"/>
  <c r="CG60" i="29" s="1"/>
  <c r="CV60" i="27"/>
  <c r="CV60" i="29" s="1"/>
  <c r="CF60" i="27"/>
  <c r="CF60" i="29" s="1"/>
  <c r="CC60" i="27"/>
  <c r="CC60" i="29" s="1"/>
  <c r="CU60" i="27"/>
  <c r="CU60" i="29" s="1"/>
  <c r="CT60" i="27"/>
  <c r="CT60" i="29" s="1"/>
  <c r="CS60" i="27"/>
  <c r="CS60" i="29" s="1"/>
  <c r="CR60" i="27"/>
  <c r="CR60" i="29" s="1"/>
  <c r="CQ60" i="27"/>
  <c r="CQ60" i="29" s="1"/>
  <c r="CP60" i="27"/>
  <c r="CP60" i="29" s="1"/>
  <c r="CO60" i="27"/>
  <c r="CO60" i="29" s="1"/>
  <c r="CN60" i="27"/>
  <c r="CN60" i="29" s="1"/>
  <c r="CM60" i="27"/>
  <c r="CM60" i="29" s="1"/>
  <c r="CL60" i="27"/>
  <c r="CL60" i="29" s="1"/>
  <c r="CK60" i="27"/>
  <c r="CK60" i="29" s="1"/>
  <c r="CJ60" i="27"/>
  <c r="CJ60" i="29" s="1"/>
  <c r="CI60" i="27"/>
  <c r="CI60" i="29" s="1"/>
  <c r="CE60" i="27"/>
  <c r="CE60" i="29" s="1"/>
  <c r="CD60" i="27"/>
  <c r="CD60" i="29" s="1"/>
  <c r="Z154" i="26"/>
  <c r="AA153" i="26"/>
  <c r="AC153" i="26" s="1"/>
  <c r="EV26" i="27"/>
  <c r="EV26" i="29" s="1"/>
  <c r="EW26" i="27"/>
  <c r="EW26" i="29" s="1"/>
  <c r="AA788" i="26"/>
  <c r="AC788" i="26" s="1"/>
  <c r="EX26" i="27"/>
  <c r="EX26" i="29" s="1"/>
  <c r="M59" i="27"/>
  <c r="M59" i="29" s="1"/>
  <c r="X59" i="27"/>
  <c r="X59" i="29" s="1"/>
  <c r="G59" i="27"/>
  <c r="G59" i="29" s="1"/>
  <c r="W59" i="27"/>
  <c r="W59" i="29" s="1"/>
  <c r="F59" i="27"/>
  <c r="F59" i="29" s="1"/>
  <c r="V59" i="27"/>
  <c r="V59" i="29" s="1"/>
  <c r="U59" i="27"/>
  <c r="U59" i="29" s="1"/>
  <c r="T59" i="27"/>
  <c r="T59" i="29" s="1"/>
  <c r="S59" i="27"/>
  <c r="S59" i="29" s="1"/>
  <c r="R59" i="27"/>
  <c r="R59" i="29" s="1"/>
  <c r="Q59" i="27"/>
  <c r="Q59" i="29" s="1"/>
  <c r="P59" i="27"/>
  <c r="P59" i="29" s="1"/>
  <c r="O59" i="27"/>
  <c r="O59" i="29" s="1"/>
  <c r="L59" i="27"/>
  <c r="L59" i="29" s="1"/>
  <c r="K59" i="27"/>
  <c r="K59" i="29" s="1"/>
  <c r="J59" i="27"/>
  <c r="J59" i="29" s="1"/>
  <c r="I59" i="27"/>
  <c r="I59" i="29" s="1"/>
  <c r="H59" i="27"/>
  <c r="H59" i="29" s="1"/>
  <c r="Y59" i="27"/>
  <c r="Y59" i="29" s="1"/>
  <c r="AA236" i="26"/>
  <c r="AC236" i="26" s="1"/>
  <c r="Z237" i="26"/>
  <c r="N59" i="27"/>
  <c r="N59" i="29" s="1"/>
  <c r="AL62" i="27"/>
  <c r="AL62" i="29" s="1"/>
  <c r="AK62" i="27"/>
  <c r="AK62" i="29" s="1"/>
  <c r="AJ62" i="27"/>
  <c r="AJ62" i="29" s="1"/>
  <c r="AE62" i="27"/>
  <c r="AE62" i="29" s="1"/>
  <c r="AD62" i="27"/>
  <c r="AD62" i="29" s="1"/>
  <c r="AC62" i="27"/>
  <c r="AC62" i="29" s="1"/>
  <c r="AU62" i="27"/>
  <c r="AU62" i="29" s="1"/>
  <c r="AB62" i="27"/>
  <c r="AB62" i="29" s="1"/>
  <c r="AT62" i="27"/>
  <c r="AT62" i="29" s="1"/>
  <c r="AA62" i="27"/>
  <c r="AA62" i="29" s="1"/>
  <c r="AS62" i="27"/>
  <c r="AS62" i="29" s="1"/>
  <c r="AR62" i="27"/>
  <c r="AR62" i="29" s="1"/>
  <c r="AQ62" i="27"/>
  <c r="AQ62" i="29" s="1"/>
  <c r="AP62" i="27"/>
  <c r="AP62" i="29" s="1"/>
  <c r="AO62" i="27"/>
  <c r="AO62" i="29" s="1"/>
  <c r="AN62" i="27"/>
  <c r="AN62" i="29" s="1"/>
  <c r="AM62" i="27"/>
  <c r="AM62" i="29" s="1"/>
  <c r="AI62" i="27"/>
  <c r="AI62" i="29" s="1"/>
  <c r="AH62" i="27"/>
  <c r="AH62" i="29" s="1"/>
  <c r="AG62" i="27"/>
  <c r="AG62" i="29" s="1"/>
  <c r="AF62" i="27"/>
  <c r="AF62" i="29" s="1"/>
  <c r="AA205" i="26"/>
  <c r="AC205" i="26" s="1"/>
  <c r="DU59" i="27"/>
  <c r="DU59" i="29" s="1"/>
  <c r="DT59" i="27"/>
  <c r="DT59" i="29" s="1"/>
  <c r="AA549" i="26"/>
  <c r="AC549" i="26" s="1"/>
  <c r="CN48" i="27"/>
  <c r="CN48" i="29" s="1"/>
  <c r="CL48" i="27"/>
  <c r="CL48" i="29" s="1"/>
  <c r="CU48" i="27"/>
  <c r="CU48" i="29" s="1"/>
  <c r="CE48" i="27"/>
  <c r="CE48" i="29" s="1"/>
  <c r="CW48" i="27"/>
  <c r="CW48" i="29" s="1"/>
  <c r="CC48" i="27"/>
  <c r="CC48" i="29" s="1"/>
  <c r="CT48" i="27"/>
  <c r="CT48" i="29" s="1"/>
  <c r="CS48" i="27"/>
  <c r="CS48" i="29" s="1"/>
  <c r="CR48" i="27"/>
  <c r="CR48" i="29" s="1"/>
  <c r="CQ48" i="27"/>
  <c r="CQ48" i="29" s="1"/>
  <c r="CP48" i="27"/>
  <c r="CP48" i="29" s="1"/>
  <c r="CO48" i="27"/>
  <c r="CO48" i="29" s="1"/>
  <c r="CM48" i="27"/>
  <c r="CM48" i="29" s="1"/>
  <c r="CJ48" i="27"/>
  <c r="CJ48" i="29" s="1"/>
  <c r="CD48" i="27"/>
  <c r="CD48" i="29" s="1"/>
  <c r="CV48" i="27"/>
  <c r="CV48" i="29" s="1"/>
  <c r="CK48" i="27"/>
  <c r="CK48" i="29" s="1"/>
  <c r="CI48" i="27"/>
  <c r="CI48" i="29" s="1"/>
  <c r="CH48" i="27"/>
  <c r="CH48" i="29" s="1"/>
  <c r="CG48" i="27"/>
  <c r="CG48" i="29" s="1"/>
  <c r="CF48" i="27"/>
  <c r="CF48" i="29" s="1"/>
  <c r="Z140" i="26"/>
  <c r="AA141" i="26"/>
  <c r="AC141" i="26" s="1"/>
  <c r="BK79" i="27"/>
  <c r="BK79" i="29" s="1"/>
  <c r="BJ79" i="27"/>
  <c r="BJ79" i="29" s="1"/>
  <c r="BI79" i="27"/>
  <c r="BI79" i="29" s="1"/>
  <c r="BH79" i="27"/>
  <c r="BH79" i="29" s="1"/>
  <c r="BG79" i="27"/>
  <c r="BG79" i="29" s="1"/>
  <c r="BF79" i="27"/>
  <c r="BF79" i="29" s="1"/>
  <c r="BR79" i="27"/>
  <c r="BR79" i="29" s="1"/>
  <c r="BB79" i="27"/>
  <c r="BB79" i="29" s="1"/>
  <c r="AY79" i="27"/>
  <c r="AY79" i="29" s="1"/>
  <c r="AX79" i="27"/>
  <c r="AX79" i="29" s="1"/>
  <c r="BQ79" i="27"/>
  <c r="BQ79" i="29" s="1"/>
  <c r="BP79" i="27"/>
  <c r="BP79" i="29" s="1"/>
  <c r="BO79" i="27"/>
  <c r="BO79" i="29" s="1"/>
  <c r="BM79" i="27"/>
  <c r="BM79" i="29" s="1"/>
  <c r="BA79" i="27"/>
  <c r="BA79" i="29" s="1"/>
  <c r="BN79" i="27"/>
  <c r="BN79" i="29" s="1"/>
  <c r="BL79" i="27"/>
  <c r="BL79" i="29" s="1"/>
  <c r="BE79" i="27"/>
  <c r="BE79" i="29" s="1"/>
  <c r="BD79" i="27"/>
  <c r="BD79" i="29" s="1"/>
  <c r="BC79" i="27"/>
  <c r="BC79" i="29" s="1"/>
  <c r="AZ79" i="27"/>
  <c r="AZ79" i="29" s="1"/>
  <c r="AA204" i="26"/>
  <c r="AC204" i="26" s="1"/>
  <c r="Z411" i="26"/>
  <c r="EC50" i="27"/>
  <c r="EC50" i="29" s="1"/>
  <c r="EB50" i="27"/>
  <c r="EB50" i="29" s="1"/>
  <c r="EA50" i="27"/>
  <c r="EA50" i="29" s="1"/>
  <c r="DV50" i="27"/>
  <c r="DV50" i="29" s="1"/>
  <c r="EJ50" i="27"/>
  <c r="EJ50" i="29" s="1"/>
  <c r="DY50" i="27"/>
  <c r="DY50" i="29" s="1"/>
  <c r="DW50" i="27"/>
  <c r="DW50" i="29" s="1"/>
  <c r="EK50" i="27"/>
  <c r="EK50" i="29" s="1"/>
  <c r="EI50" i="27"/>
  <c r="EI50" i="29" s="1"/>
  <c r="EH50" i="27"/>
  <c r="EH50" i="29" s="1"/>
  <c r="EG50" i="27"/>
  <c r="EG50" i="29" s="1"/>
  <c r="EF50" i="27"/>
  <c r="EF50" i="29" s="1"/>
  <c r="EE50" i="27"/>
  <c r="EE50" i="29" s="1"/>
  <c r="ED50" i="27"/>
  <c r="ED50" i="29" s="1"/>
  <c r="DZ50" i="27"/>
  <c r="DZ50" i="29" s="1"/>
  <c r="DX50" i="27"/>
  <c r="DX50" i="29" s="1"/>
  <c r="AA40" i="26"/>
  <c r="AC40" i="26" s="1"/>
  <c r="Z41" i="26"/>
  <c r="CK26" i="27"/>
  <c r="CK26" i="29" s="1"/>
  <c r="CN26" i="27"/>
  <c r="CN26" i="29" s="1"/>
  <c r="CM26" i="27"/>
  <c r="CM26" i="29" s="1"/>
  <c r="CL26" i="27"/>
  <c r="CL26" i="29" s="1"/>
  <c r="CJ26" i="27"/>
  <c r="CJ26" i="29" s="1"/>
  <c r="CI26" i="27"/>
  <c r="CI26" i="29" s="1"/>
  <c r="CH26" i="27"/>
  <c r="CH26" i="29" s="1"/>
  <c r="CG26" i="27"/>
  <c r="CG26" i="29" s="1"/>
  <c r="Z609" i="26"/>
  <c r="Z84" i="26"/>
  <c r="AA85" i="26"/>
  <c r="AC85" i="26" s="1"/>
  <c r="CM74" i="27"/>
  <c r="CM74" i="29" s="1"/>
  <c r="BW74" i="27"/>
  <c r="BW74" i="29" s="1"/>
  <c r="CL74" i="27"/>
  <c r="CL74" i="29" s="1"/>
  <c r="BV74" i="27"/>
  <c r="BV74" i="29" s="1"/>
  <c r="CK74" i="27"/>
  <c r="CK74" i="29" s="1"/>
  <c r="BU74" i="27"/>
  <c r="BU74" i="29" s="1"/>
  <c r="CI74" i="27"/>
  <c r="CI74" i="29" s="1"/>
  <c r="CH74" i="27"/>
  <c r="CH74" i="29" s="1"/>
  <c r="CD74" i="27"/>
  <c r="CD74" i="29" s="1"/>
  <c r="BZ74" i="27"/>
  <c r="BZ74" i="29" s="1"/>
  <c r="BY74" i="27"/>
  <c r="BY74" i="29" s="1"/>
  <c r="BX74" i="27"/>
  <c r="BX74" i="29" s="1"/>
  <c r="BT74" i="27"/>
  <c r="BT74" i="29" s="1"/>
  <c r="CO74" i="27"/>
  <c r="CO74" i="29" s="1"/>
  <c r="CJ74" i="27"/>
  <c r="CJ74" i="29" s="1"/>
  <c r="CB74" i="27"/>
  <c r="CB74" i="29" s="1"/>
  <c r="CN74" i="27"/>
  <c r="CN74" i="29" s="1"/>
  <c r="CC74" i="27"/>
  <c r="CC74" i="29" s="1"/>
  <c r="CA74" i="27"/>
  <c r="CA74" i="29" s="1"/>
  <c r="CF74" i="27"/>
  <c r="CF74" i="29" s="1"/>
  <c r="CE74" i="27"/>
  <c r="CE74" i="29" s="1"/>
  <c r="CG74" i="27"/>
  <c r="CG74" i="29" s="1"/>
  <c r="AA190" i="26"/>
  <c r="AC190" i="26" s="1"/>
  <c r="Z191" i="26"/>
  <c r="T68" i="27"/>
  <c r="T68" i="29" s="1"/>
  <c r="S68" i="27"/>
  <c r="S68" i="29" s="1"/>
  <c r="R68" i="27"/>
  <c r="R68" i="29" s="1"/>
  <c r="Q68" i="27"/>
  <c r="Q68" i="29" s="1"/>
  <c r="P68" i="27"/>
  <c r="P68" i="29" s="1"/>
  <c r="O68" i="27"/>
  <c r="O68" i="29" s="1"/>
  <c r="N68" i="27"/>
  <c r="N68" i="29" s="1"/>
  <c r="V68" i="27"/>
  <c r="V68" i="29" s="1"/>
  <c r="I68" i="27"/>
  <c r="I68" i="29" s="1"/>
  <c r="H68" i="27"/>
  <c r="H68" i="29" s="1"/>
  <c r="Y68" i="27"/>
  <c r="Y68" i="29" s="1"/>
  <c r="X68" i="27"/>
  <c r="X68" i="29" s="1"/>
  <c r="J68" i="27"/>
  <c r="J68" i="29" s="1"/>
  <c r="U68" i="27"/>
  <c r="U68" i="29" s="1"/>
  <c r="M68" i="27"/>
  <c r="M68" i="29" s="1"/>
  <c r="L68" i="27"/>
  <c r="L68" i="29" s="1"/>
  <c r="K68" i="27"/>
  <c r="K68" i="29" s="1"/>
  <c r="W68" i="27"/>
  <c r="W68" i="29" s="1"/>
  <c r="Z242" i="26"/>
  <c r="AA243" i="26"/>
  <c r="AC243" i="26" s="1"/>
  <c r="BZ39" i="27"/>
  <c r="BZ39" i="29" s="1"/>
  <c r="CA39" i="27"/>
  <c r="CA39" i="29" s="1"/>
  <c r="CI39" i="27"/>
  <c r="CI39" i="29" s="1"/>
  <c r="CH39" i="27"/>
  <c r="CH39" i="29" s="1"/>
  <c r="CG39" i="27"/>
  <c r="CG39" i="29" s="1"/>
  <c r="CF39" i="27"/>
  <c r="CF39" i="29" s="1"/>
  <c r="CE39" i="27"/>
  <c r="CE39" i="29" s="1"/>
  <c r="CD39" i="27"/>
  <c r="CD39" i="29" s="1"/>
  <c r="CC39" i="27"/>
  <c r="CC39" i="29" s="1"/>
  <c r="BX39" i="27"/>
  <c r="BX39" i="29" s="1"/>
  <c r="CK39" i="27"/>
  <c r="CK39" i="29" s="1"/>
  <c r="CJ39" i="27"/>
  <c r="CJ39" i="29" s="1"/>
  <c r="CN39" i="27"/>
  <c r="CN39" i="29" s="1"/>
  <c r="CM39" i="27"/>
  <c r="CM39" i="29" s="1"/>
  <c r="CL39" i="27"/>
  <c r="CL39" i="29" s="1"/>
  <c r="CB39" i="27"/>
  <c r="CB39" i="29" s="1"/>
  <c r="BY39" i="27"/>
  <c r="BY39" i="29" s="1"/>
  <c r="BW39" i="27"/>
  <c r="BW39" i="29" s="1"/>
  <c r="Z99" i="26"/>
  <c r="Z605" i="26" s="1"/>
  <c r="AA98" i="26"/>
  <c r="AC98" i="26" s="1"/>
  <c r="K47" i="27"/>
  <c r="K47" i="29" s="1"/>
  <c r="I47" i="27"/>
  <c r="I47" i="29" s="1"/>
  <c r="R47" i="27"/>
  <c r="R47" i="29" s="1"/>
  <c r="T47" i="27"/>
  <c r="T47" i="29" s="1"/>
  <c r="S47" i="27"/>
  <c r="S47" i="29" s="1"/>
  <c r="Q47" i="27"/>
  <c r="Q47" i="29" s="1"/>
  <c r="O47" i="27"/>
  <c r="O47" i="29" s="1"/>
  <c r="N47" i="27"/>
  <c r="N47" i="29" s="1"/>
  <c r="M47" i="27"/>
  <c r="M47" i="29" s="1"/>
  <c r="F47" i="27"/>
  <c r="F47" i="29" s="1"/>
  <c r="H47" i="27"/>
  <c r="H47" i="29" s="1"/>
  <c r="G47" i="27"/>
  <c r="G47" i="29" s="1"/>
  <c r="L47" i="27"/>
  <c r="L47" i="29" s="1"/>
  <c r="J47" i="27"/>
  <c r="J47" i="29" s="1"/>
  <c r="Z223" i="26"/>
  <c r="U47" i="27"/>
  <c r="U47" i="29" s="1"/>
  <c r="P47" i="27"/>
  <c r="P47" i="29" s="1"/>
  <c r="AA224" i="26"/>
  <c r="AC224" i="26" s="1"/>
  <c r="EQ38" i="27"/>
  <c r="EQ38" i="29" s="1"/>
  <c r="EO38" i="27"/>
  <c r="EO38" i="29" s="1"/>
  <c r="ED38" i="27"/>
  <c r="ED38" i="29" s="1"/>
  <c r="EU38" i="27"/>
  <c r="EU38" i="29" s="1"/>
  <c r="EC38" i="27"/>
  <c r="EC38" i="29" s="1"/>
  <c r="ET38" i="27"/>
  <c r="ET38" i="29" s="1"/>
  <c r="ES38" i="27"/>
  <c r="ES38" i="29" s="1"/>
  <c r="ER38" i="27"/>
  <c r="ER38" i="29" s="1"/>
  <c r="EP38" i="27"/>
  <c r="EP38" i="29" s="1"/>
  <c r="EN38" i="27"/>
  <c r="EN38" i="29" s="1"/>
  <c r="EK38" i="27"/>
  <c r="EK38" i="29" s="1"/>
  <c r="EF38" i="27"/>
  <c r="EF38" i="29" s="1"/>
  <c r="EE38" i="27"/>
  <c r="EE38" i="29" s="1"/>
  <c r="EM38" i="27"/>
  <c r="EM38" i="29" s="1"/>
  <c r="EL38" i="27"/>
  <c r="EL38" i="29" s="1"/>
  <c r="EJ38" i="27"/>
  <c r="EJ38" i="29" s="1"/>
  <c r="EI38" i="27"/>
  <c r="EI38" i="29" s="1"/>
  <c r="EH38" i="27"/>
  <c r="EH38" i="29" s="1"/>
  <c r="EG38" i="27"/>
  <c r="EG38" i="29" s="1"/>
  <c r="Z777" i="26"/>
  <c r="AA30" i="26"/>
  <c r="AC30" i="26" s="1"/>
  <c r="Z31" i="26"/>
  <c r="BE46" i="29"/>
  <c r="BD46" i="29"/>
  <c r="BC46" i="29"/>
  <c r="BB46" i="29"/>
  <c r="AA573" i="26"/>
  <c r="AC573" i="26" s="1"/>
  <c r="BA46" i="29"/>
  <c r="AZ46" i="29"/>
  <c r="Z572" i="26"/>
  <c r="BV27" i="27"/>
  <c r="BV27" i="29" s="1"/>
  <c r="AA610" i="26"/>
  <c r="AC610" i="26" s="1"/>
  <c r="DY25" i="27"/>
  <c r="DY25" i="29" s="1"/>
  <c r="DW25" i="27"/>
  <c r="DW25" i="29" s="1"/>
  <c r="DU25" i="27"/>
  <c r="DU25" i="29" s="1"/>
  <c r="DT25" i="27"/>
  <c r="DT25" i="29" s="1"/>
  <c r="DP25" i="27"/>
  <c r="DP25" i="29" s="1"/>
  <c r="EA25" i="27"/>
  <c r="EA25" i="29" s="1"/>
  <c r="DK25" i="27"/>
  <c r="DK25" i="29" s="1"/>
  <c r="DZ25" i="27"/>
  <c r="DZ25" i="29" s="1"/>
  <c r="DX25" i="27"/>
  <c r="DX25" i="29" s="1"/>
  <c r="DV25" i="27"/>
  <c r="DV25" i="29" s="1"/>
  <c r="DS25" i="27"/>
  <c r="DS25" i="29" s="1"/>
  <c r="DR25" i="27"/>
  <c r="DR25" i="29" s="1"/>
  <c r="DQ25" i="27"/>
  <c r="DQ25" i="29" s="1"/>
  <c r="DO25" i="27"/>
  <c r="DO25" i="29" s="1"/>
  <c r="DM25" i="27"/>
  <c r="DM25" i="29" s="1"/>
  <c r="AA50" i="26"/>
  <c r="AC50" i="26" s="1"/>
  <c r="DN25" i="27"/>
  <c r="DN25" i="29" s="1"/>
  <c r="DL25" i="27"/>
  <c r="DL25" i="29" s="1"/>
  <c r="DJ25" i="27"/>
  <c r="DJ25" i="29" s="1"/>
  <c r="Z49" i="26"/>
  <c r="DE48" i="27"/>
  <c r="DE48" i="29" s="1"/>
  <c r="DS48" i="27"/>
  <c r="DS48" i="29" s="1"/>
  <c r="DC48" i="27"/>
  <c r="DC48" i="29" s="1"/>
  <c r="DL48" i="27"/>
  <c r="DL48" i="29" s="1"/>
  <c r="DQ48" i="27"/>
  <c r="DQ48" i="29" s="1"/>
  <c r="DO48" i="27"/>
  <c r="DO48" i="29" s="1"/>
  <c r="DN48" i="27"/>
  <c r="DN48" i="29" s="1"/>
  <c r="DM48" i="27"/>
  <c r="DM48" i="29" s="1"/>
  <c r="DK48" i="27"/>
  <c r="DK48" i="29" s="1"/>
  <c r="DJ48" i="27"/>
  <c r="DJ48" i="29" s="1"/>
  <c r="DI48" i="27"/>
  <c r="DI48" i="29" s="1"/>
  <c r="DH48" i="27"/>
  <c r="DH48" i="29" s="1"/>
  <c r="DG48" i="27"/>
  <c r="DG48" i="29" s="1"/>
  <c r="DF48" i="27"/>
  <c r="DF48" i="29" s="1"/>
  <c r="DD48" i="27"/>
  <c r="DD48" i="29" s="1"/>
  <c r="DB48" i="27"/>
  <c r="DB48" i="29" s="1"/>
  <c r="DA48" i="27"/>
  <c r="DA48" i="29" s="1"/>
  <c r="CZ48" i="27"/>
  <c r="CZ48" i="29" s="1"/>
  <c r="CY48" i="27"/>
  <c r="CY48" i="29" s="1"/>
  <c r="DR48" i="27"/>
  <c r="DR48" i="29" s="1"/>
  <c r="DP48" i="27"/>
  <c r="DP48" i="29" s="1"/>
  <c r="AA120" i="26"/>
  <c r="AC120" i="26" s="1"/>
  <c r="Z119" i="26"/>
  <c r="E59" i="27"/>
  <c r="E59" i="29" s="1"/>
  <c r="D59" i="27"/>
  <c r="D59" i="29" s="1"/>
  <c r="AA292" i="26"/>
  <c r="AC292" i="26" s="1"/>
  <c r="Z293" i="26"/>
  <c r="AB59" i="27"/>
  <c r="AB59" i="29" s="1"/>
  <c r="AA59" i="27"/>
  <c r="AA59" i="29" s="1"/>
  <c r="Z59" i="27"/>
  <c r="Z59" i="29" s="1"/>
  <c r="Z372" i="26"/>
  <c r="AA371" i="26"/>
  <c r="AC371" i="26" s="1"/>
  <c r="BM67" i="27"/>
  <c r="BM67" i="29" s="1"/>
  <c r="BL67" i="27"/>
  <c r="BL67" i="29" s="1"/>
  <c r="BK67" i="27"/>
  <c r="BK67" i="29" s="1"/>
  <c r="BJ67" i="27"/>
  <c r="BJ67" i="29" s="1"/>
  <c r="BI67" i="27"/>
  <c r="BI67" i="29" s="1"/>
  <c r="BH67" i="27"/>
  <c r="BH67" i="29" s="1"/>
  <c r="BG67" i="27"/>
  <c r="BG67" i="29" s="1"/>
  <c r="BO67" i="27"/>
  <c r="BO67" i="29" s="1"/>
  <c r="AY67" i="27"/>
  <c r="AY67" i="29" s="1"/>
  <c r="BB67" i="27"/>
  <c r="BB67" i="29" s="1"/>
  <c r="BA67" i="27"/>
  <c r="BA67" i="29" s="1"/>
  <c r="AZ67" i="27"/>
  <c r="AZ67" i="29" s="1"/>
  <c r="AX67" i="27"/>
  <c r="AX67" i="29" s="1"/>
  <c r="BR67" i="27"/>
  <c r="BR67" i="29" s="1"/>
  <c r="BQ67" i="27"/>
  <c r="BQ67" i="29" s="1"/>
  <c r="BP67" i="27"/>
  <c r="BP67" i="29" s="1"/>
  <c r="BN67" i="27"/>
  <c r="BN67" i="29" s="1"/>
  <c r="BF67" i="27"/>
  <c r="BF67" i="29" s="1"/>
  <c r="BE67" i="27"/>
  <c r="BE67" i="29" s="1"/>
  <c r="BD67" i="27"/>
  <c r="BD67" i="29" s="1"/>
  <c r="BC67" i="27"/>
  <c r="BC67" i="29" s="1"/>
  <c r="AA192" i="26"/>
  <c r="AC192" i="26" s="1"/>
  <c r="AI76" i="27"/>
  <c r="AI76" i="29" s="1"/>
  <c r="AH76" i="27"/>
  <c r="AH76" i="29" s="1"/>
  <c r="AG76" i="27"/>
  <c r="AG76" i="29" s="1"/>
  <c r="AU76" i="27"/>
  <c r="AU76" i="29" s="1"/>
  <c r="AE76" i="27"/>
  <c r="AE76" i="29" s="1"/>
  <c r="AT76" i="27"/>
  <c r="AT76" i="29" s="1"/>
  <c r="AD76" i="27"/>
  <c r="AD76" i="29" s="1"/>
  <c r="AP76" i="27"/>
  <c r="AP76" i="29" s="1"/>
  <c r="AN76" i="27"/>
  <c r="AN76" i="29" s="1"/>
  <c r="AM76" i="27"/>
  <c r="AM76" i="29" s="1"/>
  <c r="AL76" i="27"/>
  <c r="AL76" i="29" s="1"/>
  <c r="AK76" i="27"/>
  <c r="AK76" i="29" s="1"/>
  <c r="AJ76" i="27"/>
  <c r="AJ76" i="29" s="1"/>
  <c r="AF76" i="27"/>
  <c r="AF76" i="29" s="1"/>
  <c r="AC76" i="27"/>
  <c r="AC76" i="29" s="1"/>
  <c r="AB76" i="27"/>
  <c r="AB76" i="29" s="1"/>
  <c r="AQ76" i="27"/>
  <c r="AQ76" i="29" s="1"/>
  <c r="AS76" i="27"/>
  <c r="AS76" i="29" s="1"/>
  <c r="AR76" i="27"/>
  <c r="AR76" i="29" s="1"/>
  <c r="AO76" i="27"/>
  <c r="AO76" i="29" s="1"/>
  <c r="AA76" i="27"/>
  <c r="AA76" i="29" s="1"/>
  <c r="AA219" i="26"/>
  <c r="AC219" i="26" s="1"/>
  <c r="Z220" i="26"/>
  <c r="Z387" i="26" s="1"/>
  <c r="EW37" i="27"/>
  <c r="EW37" i="29" s="1"/>
  <c r="EV37" i="27"/>
  <c r="EV37" i="29" s="1"/>
  <c r="AA776" i="26"/>
  <c r="AC776" i="26" s="1"/>
  <c r="AA354" i="26"/>
  <c r="AC354" i="26" s="1"/>
  <c r="Z355" i="26"/>
  <c r="Z76" i="27" s="1"/>
  <c r="Z76" i="29" s="1"/>
  <c r="DU37" i="27"/>
  <c r="DU37" i="29" s="1"/>
  <c r="DS37" i="27"/>
  <c r="DS37" i="29" s="1"/>
  <c r="DR37" i="27"/>
  <c r="DR37" i="29" s="1"/>
  <c r="DQ37" i="27"/>
  <c r="DQ37" i="29" s="1"/>
  <c r="DP37" i="27"/>
  <c r="DP37" i="29" s="1"/>
  <c r="DO37" i="27"/>
  <c r="DO37" i="29" s="1"/>
  <c r="DN37" i="27"/>
  <c r="DN37" i="29" s="1"/>
  <c r="DM37" i="27"/>
  <c r="DM37" i="29" s="1"/>
  <c r="EA37" i="27"/>
  <c r="EA37" i="29" s="1"/>
  <c r="DJ37" i="27"/>
  <c r="DJ37" i="29" s="1"/>
  <c r="DV37" i="27"/>
  <c r="DV37" i="29" s="1"/>
  <c r="DT37" i="27"/>
  <c r="DT37" i="29" s="1"/>
  <c r="DZ37" i="27"/>
  <c r="DZ37" i="29" s="1"/>
  <c r="DY37" i="27"/>
  <c r="DY37" i="29" s="1"/>
  <c r="DX37" i="27"/>
  <c r="DX37" i="29" s="1"/>
  <c r="DW37" i="27"/>
  <c r="DW37" i="29" s="1"/>
  <c r="DK37" i="27"/>
  <c r="DK37" i="29" s="1"/>
  <c r="DL37" i="27"/>
  <c r="DL37" i="29" s="1"/>
  <c r="AA62" i="26"/>
  <c r="AC62" i="26" s="1"/>
  <c r="Z63" i="26"/>
  <c r="BY57" i="27"/>
  <c r="BY57" i="29" s="1"/>
  <c r="BI57" i="27"/>
  <c r="BI57" i="29" s="1"/>
  <c r="BX57" i="27"/>
  <c r="BX57" i="29" s="1"/>
  <c r="BG57" i="27"/>
  <c r="BG57" i="29" s="1"/>
  <c r="BW57" i="27"/>
  <c r="BW57" i="29" s="1"/>
  <c r="BF57" i="27"/>
  <c r="BF57" i="29" s="1"/>
  <c r="BV57" i="27"/>
  <c r="BV57" i="29" s="1"/>
  <c r="BU57" i="27"/>
  <c r="BU57" i="29" s="1"/>
  <c r="BT57" i="27"/>
  <c r="BT57" i="29" s="1"/>
  <c r="BS57" i="27"/>
  <c r="BS57" i="29" s="1"/>
  <c r="BQ57" i="27"/>
  <c r="BQ57" i="29" s="1"/>
  <c r="BP57" i="27"/>
  <c r="BP57" i="29" s="1"/>
  <c r="BO57" i="27"/>
  <c r="BO57" i="29" s="1"/>
  <c r="BZ57" i="27"/>
  <c r="BZ57" i="29" s="1"/>
  <c r="BR57" i="27"/>
  <c r="BR57" i="29" s="1"/>
  <c r="BN57" i="27"/>
  <c r="BN57" i="29" s="1"/>
  <c r="BM57" i="27"/>
  <c r="BM57" i="29" s="1"/>
  <c r="BL57" i="27"/>
  <c r="BL57" i="29" s="1"/>
  <c r="BK57" i="27"/>
  <c r="BK57" i="29" s="1"/>
  <c r="BJ57" i="27"/>
  <c r="BJ57" i="29" s="1"/>
  <c r="BH57" i="27"/>
  <c r="BH57" i="29" s="1"/>
  <c r="Z564" i="26"/>
  <c r="AA171" i="26"/>
  <c r="AC171" i="26" s="1"/>
  <c r="Z172" i="26"/>
  <c r="Z565" i="26" s="1"/>
  <c r="BE58" i="27" s="1"/>
  <c r="BO28" i="27"/>
  <c r="BO28" i="29" s="1"/>
  <c r="BN28" i="27"/>
  <c r="BN28" i="29" s="1"/>
  <c r="BM28" i="27"/>
  <c r="BM28" i="29" s="1"/>
  <c r="BL28" i="27"/>
  <c r="BL28" i="29" s="1"/>
  <c r="BK28" i="27"/>
  <c r="BK28" i="29" s="1"/>
  <c r="BJ28" i="27"/>
  <c r="BJ28" i="29" s="1"/>
  <c r="BI28" i="27"/>
  <c r="BI28" i="29" s="1"/>
  <c r="BF28" i="27"/>
  <c r="BF28" i="29" s="1"/>
  <c r="BQ28" i="27"/>
  <c r="BQ28" i="29" s="1"/>
  <c r="BG28" i="27"/>
  <c r="BG28" i="29" s="1"/>
  <c r="BE28" i="27"/>
  <c r="BE28" i="29" s="1"/>
  <c r="BD28" i="27"/>
  <c r="BD28" i="29" s="1"/>
  <c r="BC28" i="27"/>
  <c r="BC28" i="29" s="1"/>
  <c r="BB28" i="27"/>
  <c r="BB28" i="29" s="1"/>
  <c r="BS28" i="27"/>
  <c r="BS28" i="29" s="1"/>
  <c r="BR28" i="27"/>
  <c r="BR28" i="29" s="1"/>
  <c r="BP28" i="27"/>
  <c r="BP28" i="29" s="1"/>
  <c r="BH28" i="27"/>
  <c r="BH28" i="29" s="1"/>
  <c r="BU28" i="27"/>
  <c r="BU28" i="29" s="1"/>
  <c r="BT28" i="27"/>
  <c r="BT28" i="29" s="1"/>
  <c r="AA102" i="26"/>
  <c r="AC102" i="26" s="1"/>
  <c r="Z101" i="26"/>
  <c r="CE27" i="29"/>
  <c r="CD27" i="29"/>
  <c r="CC27" i="29"/>
  <c r="CB27" i="29"/>
  <c r="Z876" i="26"/>
  <c r="CF27" i="29"/>
  <c r="AA877" i="26"/>
  <c r="AC877" i="26" s="1"/>
  <c r="EP25" i="27"/>
  <c r="EP25" i="29" s="1"/>
  <c r="EN25" i="27"/>
  <c r="EN25" i="29" s="1"/>
  <c r="EL25" i="27"/>
  <c r="EL25" i="29" s="1"/>
  <c r="EK25" i="27"/>
  <c r="EK25" i="29" s="1"/>
  <c r="EG25" i="27"/>
  <c r="EG25" i="29" s="1"/>
  <c r="ER25" i="27"/>
  <c r="ER25" i="29" s="1"/>
  <c r="EH25" i="27"/>
  <c r="EH25" i="29" s="1"/>
  <c r="EF25" i="27"/>
  <c r="EF25" i="29" s="1"/>
  <c r="EE25" i="27"/>
  <c r="EE25" i="29" s="1"/>
  <c r="ED25" i="27"/>
  <c r="ED25" i="29" s="1"/>
  <c r="EC25" i="27"/>
  <c r="EC25" i="29" s="1"/>
  <c r="Z787" i="26"/>
  <c r="EU25" i="27"/>
  <c r="EU25" i="29" s="1"/>
  <c r="EQ25" i="27"/>
  <c r="EQ25" i="29" s="1"/>
  <c r="EO25" i="27"/>
  <c r="EO25" i="29" s="1"/>
  <c r="EM25" i="27"/>
  <c r="EM25" i="29" s="1"/>
  <c r="EJ25" i="27"/>
  <c r="EJ25" i="29" s="1"/>
  <c r="EI25" i="27"/>
  <c r="EI25" i="29" s="1"/>
  <c r="ET25" i="27"/>
  <c r="ET25" i="29" s="1"/>
  <c r="AA17" i="26"/>
  <c r="AC17" i="26" s="1"/>
  <c r="ES25" i="27"/>
  <c r="ES25" i="29" s="1"/>
  <c r="Z16" i="26"/>
  <c r="CY27" i="27"/>
  <c r="CY27" i="29" s="1"/>
  <c r="CX27" i="27"/>
  <c r="CX27" i="29" s="1"/>
  <c r="CW27" i="27"/>
  <c r="CW27" i="29" s="1"/>
  <c r="CV27" i="27"/>
  <c r="CV27" i="29" s="1"/>
  <c r="CU27" i="27"/>
  <c r="CU27" i="29" s="1"/>
  <c r="CT27" i="27"/>
  <c r="CT27" i="29" s="1"/>
  <c r="CS27" i="27"/>
  <c r="CS27" i="29" s="1"/>
  <c r="DF27" i="27"/>
  <c r="DF27" i="29" s="1"/>
  <c r="DA27" i="27"/>
  <c r="DA27" i="29" s="1"/>
  <c r="DH27" i="27"/>
  <c r="DH27" i="29" s="1"/>
  <c r="DG27" i="27"/>
  <c r="DG27" i="29" s="1"/>
  <c r="DE27" i="27"/>
  <c r="DE27" i="29" s="1"/>
  <c r="DD27" i="27"/>
  <c r="DD27" i="29" s="1"/>
  <c r="DC27" i="27"/>
  <c r="DC27" i="29" s="1"/>
  <c r="CQ27" i="27"/>
  <c r="CQ27" i="29" s="1"/>
  <c r="Z67" i="26"/>
  <c r="DB27" i="27"/>
  <c r="DB27" i="29" s="1"/>
  <c r="CZ27" i="27"/>
  <c r="CZ27" i="29" s="1"/>
  <c r="CR27" i="27"/>
  <c r="CR27" i="29" s="1"/>
  <c r="AA68" i="26"/>
  <c r="AC68" i="26" s="1"/>
  <c r="BE56" i="29"/>
  <c r="BD56" i="29"/>
  <c r="AA563" i="26"/>
  <c r="AC563" i="26" s="1"/>
  <c r="CA59" i="27" l="1"/>
  <c r="CB59" i="27"/>
  <c r="AD204" i="26"/>
  <c r="AW65" i="27"/>
  <c r="AW65" i="29" s="1"/>
  <c r="Z394" i="26"/>
  <c r="Z393" i="26" s="1"/>
  <c r="AJ60" i="27"/>
  <c r="AJ60" i="29" s="1"/>
  <c r="AS60" i="27"/>
  <c r="AT60" i="27"/>
  <c r="AD60" i="27"/>
  <c r="AU60" i="27"/>
  <c r="AE60" i="27"/>
  <c r="AF60" i="27"/>
  <c r="AG60" i="27"/>
  <c r="AH60" i="27"/>
  <c r="Z895" i="26"/>
  <c r="AI60" i="27"/>
  <c r="AC60" i="27"/>
  <c r="AP60" i="27"/>
  <c r="AQ60" i="27"/>
  <c r="AR60" i="27"/>
  <c r="AR60" i="29" s="1"/>
  <c r="AM60" i="27"/>
  <c r="AL60" i="27"/>
  <c r="AL60" i="29" s="1"/>
  <c r="AK60" i="27"/>
  <c r="AO60" i="27"/>
  <c r="AN60" i="27"/>
  <c r="K25" i="41"/>
  <c r="L24" i="41"/>
  <c r="Y218" i="25"/>
  <c r="X218" i="25"/>
  <c r="Z218" i="25"/>
  <c r="X188" i="25"/>
  <c r="Z188" i="25"/>
  <c r="Z198" i="25"/>
  <c r="Y198" i="25"/>
  <c r="X198" i="25"/>
  <c r="U219" i="25"/>
  <c r="X231" i="25"/>
  <c r="U232" i="25"/>
  <c r="Z231" i="25"/>
  <c r="AA231" i="25"/>
  <c r="AE231" i="25" s="1"/>
  <c r="Y188" i="25"/>
  <c r="U199" i="25"/>
  <c r="CC26" i="27"/>
  <c r="CD26" i="27"/>
  <c r="CE26" i="27"/>
  <c r="CF26" i="27"/>
  <c r="BD58" i="27"/>
  <c r="BD57" i="27"/>
  <c r="BE57" i="27"/>
  <c r="AZ45" i="27"/>
  <c r="BA45" i="27"/>
  <c r="BB45" i="27"/>
  <c r="BC45" i="27"/>
  <c r="BD45" i="27"/>
  <c r="BE45" i="27"/>
  <c r="Z513" i="26"/>
  <c r="DX71" i="27"/>
  <c r="DX71" i="29" s="1"/>
  <c r="DY71" i="27"/>
  <c r="DY71" i="29" s="1"/>
  <c r="DL71" i="27"/>
  <c r="DL71" i="29" s="1"/>
  <c r="DM71" i="27"/>
  <c r="DM71" i="29" s="1"/>
  <c r="DN71" i="27"/>
  <c r="DN71" i="29" s="1"/>
  <c r="DO71" i="27"/>
  <c r="DO71" i="29" s="1"/>
  <c r="DP71" i="27"/>
  <c r="DP71" i="29" s="1"/>
  <c r="DQ71" i="27"/>
  <c r="DQ71" i="29" s="1"/>
  <c r="DR71" i="27"/>
  <c r="DR71" i="29" s="1"/>
  <c r="DS71" i="27"/>
  <c r="DS71" i="29" s="1"/>
  <c r="DT71" i="27"/>
  <c r="DT71" i="29" s="1"/>
  <c r="DU71" i="27"/>
  <c r="DU71" i="29" s="1"/>
  <c r="DV71" i="27"/>
  <c r="DV71" i="29" s="1"/>
  <c r="DW71" i="27"/>
  <c r="DW71" i="29" s="1"/>
  <c r="AA512" i="26"/>
  <c r="AC512" i="26" s="1"/>
  <c r="BG43" i="27"/>
  <c r="BG43" i="29" s="1"/>
  <c r="BH43" i="27"/>
  <c r="BH43" i="29" s="1"/>
  <c r="BI43" i="27"/>
  <c r="BI43" i="29" s="1"/>
  <c r="BJ43" i="27"/>
  <c r="BK43" i="27"/>
  <c r="BL43" i="27"/>
  <c r="BM43" i="27"/>
  <c r="BN43" i="27"/>
  <c r="BO43" i="27"/>
  <c r="BO43" i="29" s="1"/>
  <c r="BP43" i="27"/>
  <c r="BQ43" i="27"/>
  <c r="BR43" i="27"/>
  <c r="BS43" i="27"/>
  <c r="BT43" i="27"/>
  <c r="BT43" i="29" s="1"/>
  <c r="BU43" i="27"/>
  <c r="BU43" i="29" s="1"/>
  <c r="BV43" i="27"/>
  <c r="BV43" i="29" s="1"/>
  <c r="BW43" i="27"/>
  <c r="BW43" i="29" s="1"/>
  <c r="BX43" i="27"/>
  <c r="BX43" i="29" s="1"/>
  <c r="BY43" i="27"/>
  <c r="BY43" i="29" s="1"/>
  <c r="BF43" i="27"/>
  <c r="AA598" i="26"/>
  <c r="AC598" i="26" s="1"/>
  <c r="AD598" i="26"/>
  <c r="AB78" i="27"/>
  <c r="AC78" i="27"/>
  <c r="AD78" i="27"/>
  <c r="AE78" i="27"/>
  <c r="AF78" i="27"/>
  <c r="AG78" i="27"/>
  <c r="AH78" i="27"/>
  <c r="AI78" i="27"/>
  <c r="AJ78" i="27"/>
  <c r="AK78" i="27"/>
  <c r="AL78" i="27"/>
  <c r="AM78" i="27"/>
  <c r="AN78" i="27"/>
  <c r="AO78" i="27"/>
  <c r="AP78" i="27"/>
  <c r="AQ78" i="27"/>
  <c r="AR78" i="27"/>
  <c r="AS78" i="27"/>
  <c r="AT78" i="27"/>
  <c r="AU78" i="27"/>
  <c r="AV78" i="27"/>
  <c r="AW78" i="27"/>
  <c r="AA78" i="27"/>
  <c r="Z466" i="26"/>
  <c r="Z451" i="26"/>
  <c r="AY80" i="27"/>
  <c r="AZ80" i="27"/>
  <c r="BA80" i="27"/>
  <c r="BB80" i="27"/>
  <c r="BC80" i="27"/>
  <c r="BD80" i="27"/>
  <c r="BE80" i="27"/>
  <c r="BF80" i="27"/>
  <c r="BG80" i="27"/>
  <c r="BH80" i="27"/>
  <c r="BI80" i="27"/>
  <c r="BJ80" i="27"/>
  <c r="BK80" i="27"/>
  <c r="BL80" i="27"/>
  <c r="BM80" i="27"/>
  <c r="BN80" i="27"/>
  <c r="BO80" i="27"/>
  <c r="BP80" i="27"/>
  <c r="BQ80" i="27"/>
  <c r="BR80" i="27"/>
  <c r="AX80" i="27"/>
  <c r="CP74" i="27"/>
  <c r="CP74" i="29" s="1"/>
  <c r="AA492" i="26"/>
  <c r="AC492" i="26" s="1"/>
  <c r="AA407" i="26"/>
  <c r="AC407" i="26" s="1"/>
  <c r="AV77" i="27"/>
  <c r="AV77" i="29" s="1"/>
  <c r="AA395" i="26"/>
  <c r="AC395" i="26" s="1"/>
  <c r="AV65" i="27"/>
  <c r="AV65" i="29" s="1"/>
  <c r="BS60" i="27"/>
  <c r="BS60" i="29" s="1"/>
  <c r="BU60" i="27"/>
  <c r="BU60" i="29" s="1"/>
  <c r="BV60" i="27"/>
  <c r="BV60" i="29" s="1"/>
  <c r="BW60" i="27"/>
  <c r="BW60" i="29" s="1"/>
  <c r="BX60" i="27"/>
  <c r="BX60" i="29" s="1"/>
  <c r="BY60" i="27"/>
  <c r="BY60" i="29" s="1"/>
  <c r="BZ60" i="27"/>
  <c r="BZ60" i="29" s="1"/>
  <c r="CA60" i="27"/>
  <c r="CA60" i="29" s="1"/>
  <c r="CB60" i="27"/>
  <c r="CB60" i="29" s="1"/>
  <c r="BT60" i="27"/>
  <c r="BT60" i="29" s="1"/>
  <c r="AA472" i="26"/>
  <c r="AC472" i="26" s="1"/>
  <c r="AY64" i="27"/>
  <c r="AY64" i="29" s="1"/>
  <c r="AZ64" i="27"/>
  <c r="AZ64" i="29" s="1"/>
  <c r="BA64" i="27"/>
  <c r="BA64" i="29" s="1"/>
  <c r="BB64" i="27"/>
  <c r="BB64" i="29" s="1"/>
  <c r="BC64" i="27"/>
  <c r="BC64" i="29" s="1"/>
  <c r="BD64" i="27"/>
  <c r="BD64" i="29" s="1"/>
  <c r="BE64" i="27"/>
  <c r="BE64" i="29" s="1"/>
  <c r="BF64" i="27"/>
  <c r="BF64" i="29" s="1"/>
  <c r="BG64" i="27"/>
  <c r="BG64" i="29" s="1"/>
  <c r="BH64" i="27"/>
  <c r="BH64" i="29" s="1"/>
  <c r="BI64" i="27"/>
  <c r="BI64" i="29" s="1"/>
  <c r="BJ64" i="27"/>
  <c r="BJ64" i="29" s="1"/>
  <c r="BK64" i="27"/>
  <c r="BK64" i="29" s="1"/>
  <c r="BL64" i="27"/>
  <c r="BL64" i="29" s="1"/>
  <c r="BM64" i="27"/>
  <c r="BM64" i="29" s="1"/>
  <c r="BN64" i="27"/>
  <c r="BN64" i="29" s="1"/>
  <c r="BO64" i="27"/>
  <c r="BO64" i="29" s="1"/>
  <c r="BP64" i="27"/>
  <c r="BP64" i="29" s="1"/>
  <c r="BQ64" i="27"/>
  <c r="BQ64" i="29" s="1"/>
  <c r="BR64" i="27"/>
  <c r="BR64" i="29" s="1"/>
  <c r="AX64" i="27"/>
  <c r="AX64" i="29" s="1"/>
  <c r="Z417" i="26"/>
  <c r="AA416" i="26"/>
  <c r="AC416" i="26" s="1"/>
  <c r="AY62" i="27"/>
  <c r="AY62" i="29" s="1"/>
  <c r="AZ62" i="27"/>
  <c r="AZ62" i="29" s="1"/>
  <c r="BA62" i="27"/>
  <c r="BA62" i="29" s="1"/>
  <c r="BB62" i="27"/>
  <c r="BB62" i="29" s="1"/>
  <c r="BC62" i="27"/>
  <c r="BC62" i="29" s="1"/>
  <c r="BD62" i="27"/>
  <c r="BD62" i="29" s="1"/>
  <c r="BE62" i="27"/>
  <c r="BE62" i="29" s="1"/>
  <c r="BF62" i="27"/>
  <c r="BF62" i="29" s="1"/>
  <c r="BG62" i="27"/>
  <c r="BG62" i="29" s="1"/>
  <c r="BH62" i="27"/>
  <c r="BH62" i="29" s="1"/>
  <c r="BI62" i="27"/>
  <c r="BI62" i="29" s="1"/>
  <c r="BJ62" i="27"/>
  <c r="BJ62" i="29" s="1"/>
  <c r="BK62" i="27"/>
  <c r="BK62" i="29" s="1"/>
  <c r="BL62" i="27"/>
  <c r="BL62" i="29" s="1"/>
  <c r="BM62" i="27"/>
  <c r="BM62" i="29" s="1"/>
  <c r="BN62" i="27"/>
  <c r="BN62" i="29" s="1"/>
  <c r="BO62" i="27"/>
  <c r="BO62" i="29" s="1"/>
  <c r="BP62" i="27"/>
  <c r="BP62" i="29" s="1"/>
  <c r="BQ62" i="27"/>
  <c r="BQ62" i="29" s="1"/>
  <c r="BR62" i="27"/>
  <c r="BR62" i="29" s="1"/>
  <c r="AX62" i="27"/>
  <c r="AX62" i="29" s="1"/>
  <c r="AA425" i="26"/>
  <c r="AC425" i="26" s="1"/>
  <c r="Z424" i="26"/>
  <c r="Z423" i="26" s="1"/>
  <c r="Z422" i="26" s="1"/>
  <c r="BZ76" i="27"/>
  <c r="BY76" i="27"/>
  <c r="BT76" i="27"/>
  <c r="BU76" i="27"/>
  <c r="BV76" i="27"/>
  <c r="BW76" i="27"/>
  <c r="BX76" i="27"/>
  <c r="BS76" i="27"/>
  <c r="AA434" i="26"/>
  <c r="AC434" i="26" s="1"/>
  <c r="Z435" i="26"/>
  <c r="BS74" i="27"/>
  <c r="BS74" i="29" s="1"/>
  <c r="AA450" i="26"/>
  <c r="AC450" i="26" s="1"/>
  <c r="AA319" i="26"/>
  <c r="AC319" i="26" s="1"/>
  <c r="F81" i="27"/>
  <c r="F81" i="29" s="1"/>
  <c r="G81" i="27"/>
  <c r="G81" i="29" s="1"/>
  <c r="Z320" i="26"/>
  <c r="DZ17" i="27"/>
  <c r="DZ17" i="29" s="1"/>
  <c r="EJ17" i="27"/>
  <c r="EJ17" i="29" s="1"/>
  <c r="EF17" i="27"/>
  <c r="EF17" i="29" s="1"/>
  <c r="ED17" i="27"/>
  <c r="ED17" i="29" s="1"/>
  <c r="DX17" i="27"/>
  <c r="DX17" i="29" s="1"/>
  <c r="EG17" i="27"/>
  <c r="EG17" i="29" s="1"/>
  <c r="EE17" i="27"/>
  <c r="EE17" i="29" s="1"/>
  <c r="DY17" i="27"/>
  <c r="DY17" i="29" s="1"/>
  <c r="Z831" i="26"/>
  <c r="EH17" i="27"/>
  <c r="EH17" i="29" s="1"/>
  <c r="EK17" i="27"/>
  <c r="EK17" i="29" s="1"/>
  <c r="DW17" i="27"/>
  <c r="DW17" i="29" s="1"/>
  <c r="Z11" i="26"/>
  <c r="AA10" i="26"/>
  <c r="AC10" i="26" s="1"/>
  <c r="EI17" i="27"/>
  <c r="EI17" i="29" s="1"/>
  <c r="EB17" i="27"/>
  <c r="EB17" i="29" s="1"/>
  <c r="EL17" i="27"/>
  <c r="EL17" i="29" s="1"/>
  <c r="EA17" i="27"/>
  <c r="EA17" i="29" s="1"/>
  <c r="EC17" i="27"/>
  <c r="EC17" i="29" s="1"/>
  <c r="EM17" i="27"/>
  <c r="EM17" i="29" s="1"/>
  <c r="F69" i="27"/>
  <c r="F69" i="29" s="1"/>
  <c r="Z306" i="26"/>
  <c r="AA307" i="26"/>
  <c r="AC307" i="26" s="1"/>
  <c r="G69" i="27"/>
  <c r="G69" i="29" s="1"/>
  <c r="E69" i="27"/>
  <c r="E69" i="29" s="1"/>
  <c r="EN16" i="27"/>
  <c r="EN16" i="29" s="1"/>
  <c r="EQ16" i="27"/>
  <c r="EQ16" i="29" s="1"/>
  <c r="Z798" i="26"/>
  <c r="AA797" i="26"/>
  <c r="AC797" i="26" s="1"/>
  <c r="EP16" i="27"/>
  <c r="EP16" i="29" s="1"/>
  <c r="EO16" i="27"/>
  <c r="EO16" i="29" s="1"/>
  <c r="EJ10" i="27"/>
  <c r="EJ10" i="29" s="1"/>
  <c r="EI10" i="27"/>
  <c r="EI10" i="29" s="1"/>
  <c r="AA813" i="26"/>
  <c r="AC813" i="26" s="1"/>
  <c r="Z64" i="29"/>
  <c r="AA342" i="26"/>
  <c r="AC342" i="26" s="1"/>
  <c r="Z341" i="26"/>
  <c r="Z62" i="27" s="1"/>
  <c r="Z62" i="29" s="1"/>
  <c r="DV15" i="29"/>
  <c r="AA830" i="26"/>
  <c r="AC830" i="26" s="1"/>
  <c r="AA355" i="26"/>
  <c r="AC355" i="26" s="1"/>
  <c r="Z356" i="26"/>
  <c r="Z77" i="27" s="1"/>
  <c r="Z77" i="29" s="1"/>
  <c r="EP39" i="27"/>
  <c r="EP39" i="29" s="1"/>
  <c r="EU39" i="27"/>
  <c r="EU39" i="29" s="1"/>
  <c r="ED39" i="27"/>
  <c r="ED39" i="29" s="1"/>
  <c r="EO39" i="27"/>
  <c r="EO39" i="29" s="1"/>
  <c r="EN39" i="27"/>
  <c r="EN39" i="29" s="1"/>
  <c r="EM39" i="27"/>
  <c r="EM39" i="29" s="1"/>
  <c r="EL39" i="27"/>
  <c r="EL39" i="29" s="1"/>
  <c r="EK39" i="27"/>
  <c r="EK39" i="29" s="1"/>
  <c r="EJ39" i="27"/>
  <c r="EJ39" i="29" s="1"/>
  <c r="EI39" i="27"/>
  <c r="EI39" i="29" s="1"/>
  <c r="EF39" i="27"/>
  <c r="EF39" i="29" s="1"/>
  <c r="ER39" i="27"/>
  <c r="ER39" i="29" s="1"/>
  <c r="EQ39" i="27"/>
  <c r="EQ39" i="29" s="1"/>
  <c r="ET39" i="27"/>
  <c r="ET39" i="29" s="1"/>
  <c r="ES39" i="27"/>
  <c r="ES39" i="29" s="1"/>
  <c r="Z778" i="26"/>
  <c r="EH39" i="27"/>
  <c r="EH39" i="29" s="1"/>
  <c r="EG39" i="27"/>
  <c r="EG39" i="29" s="1"/>
  <c r="EE39" i="27"/>
  <c r="EE39" i="29" s="1"/>
  <c r="EC39" i="27"/>
  <c r="EC39" i="29" s="1"/>
  <c r="Z32" i="26"/>
  <c r="AA31" i="26"/>
  <c r="AC31" i="26" s="1"/>
  <c r="DV60" i="29"/>
  <c r="DU60" i="27"/>
  <c r="DU60" i="29" s="1"/>
  <c r="DT60" i="27"/>
  <c r="DT60" i="29" s="1"/>
  <c r="AA550" i="26"/>
  <c r="AC550" i="26" s="1"/>
  <c r="EW25" i="27"/>
  <c r="EW25" i="29" s="1"/>
  <c r="AA787" i="26"/>
  <c r="AC787" i="26" s="1"/>
  <c r="EY25" i="27"/>
  <c r="EY25" i="29" s="1"/>
  <c r="EX25" i="27"/>
  <c r="EX25" i="29" s="1"/>
  <c r="EV25" i="27"/>
  <c r="EV25" i="29" s="1"/>
  <c r="AS61" i="29"/>
  <c r="AC61" i="29"/>
  <c r="AK60" i="29"/>
  <c r="AR61" i="29"/>
  <c r="AQ61" i="29"/>
  <c r="AI60" i="29"/>
  <c r="AM61" i="29"/>
  <c r="AC60" i="29"/>
  <c r="AL61" i="29"/>
  <c r="AU60" i="29"/>
  <c r="AK61" i="29"/>
  <c r="AT60" i="29"/>
  <c r="AJ61" i="29"/>
  <c r="AS60" i="29"/>
  <c r="AI61" i="29"/>
  <c r="AH61" i="29"/>
  <c r="AQ60" i="29"/>
  <c r="AG61" i="29"/>
  <c r="AP60" i="29"/>
  <c r="AF61" i="29"/>
  <c r="AO60" i="29"/>
  <c r="AE61" i="29"/>
  <c r="AN60" i="29"/>
  <c r="AD61" i="29"/>
  <c r="AM60" i="29"/>
  <c r="AP61" i="29"/>
  <c r="AD60" i="29"/>
  <c r="AO61" i="29"/>
  <c r="AN61" i="29"/>
  <c r="AG60" i="29"/>
  <c r="AU61" i="29"/>
  <c r="AT61" i="29"/>
  <c r="AH60" i="29"/>
  <c r="AF60" i="29"/>
  <c r="AE60" i="29"/>
  <c r="EV38" i="27"/>
  <c r="EV38" i="29" s="1"/>
  <c r="EW38" i="27"/>
  <c r="EW38" i="29" s="1"/>
  <c r="AA777" i="26"/>
  <c r="AC777" i="26" s="1"/>
  <c r="CN25" i="27"/>
  <c r="CN25" i="29" s="1"/>
  <c r="CJ25" i="27"/>
  <c r="CJ25" i="29" s="1"/>
  <c r="CI25" i="27"/>
  <c r="CI25" i="29" s="1"/>
  <c r="CH25" i="27"/>
  <c r="CH25" i="29" s="1"/>
  <c r="CG25" i="27"/>
  <c r="CG25" i="29" s="1"/>
  <c r="CM25" i="27"/>
  <c r="CM25" i="29" s="1"/>
  <c r="CL25" i="27"/>
  <c r="CL25" i="29" s="1"/>
  <c r="CK25" i="27"/>
  <c r="CK25" i="29" s="1"/>
  <c r="AA84" i="26"/>
  <c r="AC84" i="26" s="1"/>
  <c r="Z83" i="26"/>
  <c r="AA897" i="26"/>
  <c r="AC897" i="26" s="1"/>
  <c r="O67" i="27"/>
  <c r="O67" i="29" s="1"/>
  <c r="N67" i="27"/>
  <c r="N67" i="29" s="1"/>
  <c r="M67" i="27"/>
  <c r="M67" i="29" s="1"/>
  <c r="K67" i="27"/>
  <c r="K67" i="29" s="1"/>
  <c r="Y67" i="27"/>
  <c r="Y67" i="29" s="1"/>
  <c r="I67" i="27"/>
  <c r="I67" i="29" s="1"/>
  <c r="X67" i="27"/>
  <c r="X67" i="29" s="1"/>
  <c r="W67" i="27"/>
  <c r="W67" i="29" s="1"/>
  <c r="V67" i="27"/>
  <c r="V67" i="29" s="1"/>
  <c r="U67" i="27"/>
  <c r="U67" i="29" s="1"/>
  <c r="T67" i="27"/>
  <c r="T67" i="29" s="1"/>
  <c r="S67" i="27"/>
  <c r="S67" i="29" s="1"/>
  <c r="R67" i="27"/>
  <c r="R67" i="29" s="1"/>
  <c r="Q67" i="27"/>
  <c r="Q67" i="29" s="1"/>
  <c r="P67" i="27"/>
  <c r="P67" i="29" s="1"/>
  <c r="L67" i="27"/>
  <c r="L67" i="29" s="1"/>
  <c r="J67" i="27"/>
  <c r="J67" i="29" s="1"/>
  <c r="H67" i="27"/>
  <c r="H67" i="29" s="1"/>
  <c r="Z241" i="26"/>
  <c r="AA242" i="26"/>
  <c r="AC242" i="26" s="1"/>
  <c r="AA609" i="26"/>
  <c r="AC609" i="26" s="1"/>
  <c r="AD618" i="26" s="1"/>
  <c r="CP61" i="27"/>
  <c r="CP61" i="29" s="1"/>
  <c r="CO61" i="27"/>
  <c r="CO61" i="29" s="1"/>
  <c r="CN61" i="27"/>
  <c r="CN61" i="29" s="1"/>
  <c r="CM61" i="27"/>
  <c r="CM61" i="29" s="1"/>
  <c r="CL61" i="27"/>
  <c r="CL61" i="29" s="1"/>
  <c r="CK61" i="27"/>
  <c r="CK61" i="29" s="1"/>
  <c r="CJ61" i="27"/>
  <c r="CJ61" i="29" s="1"/>
  <c r="CI61" i="27"/>
  <c r="CI61" i="29" s="1"/>
  <c r="CH61" i="27"/>
  <c r="CH61" i="29" s="1"/>
  <c r="CG61" i="27"/>
  <c r="CG61" i="29" s="1"/>
  <c r="CF61" i="27"/>
  <c r="CF61" i="29" s="1"/>
  <c r="CE61" i="27"/>
  <c r="CE61" i="29" s="1"/>
  <c r="CW61" i="27"/>
  <c r="CW61" i="29" s="1"/>
  <c r="CD61" i="27"/>
  <c r="CD61" i="29" s="1"/>
  <c r="CV61" i="27"/>
  <c r="CV61" i="29" s="1"/>
  <c r="CU61" i="27"/>
  <c r="CU61" i="29" s="1"/>
  <c r="CT61" i="27"/>
  <c r="CT61" i="29" s="1"/>
  <c r="CS61" i="27"/>
  <c r="CS61" i="29" s="1"/>
  <c r="CR61" i="27"/>
  <c r="CR61" i="29" s="1"/>
  <c r="CQ61" i="27"/>
  <c r="CQ61" i="29" s="1"/>
  <c r="CC61" i="27"/>
  <c r="CC61" i="29" s="1"/>
  <c r="AA154" i="26"/>
  <c r="AC154" i="26" s="1"/>
  <c r="Z155" i="26"/>
  <c r="E46" i="27"/>
  <c r="E46" i="29" s="1"/>
  <c r="B46" i="27"/>
  <c r="B46" i="29" s="1"/>
  <c r="D46" i="27"/>
  <c r="D46" i="29" s="1"/>
  <c r="C46" i="27"/>
  <c r="C46" i="29" s="1"/>
  <c r="AA279" i="26"/>
  <c r="AC279" i="26" s="1"/>
  <c r="Z278" i="26"/>
  <c r="BR58" i="27"/>
  <c r="BR58" i="29" s="1"/>
  <c r="BY58" i="27"/>
  <c r="BY58" i="29" s="1"/>
  <c r="BH58" i="27"/>
  <c r="BH58" i="29" s="1"/>
  <c r="BX58" i="27"/>
  <c r="BX58" i="29" s="1"/>
  <c r="BG58" i="27"/>
  <c r="BG58" i="29" s="1"/>
  <c r="BW58" i="27"/>
  <c r="BW58" i="29" s="1"/>
  <c r="BF58" i="27"/>
  <c r="BF58" i="29" s="1"/>
  <c r="BV58" i="27"/>
  <c r="BV58" i="29" s="1"/>
  <c r="BU58" i="27"/>
  <c r="BU58" i="29" s="1"/>
  <c r="BT58" i="27"/>
  <c r="BT58" i="29" s="1"/>
  <c r="BS58" i="27"/>
  <c r="BS58" i="29" s="1"/>
  <c r="BQ58" i="27"/>
  <c r="BQ58" i="29" s="1"/>
  <c r="BP58" i="27"/>
  <c r="BP58" i="29" s="1"/>
  <c r="BO58" i="27"/>
  <c r="BO58" i="29" s="1"/>
  <c r="BZ58" i="27"/>
  <c r="BZ58" i="29" s="1"/>
  <c r="BN58" i="27"/>
  <c r="BN58" i="29" s="1"/>
  <c r="BM58" i="27"/>
  <c r="BM58" i="29" s="1"/>
  <c r="BL58" i="27"/>
  <c r="BL58" i="29" s="1"/>
  <c r="BI58" i="27"/>
  <c r="BI58" i="29" s="1"/>
  <c r="BK58" i="27"/>
  <c r="BK58" i="29" s="1"/>
  <c r="BJ58" i="27"/>
  <c r="BJ58" i="29" s="1"/>
  <c r="AA172" i="26"/>
  <c r="AC172" i="26" s="1"/>
  <c r="DR24" i="27"/>
  <c r="DR24" i="29" s="1"/>
  <c r="DP24" i="27"/>
  <c r="DP24" i="29" s="1"/>
  <c r="DO24" i="27"/>
  <c r="DO24" i="29" s="1"/>
  <c r="EA24" i="27"/>
  <c r="EA24" i="29" s="1"/>
  <c r="DK24" i="27"/>
  <c r="DK24" i="29" s="1"/>
  <c r="DV24" i="27"/>
  <c r="DV24" i="29" s="1"/>
  <c r="DZ24" i="27"/>
  <c r="DZ24" i="29" s="1"/>
  <c r="DY24" i="27"/>
  <c r="DY24" i="29" s="1"/>
  <c r="DX24" i="27"/>
  <c r="DX24" i="29" s="1"/>
  <c r="DW24" i="27"/>
  <c r="DW24" i="29" s="1"/>
  <c r="DU24" i="27"/>
  <c r="DU24" i="29" s="1"/>
  <c r="DT24" i="27"/>
  <c r="DT24" i="29" s="1"/>
  <c r="DS24" i="27"/>
  <c r="DS24" i="29" s="1"/>
  <c r="DQ24" i="27"/>
  <c r="DQ24" i="29" s="1"/>
  <c r="DN24" i="27"/>
  <c r="DN24" i="29" s="1"/>
  <c r="DM24" i="27"/>
  <c r="DM24" i="29" s="1"/>
  <c r="DL24" i="27"/>
  <c r="DL24" i="29" s="1"/>
  <c r="DJ24" i="27"/>
  <c r="DJ24" i="29" s="1"/>
  <c r="AA49" i="26"/>
  <c r="AC49" i="26" s="1"/>
  <c r="Z48" i="26"/>
  <c r="AB60" i="27"/>
  <c r="AB60" i="29" s="1"/>
  <c r="AA60" i="27"/>
  <c r="AA60" i="29" s="1"/>
  <c r="Z60" i="27"/>
  <c r="Z60" i="29" s="1"/>
  <c r="AA372" i="26"/>
  <c r="AC372" i="26" s="1"/>
  <c r="Z373" i="26"/>
  <c r="CV26" i="27"/>
  <c r="CV26" i="29" s="1"/>
  <c r="CT26" i="27"/>
  <c r="CT26" i="29" s="1"/>
  <c r="DH26" i="27"/>
  <c r="DH26" i="29" s="1"/>
  <c r="CR26" i="27"/>
  <c r="CR26" i="29" s="1"/>
  <c r="DG26" i="27"/>
  <c r="DG26" i="29" s="1"/>
  <c r="CQ26" i="27"/>
  <c r="CQ26" i="29" s="1"/>
  <c r="DC26" i="27"/>
  <c r="DC26" i="29" s="1"/>
  <c r="CX26" i="27"/>
  <c r="CX26" i="29" s="1"/>
  <c r="DF26" i="27"/>
  <c r="DF26" i="29" s="1"/>
  <c r="DE26" i="27"/>
  <c r="DE26" i="29" s="1"/>
  <c r="DD26" i="27"/>
  <c r="DD26" i="29" s="1"/>
  <c r="DB26" i="27"/>
  <c r="DB26" i="29" s="1"/>
  <c r="DA26" i="27"/>
  <c r="DA26" i="29" s="1"/>
  <c r="CZ26" i="27"/>
  <c r="CZ26" i="29" s="1"/>
  <c r="CY26" i="27"/>
  <c r="CY26" i="29" s="1"/>
  <c r="CW26" i="27"/>
  <c r="CW26" i="29" s="1"/>
  <c r="CU26" i="27"/>
  <c r="CU26" i="29" s="1"/>
  <c r="CS26" i="27"/>
  <c r="CS26" i="29" s="1"/>
  <c r="AA67" i="26"/>
  <c r="AC67" i="26" s="1"/>
  <c r="EI24" i="27"/>
  <c r="EI24" i="29" s="1"/>
  <c r="EG24" i="27"/>
  <c r="EG24" i="29" s="1"/>
  <c r="EF24" i="27"/>
  <c r="EF24" i="29" s="1"/>
  <c r="ER24" i="27"/>
  <c r="ER24" i="29" s="1"/>
  <c r="EM24" i="27"/>
  <c r="EM24" i="29" s="1"/>
  <c r="EC24" i="27"/>
  <c r="EC24" i="29" s="1"/>
  <c r="EU24" i="27"/>
  <c r="EU24" i="29" s="1"/>
  <c r="ET24" i="27"/>
  <c r="ET24" i="29" s="1"/>
  <c r="ES24" i="27"/>
  <c r="ES24" i="29" s="1"/>
  <c r="EQ24" i="27"/>
  <c r="EQ24" i="29" s="1"/>
  <c r="EP24" i="27"/>
  <c r="EP24" i="29" s="1"/>
  <c r="EO24" i="27"/>
  <c r="EO24" i="29" s="1"/>
  <c r="ED24" i="27"/>
  <c r="ED24" i="29" s="1"/>
  <c r="EH24" i="27"/>
  <c r="EH24" i="29" s="1"/>
  <c r="EE24" i="27"/>
  <c r="EE24" i="29" s="1"/>
  <c r="Z786" i="26"/>
  <c r="Z15" i="26"/>
  <c r="EK24" i="27"/>
  <c r="EK24" i="29" s="1"/>
  <c r="EJ24" i="27"/>
  <c r="EJ24" i="29" s="1"/>
  <c r="EL24" i="27"/>
  <c r="EL24" i="29" s="1"/>
  <c r="AA16" i="26"/>
  <c r="AC16" i="26" s="1"/>
  <c r="EN24" i="27"/>
  <c r="EN24" i="29" s="1"/>
  <c r="BE57" i="29"/>
  <c r="BD57" i="29"/>
  <c r="AA564" i="26"/>
  <c r="AC564" i="26" s="1"/>
  <c r="AM77" i="27"/>
  <c r="AM77" i="29" s="1"/>
  <c r="AL77" i="27"/>
  <c r="AL77" i="29" s="1"/>
  <c r="AK77" i="27"/>
  <c r="AK77" i="29" s="1"/>
  <c r="AJ77" i="27"/>
  <c r="AJ77" i="29" s="1"/>
  <c r="AI77" i="27"/>
  <c r="AI77" i="29" s="1"/>
  <c r="AH77" i="27"/>
  <c r="AH77" i="29" s="1"/>
  <c r="AT77" i="27"/>
  <c r="AT77" i="29" s="1"/>
  <c r="AD77" i="27"/>
  <c r="AD77" i="29" s="1"/>
  <c r="AR77" i="27"/>
  <c r="AR77" i="29" s="1"/>
  <c r="AQ77" i="27"/>
  <c r="AQ77" i="29" s="1"/>
  <c r="AP77" i="27"/>
  <c r="AP77" i="29" s="1"/>
  <c r="AO77" i="27"/>
  <c r="AO77" i="29" s="1"/>
  <c r="AN77" i="27"/>
  <c r="AN77" i="29" s="1"/>
  <c r="AG77" i="27"/>
  <c r="AG77" i="29" s="1"/>
  <c r="AF77" i="27"/>
  <c r="AF77" i="29" s="1"/>
  <c r="AE77" i="27"/>
  <c r="AE77" i="29" s="1"/>
  <c r="AB77" i="27"/>
  <c r="AB77" i="29" s="1"/>
  <c r="AU77" i="27"/>
  <c r="AU77" i="29" s="1"/>
  <c r="AS77" i="27"/>
  <c r="AS77" i="29" s="1"/>
  <c r="AC77" i="27"/>
  <c r="AC77" i="29" s="1"/>
  <c r="AA77" i="27"/>
  <c r="AA77" i="29" s="1"/>
  <c r="AA220" i="26"/>
  <c r="AC220" i="26" s="1"/>
  <c r="AD220" i="26" s="1"/>
  <c r="DA40" i="27"/>
  <c r="DA40" i="29" s="1"/>
  <c r="CS40" i="27"/>
  <c r="CS40" i="29" s="1"/>
  <c r="CQ40" i="27"/>
  <c r="CQ40" i="29" s="1"/>
  <c r="DH40" i="27"/>
  <c r="DH40" i="29" s="1"/>
  <c r="DG40" i="27"/>
  <c r="DG40" i="29" s="1"/>
  <c r="DF40" i="27"/>
  <c r="DF40" i="29" s="1"/>
  <c r="DE40" i="27"/>
  <c r="DE40" i="29" s="1"/>
  <c r="DD40" i="27"/>
  <c r="DD40" i="29" s="1"/>
  <c r="DC40" i="27"/>
  <c r="DC40" i="29" s="1"/>
  <c r="CY40" i="27"/>
  <c r="CY40" i="29" s="1"/>
  <c r="CT40" i="27"/>
  <c r="CT40" i="29" s="1"/>
  <c r="CR40" i="27"/>
  <c r="CR40" i="29" s="1"/>
  <c r="CV40" i="27"/>
  <c r="CV40" i="29" s="1"/>
  <c r="CU40" i="27"/>
  <c r="CU40" i="29" s="1"/>
  <c r="CX40" i="27"/>
  <c r="CX40" i="29" s="1"/>
  <c r="CW40" i="27"/>
  <c r="CW40" i="29" s="1"/>
  <c r="DB40" i="27"/>
  <c r="DB40" i="29" s="1"/>
  <c r="CZ40" i="27"/>
  <c r="CZ40" i="29" s="1"/>
  <c r="AA81" i="26"/>
  <c r="AC81" i="26" s="1"/>
  <c r="Z82" i="26"/>
  <c r="CD26" i="29"/>
  <c r="CF26" i="29"/>
  <c r="AA876" i="26"/>
  <c r="AC876" i="26" s="1"/>
  <c r="Z875" i="26"/>
  <c r="CE26" i="29"/>
  <c r="CC26" i="29"/>
  <c r="E60" i="27"/>
  <c r="E60" i="29" s="1"/>
  <c r="D60" i="27"/>
  <c r="D60" i="29" s="1"/>
  <c r="AA293" i="26"/>
  <c r="AC293" i="26" s="1"/>
  <c r="Z294" i="26"/>
  <c r="CJ47" i="27"/>
  <c r="CJ47" i="29" s="1"/>
  <c r="CH47" i="27"/>
  <c r="CH47" i="29" s="1"/>
  <c r="CQ47" i="27"/>
  <c r="CQ47" i="29" s="1"/>
  <c r="CM47" i="27"/>
  <c r="CM47" i="29" s="1"/>
  <c r="CK47" i="27"/>
  <c r="CK47" i="29" s="1"/>
  <c r="CI47" i="27"/>
  <c r="CI47" i="29" s="1"/>
  <c r="CG47" i="27"/>
  <c r="CG47" i="29" s="1"/>
  <c r="CE47" i="27"/>
  <c r="CE47" i="29" s="1"/>
  <c r="CW47" i="27"/>
  <c r="CW47" i="29" s="1"/>
  <c r="CD47" i="27"/>
  <c r="CD47" i="29" s="1"/>
  <c r="CV47" i="27"/>
  <c r="CV47" i="29" s="1"/>
  <c r="CC47" i="27"/>
  <c r="CC47" i="29" s="1"/>
  <c r="CU47" i="27"/>
  <c r="CU47" i="29" s="1"/>
  <c r="CT47" i="27"/>
  <c r="CT47" i="29" s="1"/>
  <c r="CS47" i="27"/>
  <c r="CS47" i="29" s="1"/>
  <c r="CR47" i="27"/>
  <c r="CR47" i="29" s="1"/>
  <c r="CP47" i="27"/>
  <c r="CP47" i="29" s="1"/>
  <c r="CO47" i="27"/>
  <c r="CO47" i="29" s="1"/>
  <c r="CF47" i="27"/>
  <c r="CF47" i="29" s="1"/>
  <c r="CN47" i="27"/>
  <c r="CN47" i="29" s="1"/>
  <c r="CL47" i="27"/>
  <c r="CL47" i="29" s="1"/>
  <c r="Z139" i="26"/>
  <c r="AA140" i="26"/>
  <c r="AC140" i="26" s="1"/>
  <c r="CI40" i="27"/>
  <c r="CI40" i="29" s="1"/>
  <c r="BZ40" i="27"/>
  <c r="BZ40" i="29" s="1"/>
  <c r="BW40" i="27"/>
  <c r="BW40" i="29" s="1"/>
  <c r="CN40" i="27"/>
  <c r="CN40" i="29" s="1"/>
  <c r="CM40" i="27"/>
  <c r="CM40" i="29" s="1"/>
  <c r="CL40" i="27"/>
  <c r="CL40" i="29" s="1"/>
  <c r="CK40" i="27"/>
  <c r="CK40" i="29" s="1"/>
  <c r="CJ40" i="27"/>
  <c r="CJ40" i="29" s="1"/>
  <c r="CH40" i="27"/>
  <c r="CH40" i="29" s="1"/>
  <c r="CE40" i="27"/>
  <c r="CE40" i="29" s="1"/>
  <c r="BY40" i="27"/>
  <c r="BY40" i="29" s="1"/>
  <c r="BX40" i="27"/>
  <c r="BX40" i="29" s="1"/>
  <c r="CG40" i="27"/>
  <c r="CG40" i="29" s="1"/>
  <c r="CF40" i="27"/>
  <c r="CF40" i="29" s="1"/>
  <c r="CD40" i="27"/>
  <c r="CD40" i="29" s="1"/>
  <c r="CC40" i="27"/>
  <c r="CC40" i="29" s="1"/>
  <c r="CB40" i="27"/>
  <c r="CB40" i="29" s="1"/>
  <c r="CA40" i="27"/>
  <c r="CA40" i="29" s="1"/>
  <c r="AA99" i="26"/>
  <c r="AC99" i="26" s="1"/>
  <c r="Z100" i="26"/>
  <c r="CC75" i="27"/>
  <c r="CC75" i="29" s="1"/>
  <c r="CB75" i="27"/>
  <c r="CB75" i="29" s="1"/>
  <c r="CA75" i="27"/>
  <c r="CA75" i="29" s="1"/>
  <c r="CO75" i="27"/>
  <c r="CO75" i="29" s="1"/>
  <c r="BY75" i="27"/>
  <c r="BY75" i="29" s="1"/>
  <c r="CN75" i="27"/>
  <c r="CN75" i="29" s="1"/>
  <c r="BX75" i="27"/>
  <c r="BX75" i="29" s="1"/>
  <c r="CJ75" i="27"/>
  <c r="CJ75" i="29" s="1"/>
  <c r="BT75" i="27"/>
  <c r="BT75" i="29" s="1"/>
  <c r="BU75" i="27"/>
  <c r="BU75" i="29" s="1"/>
  <c r="CM75" i="27"/>
  <c r="CM75" i="29" s="1"/>
  <c r="CL75" i="27"/>
  <c r="CL75" i="29" s="1"/>
  <c r="CK75" i="27"/>
  <c r="CK75" i="29" s="1"/>
  <c r="CI75" i="27"/>
  <c r="CI75" i="29" s="1"/>
  <c r="CG75" i="27"/>
  <c r="CG75" i="29" s="1"/>
  <c r="BW75" i="27"/>
  <c r="BW75" i="29" s="1"/>
  <c r="CH75" i="27"/>
  <c r="CH75" i="29" s="1"/>
  <c r="CF75" i="27"/>
  <c r="CF75" i="29" s="1"/>
  <c r="CE75" i="27"/>
  <c r="CE75" i="29" s="1"/>
  <c r="CD75" i="27"/>
  <c r="CD75" i="29" s="1"/>
  <c r="BZ75" i="27"/>
  <c r="BZ75" i="29" s="1"/>
  <c r="BV75" i="27"/>
  <c r="BV75" i="29" s="1"/>
  <c r="AA191" i="26"/>
  <c r="AC191" i="26" s="1"/>
  <c r="AD191" i="26" s="1"/>
  <c r="U60" i="27"/>
  <c r="U60" i="29" s="1"/>
  <c r="T60" i="27"/>
  <c r="T60" i="29" s="1"/>
  <c r="S60" i="27"/>
  <c r="S60" i="29" s="1"/>
  <c r="J60" i="27"/>
  <c r="J60" i="29" s="1"/>
  <c r="I60" i="27"/>
  <c r="I60" i="29" s="1"/>
  <c r="H60" i="27"/>
  <c r="H60" i="29" s="1"/>
  <c r="G60" i="27"/>
  <c r="G60" i="29" s="1"/>
  <c r="Y60" i="27"/>
  <c r="Y60" i="29" s="1"/>
  <c r="F60" i="27"/>
  <c r="F60" i="29" s="1"/>
  <c r="X60" i="27"/>
  <c r="X60" i="29" s="1"/>
  <c r="W60" i="27"/>
  <c r="W60" i="29" s="1"/>
  <c r="V60" i="27"/>
  <c r="V60" i="29" s="1"/>
  <c r="R60" i="27"/>
  <c r="R60" i="29" s="1"/>
  <c r="Q60" i="27"/>
  <c r="Q60" i="29" s="1"/>
  <c r="P60" i="27"/>
  <c r="P60" i="29" s="1"/>
  <c r="O60" i="27"/>
  <c r="O60" i="29" s="1"/>
  <c r="N60" i="27"/>
  <c r="N60" i="29" s="1"/>
  <c r="M60" i="27"/>
  <c r="M60" i="29" s="1"/>
  <c r="L60" i="27"/>
  <c r="L60" i="29" s="1"/>
  <c r="K60" i="27"/>
  <c r="K60" i="29" s="1"/>
  <c r="Z238" i="26"/>
  <c r="AA237" i="26"/>
  <c r="AC237" i="26" s="1"/>
  <c r="BW42" i="29"/>
  <c r="BG42" i="29"/>
  <c r="BJ43" i="29"/>
  <c r="BK42" i="29"/>
  <c r="BF43" i="29"/>
  <c r="BQ43" i="29"/>
  <c r="BU42" i="29"/>
  <c r="BP43" i="29"/>
  <c r="BT42" i="29"/>
  <c r="BN43" i="29"/>
  <c r="BS42" i="29"/>
  <c r="BM43" i="29"/>
  <c r="BR42" i="29"/>
  <c r="BL43" i="29"/>
  <c r="BQ42" i="29"/>
  <c r="BK43" i="29"/>
  <c r="BP42" i="29"/>
  <c r="BO42" i="29"/>
  <c r="BL42" i="29"/>
  <c r="BS43" i="29"/>
  <c r="BX42" i="29"/>
  <c r="BR43" i="29"/>
  <c r="BV42" i="29"/>
  <c r="BN42" i="29"/>
  <c r="BM42" i="29"/>
  <c r="BJ42" i="29"/>
  <c r="BI42" i="29"/>
  <c r="BH42" i="29"/>
  <c r="BF42" i="29"/>
  <c r="BY42" i="29"/>
  <c r="BS44" i="27"/>
  <c r="BS44" i="29" s="1"/>
  <c r="BZ44" i="27"/>
  <c r="BZ44" i="29" s="1"/>
  <c r="BI44" i="27"/>
  <c r="BI44" i="29" s="1"/>
  <c r="BX44" i="27"/>
  <c r="BX44" i="29" s="1"/>
  <c r="BG44" i="27"/>
  <c r="BG44" i="29" s="1"/>
  <c r="BW44" i="27"/>
  <c r="BW44" i="29" s="1"/>
  <c r="BF44" i="27"/>
  <c r="BF44" i="29" s="1"/>
  <c r="BT44" i="27"/>
  <c r="BT44" i="29" s="1"/>
  <c r="BR44" i="27"/>
  <c r="BR44" i="29" s="1"/>
  <c r="BQ44" i="27"/>
  <c r="BQ44" i="29" s="1"/>
  <c r="BY44" i="27"/>
  <c r="BY44" i="29" s="1"/>
  <c r="BV44" i="27"/>
  <c r="BV44" i="29" s="1"/>
  <c r="BO44" i="27"/>
  <c r="BO44" i="29" s="1"/>
  <c r="BJ44" i="27"/>
  <c r="BJ44" i="29" s="1"/>
  <c r="BH44" i="27"/>
  <c r="BH44" i="29" s="1"/>
  <c r="BU44" i="27"/>
  <c r="BU44" i="29" s="1"/>
  <c r="BP44" i="27"/>
  <c r="BP44" i="29" s="1"/>
  <c r="BN44" i="27"/>
  <c r="BN44" i="29" s="1"/>
  <c r="BM44" i="27"/>
  <c r="BM44" i="29" s="1"/>
  <c r="BL44" i="27"/>
  <c r="BL44" i="29" s="1"/>
  <c r="BK44" i="27"/>
  <c r="BK44" i="29" s="1"/>
  <c r="AA158" i="26"/>
  <c r="AC158" i="26" s="1"/>
  <c r="G46" i="27"/>
  <c r="G46" i="29" s="1"/>
  <c r="U46" i="27"/>
  <c r="U46" i="29" s="1"/>
  <c r="R46" i="27"/>
  <c r="R46" i="29" s="1"/>
  <c r="P46" i="27"/>
  <c r="P46" i="29" s="1"/>
  <c r="O46" i="27"/>
  <c r="O46" i="29" s="1"/>
  <c r="L46" i="27"/>
  <c r="L46" i="29" s="1"/>
  <c r="K46" i="27"/>
  <c r="K46" i="29" s="1"/>
  <c r="J46" i="27"/>
  <c r="J46" i="29" s="1"/>
  <c r="S46" i="27"/>
  <c r="S46" i="29" s="1"/>
  <c r="Q46" i="27"/>
  <c r="Q46" i="29" s="1"/>
  <c r="N46" i="27"/>
  <c r="N46" i="29" s="1"/>
  <c r="M46" i="27"/>
  <c r="M46" i="29" s="1"/>
  <c r="I46" i="27"/>
  <c r="I46" i="29" s="1"/>
  <c r="H46" i="27"/>
  <c r="H46" i="29" s="1"/>
  <c r="F46" i="27"/>
  <c r="F46" i="29" s="1"/>
  <c r="T46" i="27"/>
  <c r="T46" i="29" s="1"/>
  <c r="Z222" i="26"/>
  <c r="AA223" i="26"/>
  <c r="AC223" i="26" s="1"/>
  <c r="DZ38" i="27"/>
  <c r="DZ38" i="29" s="1"/>
  <c r="DJ38" i="27"/>
  <c r="DJ38" i="29" s="1"/>
  <c r="DW38" i="27"/>
  <c r="DW38" i="29" s="1"/>
  <c r="DK38" i="27"/>
  <c r="DK38" i="29" s="1"/>
  <c r="EA38" i="27"/>
  <c r="EA38" i="29" s="1"/>
  <c r="DY38" i="27"/>
  <c r="DY38" i="29" s="1"/>
  <c r="DX38" i="27"/>
  <c r="DX38" i="29" s="1"/>
  <c r="DV38" i="27"/>
  <c r="DV38" i="29" s="1"/>
  <c r="DU38" i="27"/>
  <c r="DU38" i="29" s="1"/>
  <c r="DR38" i="27"/>
  <c r="DR38" i="29" s="1"/>
  <c r="DM38" i="27"/>
  <c r="DM38" i="29" s="1"/>
  <c r="DL38" i="27"/>
  <c r="DL38" i="29" s="1"/>
  <c r="DT38" i="27"/>
  <c r="DT38" i="29" s="1"/>
  <c r="DS38" i="27"/>
  <c r="DS38" i="29" s="1"/>
  <c r="DP38" i="27"/>
  <c r="DP38" i="29" s="1"/>
  <c r="AA63" i="26"/>
  <c r="AC63" i="26" s="1"/>
  <c r="Z64" i="26"/>
  <c r="DQ38" i="27"/>
  <c r="DQ38" i="29" s="1"/>
  <c r="DO38" i="27"/>
  <c r="DO38" i="29" s="1"/>
  <c r="DN38" i="27"/>
  <c r="DN38" i="29" s="1"/>
  <c r="BV39" i="27"/>
  <c r="BV39" i="29" s="1"/>
  <c r="AA604" i="26"/>
  <c r="AC604" i="26" s="1"/>
  <c r="BL27" i="27"/>
  <c r="BL27" i="29" s="1"/>
  <c r="BJ27" i="27"/>
  <c r="BJ27" i="29" s="1"/>
  <c r="BI27" i="27"/>
  <c r="BI27" i="29" s="1"/>
  <c r="BH27" i="27"/>
  <c r="BH27" i="29" s="1"/>
  <c r="BG27" i="27"/>
  <c r="BG27" i="29" s="1"/>
  <c r="BF27" i="27"/>
  <c r="BF27" i="29" s="1"/>
  <c r="BS27" i="27"/>
  <c r="BS27" i="29" s="1"/>
  <c r="BC27" i="27"/>
  <c r="BC27" i="29" s="1"/>
  <c r="BN27" i="27"/>
  <c r="BN27" i="29" s="1"/>
  <c r="BU27" i="27"/>
  <c r="BU27" i="29" s="1"/>
  <c r="BT27" i="27"/>
  <c r="BT27" i="29" s="1"/>
  <c r="BR27" i="27"/>
  <c r="BR27" i="29" s="1"/>
  <c r="BQ27" i="27"/>
  <c r="BQ27" i="29" s="1"/>
  <c r="BP27" i="27"/>
  <c r="BP27" i="29" s="1"/>
  <c r="BO27" i="27"/>
  <c r="BO27" i="29" s="1"/>
  <c r="Z882" i="26"/>
  <c r="BM27" i="27"/>
  <c r="BM27" i="29" s="1"/>
  <c r="BK27" i="27"/>
  <c r="BK27" i="29" s="1"/>
  <c r="BE27" i="27"/>
  <c r="BE27" i="29" s="1"/>
  <c r="BD27" i="27"/>
  <c r="BD27" i="29" s="1"/>
  <c r="BB27" i="27"/>
  <c r="BB27" i="29" s="1"/>
  <c r="AA101" i="26"/>
  <c r="EF51" i="27"/>
  <c r="EF51" i="29" s="1"/>
  <c r="EE51" i="27"/>
  <c r="EE51" i="29" s="1"/>
  <c r="ED51" i="27"/>
  <c r="ED51" i="29" s="1"/>
  <c r="DY51" i="27"/>
  <c r="DY51" i="29" s="1"/>
  <c r="DW51" i="27"/>
  <c r="DW51" i="29" s="1"/>
  <c r="EH51" i="27"/>
  <c r="EH51" i="29" s="1"/>
  <c r="EC51" i="27"/>
  <c r="EC51" i="29" s="1"/>
  <c r="EB51" i="27"/>
  <c r="EB51" i="29" s="1"/>
  <c r="EA51" i="27"/>
  <c r="EA51" i="29" s="1"/>
  <c r="DZ51" i="27"/>
  <c r="DZ51" i="29" s="1"/>
  <c r="DX51" i="27"/>
  <c r="DX51" i="29" s="1"/>
  <c r="DV51" i="27"/>
  <c r="DV51" i="29" s="1"/>
  <c r="EI51" i="27"/>
  <c r="EI51" i="29" s="1"/>
  <c r="EG51" i="27"/>
  <c r="EG51" i="29" s="1"/>
  <c r="EK51" i="27"/>
  <c r="EK51" i="29" s="1"/>
  <c r="EJ51" i="27"/>
  <c r="EJ51" i="29" s="1"/>
  <c r="Z42" i="26"/>
  <c r="Z752" i="26" s="1"/>
  <c r="AA41" i="26"/>
  <c r="AC41" i="26" s="1"/>
  <c r="BC45" i="29"/>
  <c r="BB45" i="29"/>
  <c r="BA45" i="29"/>
  <c r="BE45" i="29"/>
  <c r="BD45" i="29"/>
  <c r="AZ45" i="29"/>
  <c r="Z571" i="26"/>
  <c r="AA572" i="26"/>
  <c r="AC572" i="26" s="1"/>
  <c r="DQ47" i="27"/>
  <c r="DQ47" i="29" s="1"/>
  <c r="DA47" i="27"/>
  <c r="DA47" i="29" s="1"/>
  <c r="DO47" i="27"/>
  <c r="DO47" i="29" s="1"/>
  <c r="CY47" i="27"/>
  <c r="CY47" i="29" s="1"/>
  <c r="DH47" i="27"/>
  <c r="DH47" i="29" s="1"/>
  <c r="DG47" i="27"/>
  <c r="DG47" i="29" s="1"/>
  <c r="DE47" i="27"/>
  <c r="DE47" i="29" s="1"/>
  <c r="DD47" i="27"/>
  <c r="DD47" i="29" s="1"/>
  <c r="DC47" i="27"/>
  <c r="DC47" i="29" s="1"/>
  <c r="CZ47" i="27"/>
  <c r="CZ47" i="29" s="1"/>
  <c r="DS47" i="27"/>
  <c r="DS47" i="29" s="1"/>
  <c r="DR47" i="27"/>
  <c r="DR47" i="29" s="1"/>
  <c r="DB47" i="27"/>
  <c r="DB47" i="29" s="1"/>
  <c r="DN47" i="27"/>
  <c r="DN47" i="29" s="1"/>
  <c r="DI47" i="27"/>
  <c r="DI47" i="29" s="1"/>
  <c r="DF47" i="27"/>
  <c r="DF47" i="29" s="1"/>
  <c r="DP47" i="27"/>
  <c r="DP47" i="29" s="1"/>
  <c r="DM47" i="27"/>
  <c r="DM47" i="29" s="1"/>
  <c r="DL47" i="27"/>
  <c r="DL47" i="29" s="1"/>
  <c r="DK47" i="27"/>
  <c r="DK47" i="29" s="1"/>
  <c r="DJ47" i="27"/>
  <c r="DJ47" i="29" s="1"/>
  <c r="AA119" i="26"/>
  <c r="AC119" i="26" s="1"/>
  <c r="Z118" i="26"/>
  <c r="DD74" i="27"/>
  <c r="DD74" i="29" s="1"/>
  <c r="DC74" i="27"/>
  <c r="DC74" i="29" s="1"/>
  <c r="DB74" i="27"/>
  <c r="DB74" i="29" s="1"/>
  <c r="CZ74" i="27"/>
  <c r="CZ74" i="29" s="1"/>
  <c r="CY74" i="27"/>
  <c r="CY74" i="29" s="1"/>
  <c r="DK74" i="27"/>
  <c r="DK74" i="29" s="1"/>
  <c r="CU74" i="27"/>
  <c r="CU74" i="29" s="1"/>
  <c r="CX74" i="27"/>
  <c r="CX74" i="29" s="1"/>
  <c r="CW74" i="27"/>
  <c r="CW74" i="29" s="1"/>
  <c r="CV74" i="27"/>
  <c r="CV74" i="29" s="1"/>
  <c r="CT74" i="27"/>
  <c r="CT74" i="29" s="1"/>
  <c r="CS74" i="27"/>
  <c r="CS74" i="29" s="1"/>
  <c r="CR74" i="27"/>
  <c r="CR74" i="29" s="1"/>
  <c r="CQ74" i="27"/>
  <c r="CQ74" i="29" s="1"/>
  <c r="DJ74" i="27"/>
  <c r="DJ74" i="29" s="1"/>
  <c r="DE74" i="27"/>
  <c r="DE74" i="29" s="1"/>
  <c r="DI74" i="27"/>
  <c r="DI74" i="29" s="1"/>
  <c r="DH74" i="27"/>
  <c r="DH74" i="29" s="1"/>
  <c r="DG74" i="27"/>
  <c r="DG74" i="29" s="1"/>
  <c r="DF74" i="27"/>
  <c r="DF74" i="29" s="1"/>
  <c r="DA74" i="27"/>
  <c r="DA74" i="29" s="1"/>
  <c r="Z182" i="26"/>
  <c r="AA181" i="26"/>
  <c r="AC181" i="26" s="1"/>
  <c r="P83" i="27"/>
  <c r="P83" i="29" s="1"/>
  <c r="X83" i="27"/>
  <c r="X83" i="29" s="1"/>
  <c r="W83" i="27"/>
  <c r="W83" i="29" s="1"/>
  <c r="V83" i="27"/>
  <c r="V83" i="29" s="1"/>
  <c r="U83" i="27"/>
  <c r="U83" i="29" s="1"/>
  <c r="T83" i="27"/>
  <c r="T83" i="29" s="1"/>
  <c r="S83" i="27"/>
  <c r="S83" i="29" s="1"/>
  <c r="N83" i="27"/>
  <c r="N83" i="29" s="1"/>
  <c r="J83" i="27"/>
  <c r="J83" i="29" s="1"/>
  <c r="I83" i="27"/>
  <c r="I83" i="29" s="1"/>
  <c r="H83" i="27"/>
  <c r="H83" i="29" s="1"/>
  <c r="Y83" i="27"/>
  <c r="Y83" i="29" s="1"/>
  <c r="L83" i="27"/>
  <c r="L83" i="29" s="1"/>
  <c r="K83" i="27"/>
  <c r="K83" i="29" s="1"/>
  <c r="M83" i="27"/>
  <c r="M83" i="29" s="1"/>
  <c r="R83" i="27"/>
  <c r="R83" i="29" s="1"/>
  <c r="Z259" i="26"/>
  <c r="Q83" i="27"/>
  <c r="Q83" i="29" s="1"/>
  <c r="O83" i="27"/>
  <c r="O83" i="29" s="1"/>
  <c r="AA258" i="26"/>
  <c r="AC258" i="26" s="1"/>
  <c r="BI80" i="29"/>
  <c r="BH80" i="29"/>
  <c r="BG80" i="29"/>
  <c r="BF80" i="29"/>
  <c r="BE80" i="29"/>
  <c r="BD80" i="29"/>
  <c r="BP80" i="29"/>
  <c r="AZ80" i="29"/>
  <c r="BC80" i="29"/>
  <c r="BB80" i="29"/>
  <c r="BA80" i="29"/>
  <c r="AY80" i="29"/>
  <c r="AX80" i="29"/>
  <c r="BQ80" i="29"/>
  <c r="BK80" i="29"/>
  <c r="BM80" i="29"/>
  <c r="BL80" i="29"/>
  <c r="BJ80" i="29"/>
  <c r="BO80" i="29"/>
  <c r="BN80" i="29"/>
  <c r="AA411" i="26"/>
  <c r="AC411" i="26" s="1"/>
  <c r="Z412" i="26"/>
  <c r="DG61" i="27"/>
  <c r="DG61" i="29" s="1"/>
  <c r="DF61" i="27"/>
  <c r="DF61" i="29" s="1"/>
  <c r="DE61" i="27"/>
  <c r="DE61" i="29" s="1"/>
  <c r="DJ61" i="27"/>
  <c r="DJ61" i="29" s="1"/>
  <c r="DI61" i="27"/>
  <c r="DI61" i="29" s="1"/>
  <c r="DH61" i="27"/>
  <c r="DH61" i="29" s="1"/>
  <c r="DD61" i="27"/>
  <c r="DD61" i="29" s="1"/>
  <c r="DC61" i="27"/>
  <c r="DC61" i="29" s="1"/>
  <c r="DB61" i="27"/>
  <c r="DB61" i="29" s="1"/>
  <c r="DA61" i="27"/>
  <c r="DA61" i="29" s="1"/>
  <c r="DS61" i="27"/>
  <c r="DS61" i="29" s="1"/>
  <c r="CZ61" i="27"/>
  <c r="CZ61" i="29" s="1"/>
  <c r="DR61" i="27"/>
  <c r="DR61" i="29" s="1"/>
  <c r="CY61" i="27"/>
  <c r="CY61" i="29" s="1"/>
  <c r="DQ61" i="27"/>
  <c r="DQ61" i="29" s="1"/>
  <c r="DP61" i="27"/>
  <c r="DP61" i="29" s="1"/>
  <c r="DO61" i="27"/>
  <c r="DO61" i="29" s="1"/>
  <c r="DN61" i="27"/>
  <c r="DN61" i="29" s="1"/>
  <c r="DM61" i="27"/>
  <c r="DM61" i="29" s="1"/>
  <c r="DL61" i="27"/>
  <c r="DL61" i="29" s="1"/>
  <c r="DK61" i="27"/>
  <c r="DK61" i="29" s="1"/>
  <c r="DV61" i="27"/>
  <c r="AA133" i="26"/>
  <c r="AC133" i="26" s="1"/>
  <c r="Z134" i="26"/>
  <c r="Z552" i="26" s="1"/>
  <c r="Z894" i="26" l="1"/>
  <c r="AC59" i="27"/>
  <c r="AC59" i="29" s="1"/>
  <c r="AM59" i="27"/>
  <c r="AM59" i="29" s="1"/>
  <c r="AK59" i="27"/>
  <c r="AK59" i="29" s="1"/>
  <c r="AG59" i="27"/>
  <c r="AG59" i="29" s="1"/>
  <c r="AR59" i="27"/>
  <c r="AR59" i="29" s="1"/>
  <c r="AF59" i="27"/>
  <c r="AF59" i="29" s="1"/>
  <c r="AP59" i="27"/>
  <c r="AP59" i="29" s="1"/>
  <c r="AE59" i="27"/>
  <c r="AE59" i="29" s="1"/>
  <c r="AL59" i="27"/>
  <c r="AL59" i="29" s="1"/>
  <c r="AO59" i="27"/>
  <c r="AO59" i="29" s="1"/>
  <c r="AJ59" i="27"/>
  <c r="AJ59" i="29" s="1"/>
  <c r="AD59" i="27"/>
  <c r="AD59" i="29" s="1"/>
  <c r="AN59" i="27"/>
  <c r="AN59" i="29" s="1"/>
  <c r="AU59" i="27"/>
  <c r="AU59" i="29" s="1"/>
  <c r="AH59" i="27"/>
  <c r="AH59" i="29" s="1"/>
  <c r="AI59" i="27"/>
  <c r="AI59" i="29" s="1"/>
  <c r="AS59" i="27"/>
  <c r="AS59" i="29" s="1"/>
  <c r="AT59" i="27"/>
  <c r="AT59" i="29" s="1"/>
  <c r="AQ59" i="27"/>
  <c r="AQ59" i="29" s="1"/>
  <c r="Z759" i="26"/>
  <c r="Z760" i="26" s="1"/>
  <c r="Z761" i="26" s="1"/>
  <c r="Z762" i="26" s="1"/>
  <c r="Z763" i="26" s="1"/>
  <c r="Z764" i="26" s="1"/>
  <c r="Z765" i="26" s="1"/>
  <c r="Z766" i="26" s="1"/>
  <c r="Z753" i="26"/>
  <c r="Z754" i="26" s="1"/>
  <c r="Z755" i="26" s="1"/>
  <c r="Z621" i="26"/>
  <c r="Z606" i="26"/>
  <c r="AD115" i="26"/>
  <c r="AC101" i="26"/>
  <c r="DU16" i="27"/>
  <c r="DV16" i="27"/>
  <c r="AW64" i="27"/>
  <c r="AW64" i="29" s="1"/>
  <c r="K26" i="41"/>
  <c r="L25" i="41"/>
  <c r="R199" i="25"/>
  <c r="V199" i="25"/>
  <c r="Y199" i="25" s="1"/>
  <c r="V232" i="25"/>
  <c r="Y232" i="25" s="1"/>
  <c r="R232" i="25"/>
  <c r="R219" i="25"/>
  <c r="V219" i="25"/>
  <c r="X219" i="25" s="1"/>
  <c r="CD25" i="27"/>
  <c r="CE25" i="27"/>
  <c r="CF25" i="27"/>
  <c r="CF24" i="27" s="1"/>
  <c r="CF24" i="29" s="1"/>
  <c r="EU52" i="27"/>
  <c r="EU52" i="29" s="1"/>
  <c r="AZ44" i="27"/>
  <c r="BA44" i="27"/>
  <c r="BB44" i="27"/>
  <c r="BC44" i="27"/>
  <c r="BD44" i="27"/>
  <c r="BE44" i="27"/>
  <c r="AA752" i="26"/>
  <c r="AC752" i="26" s="1"/>
  <c r="EL52" i="27"/>
  <c r="EL52" i="29" s="1"/>
  <c r="EM52" i="27"/>
  <c r="EM52" i="29" s="1"/>
  <c r="EN52" i="27"/>
  <c r="EN52" i="29" s="1"/>
  <c r="EO52" i="27"/>
  <c r="EO52" i="29" s="1"/>
  <c r="EP52" i="27"/>
  <c r="EP52" i="29" s="1"/>
  <c r="EQ52" i="27"/>
  <c r="EQ52" i="29" s="1"/>
  <c r="ER52" i="27"/>
  <c r="ER52" i="29" s="1"/>
  <c r="ES52" i="27"/>
  <c r="ES52" i="29" s="1"/>
  <c r="ET52" i="27"/>
  <c r="ET52" i="29" s="1"/>
  <c r="Z690" i="26"/>
  <c r="Z663" i="26"/>
  <c r="Z514" i="26"/>
  <c r="DX72" i="27"/>
  <c r="DX72" i="29" s="1"/>
  <c r="DY72" i="27"/>
  <c r="DY72" i="29" s="1"/>
  <c r="DL72" i="27"/>
  <c r="DL72" i="29" s="1"/>
  <c r="DM72" i="27"/>
  <c r="DM72" i="29" s="1"/>
  <c r="DN72" i="27"/>
  <c r="DN72" i="29" s="1"/>
  <c r="DO72" i="27"/>
  <c r="DO72" i="29" s="1"/>
  <c r="DP72" i="27"/>
  <c r="DP72" i="29" s="1"/>
  <c r="DQ72" i="27"/>
  <c r="DQ72" i="29" s="1"/>
  <c r="DR72" i="27"/>
  <c r="DR72" i="29" s="1"/>
  <c r="DS72" i="27"/>
  <c r="DS72" i="29" s="1"/>
  <c r="DT72" i="27"/>
  <c r="DT72" i="29" s="1"/>
  <c r="DU72" i="27"/>
  <c r="DU72" i="29" s="1"/>
  <c r="DV72" i="27"/>
  <c r="DV72" i="29" s="1"/>
  <c r="DW72" i="27"/>
  <c r="DW72" i="29" s="1"/>
  <c r="AA513" i="26"/>
  <c r="AC513" i="26" s="1"/>
  <c r="AA412" i="26"/>
  <c r="AC412" i="26" s="1"/>
  <c r="BA81" i="27"/>
  <c r="BA81" i="29" s="1"/>
  <c r="BB81" i="27"/>
  <c r="BB81" i="29" s="1"/>
  <c r="BC81" i="27"/>
  <c r="BC81" i="29" s="1"/>
  <c r="BD81" i="27"/>
  <c r="BD81" i="29" s="1"/>
  <c r="BE81" i="27"/>
  <c r="BE81" i="29" s="1"/>
  <c r="BF81" i="27"/>
  <c r="BF81" i="29" s="1"/>
  <c r="BG81" i="27"/>
  <c r="BG81" i="29" s="1"/>
  <c r="BH81" i="27"/>
  <c r="BH81" i="29" s="1"/>
  <c r="BI81" i="27"/>
  <c r="BI81" i="29" s="1"/>
  <c r="BJ81" i="27"/>
  <c r="BJ81" i="29" s="1"/>
  <c r="BK81" i="27"/>
  <c r="BK81" i="29" s="1"/>
  <c r="BL81" i="27"/>
  <c r="BL81" i="29" s="1"/>
  <c r="BM81" i="27"/>
  <c r="BM81" i="29" s="1"/>
  <c r="BN81" i="27"/>
  <c r="BN81" i="29" s="1"/>
  <c r="BO81" i="27"/>
  <c r="BO81" i="29" s="1"/>
  <c r="BP81" i="27"/>
  <c r="BP81" i="29" s="1"/>
  <c r="BQ81" i="27"/>
  <c r="BQ81" i="29" s="1"/>
  <c r="BR81" i="27"/>
  <c r="AZ81" i="27"/>
  <c r="AZ81" i="29" s="1"/>
  <c r="Z497" i="26"/>
  <c r="Z493" i="26"/>
  <c r="Z436" i="26"/>
  <c r="BZ77" i="27"/>
  <c r="BY77" i="27"/>
  <c r="BT77" i="27"/>
  <c r="BU77" i="27"/>
  <c r="BV77" i="27"/>
  <c r="BW77" i="27"/>
  <c r="BX77" i="27"/>
  <c r="BS77" i="27"/>
  <c r="AA435" i="26"/>
  <c r="AC435" i="26" s="1"/>
  <c r="AY61" i="27"/>
  <c r="AY61" i="29" s="1"/>
  <c r="AZ61" i="27"/>
  <c r="AZ61" i="29" s="1"/>
  <c r="BA61" i="27"/>
  <c r="BA61" i="29" s="1"/>
  <c r="BB61" i="27"/>
  <c r="BB61" i="29" s="1"/>
  <c r="BC61" i="27"/>
  <c r="BC61" i="29" s="1"/>
  <c r="BD61" i="27"/>
  <c r="BD61" i="29" s="1"/>
  <c r="BE61" i="27"/>
  <c r="BE61" i="29" s="1"/>
  <c r="BF61" i="27"/>
  <c r="BF61" i="29" s="1"/>
  <c r="BG61" i="27"/>
  <c r="BG61" i="29" s="1"/>
  <c r="BH61" i="27"/>
  <c r="BH61" i="29" s="1"/>
  <c r="BI61" i="27"/>
  <c r="BI61" i="29" s="1"/>
  <c r="BJ61" i="27"/>
  <c r="BJ61" i="29" s="1"/>
  <c r="BK61" i="27"/>
  <c r="BK61" i="29" s="1"/>
  <c r="BL61" i="27"/>
  <c r="BL61" i="29" s="1"/>
  <c r="BM61" i="27"/>
  <c r="BM61" i="29" s="1"/>
  <c r="BN61" i="27"/>
  <c r="BN61" i="29" s="1"/>
  <c r="BO61" i="27"/>
  <c r="BO61" i="29" s="1"/>
  <c r="BP61" i="27"/>
  <c r="BP61" i="29" s="1"/>
  <c r="BQ61" i="27"/>
  <c r="BQ61" i="29" s="1"/>
  <c r="BR61" i="27"/>
  <c r="BR61" i="29" s="1"/>
  <c r="AX61" i="27"/>
  <c r="AX61" i="29" s="1"/>
  <c r="AA424" i="26"/>
  <c r="AC424" i="26" s="1"/>
  <c r="AW61" i="27"/>
  <c r="AW61" i="29" s="1"/>
  <c r="AV61" i="27"/>
  <c r="AV61" i="29" s="1"/>
  <c r="AA431" i="26"/>
  <c r="AC431" i="26" s="1"/>
  <c r="AY65" i="27"/>
  <c r="AY65" i="29" s="1"/>
  <c r="AZ65" i="27"/>
  <c r="AZ65" i="29" s="1"/>
  <c r="BA65" i="27"/>
  <c r="BA65" i="29" s="1"/>
  <c r="BB65" i="27"/>
  <c r="BB65" i="29" s="1"/>
  <c r="BC65" i="27"/>
  <c r="BC65" i="29" s="1"/>
  <c r="BD65" i="27"/>
  <c r="BD65" i="29" s="1"/>
  <c r="BE65" i="27"/>
  <c r="BE65" i="29" s="1"/>
  <c r="BF65" i="27"/>
  <c r="BF65" i="29" s="1"/>
  <c r="BG65" i="27"/>
  <c r="BG65" i="29" s="1"/>
  <c r="BH65" i="27"/>
  <c r="BH65" i="29" s="1"/>
  <c r="BI65" i="27"/>
  <c r="BI65" i="29" s="1"/>
  <c r="BJ65" i="27"/>
  <c r="BJ65" i="29" s="1"/>
  <c r="BK65" i="27"/>
  <c r="BK65" i="29" s="1"/>
  <c r="BL65" i="27"/>
  <c r="BL65" i="29" s="1"/>
  <c r="BM65" i="27"/>
  <c r="BM65" i="29" s="1"/>
  <c r="BN65" i="27"/>
  <c r="BN65" i="29" s="1"/>
  <c r="BO65" i="27"/>
  <c r="BO65" i="29" s="1"/>
  <c r="BP65" i="27"/>
  <c r="BP65" i="29" s="1"/>
  <c r="BQ65" i="27"/>
  <c r="BQ65" i="29" s="1"/>
  <c r="BR65" i="27"/>
  <c r="BR65" i="29" s="1"/>
  <c r="AX65" i="27"/>
  <c r="AX65" i="29" s="1"/>
  <c r="Z418" i="26"/>
  <c r="AA417" i="26"/>
  <c r="AC417" i="26" s="1"/>
  <c r="BS59" i="27"/>
  <c r="BS59" i="29" s="1"/>
  <c r="Z462" i="26"/>
  <c r="BU59" i="27"/>
  <c r="BU59" i="29" s="1"/>
  <c r="BV59" i="27"/>
  <c r="BV59" i="29" s="1"/>
  <c r="BW59" i="27"/>
  <c r="BW59" i="29" s="1"/>
  <c r="BX59" i="27"/>
  <c r="BX59" i="29" s="1"/>
  <c r="BY59" i="27"/>
  <c r="BY59" i="29" s="1"/>
  <c r="BZ59" i="27"/>
  <c r="BZ59" i="29" s="1"/>
  <c r="CA59" i="29"/>
  <c r="CB59" i="29"/>
  <c r="BT59" i="27"/>
  <c r="BT59" i="29" s="1"/>
  <c r="AA471" i="26"/>
  <c r="AC471" i="26" s="1"/>
  <c r="AD478" i="26" s="1"/>
  <c r="AW63" i="27"/>
  <c r="AW62" i="27" s="1"/>
  <c r="AA394" i="26"/>
  <c r="AC394" i="26" s="1"/>
  <c r="AV64" i="27"/>
  <c r="AV64" i="29" s="1"/>
  <c r="BS75" i="27"/>
  <c r="BS75" i="29" s="1"/>
  <c r="AA451" i="26"/>
  <c r="AC451" i="26" s="1"/>
  <c r="AD451" i="26" s="1"/>
  <c r="CP76" i="27"/>
  <c r="CM76" i="27"/>
  <c r="CN76" i="27"/>
  <c r="CO76" i="27"/>
  <c r="CB76" i="27"/>
  <c r="CC76" i="27"/>
  <c r="CD76" i="27"/>
  <c r="CE76" i="27"/>
  <c r="CF76" i="27"/>
  <c r="CG76" i="27"/>
  <c r="CH76" i="27"/>
  <c r="CI76" i="27"/>
  <c r="CJ76" i="27"/>
  <c r="CK76" i="27"/>
  <c r="CL76" i="27"/>
  <c r="CA76" i="27"/>
  <c r="Z467" i="26"/>
  <c r="AA466" i="26"/>
  <c r="AC466" i="26" s="1"/>
  <c r="AD412" i="26"/>
  <c r="Z63" i="29"/>
  <c r="AA341" i="26"/>
  <c r="AC341" i="26" s="1"/>
  <c r="E68" i="27"/>
  <c r="E68" i="29" s="1"/>
  <c r="Z305" i="26"/>
  <c r="G68" i="27"/>
  <c r="G68" i="29" s="1"/>
  <c r="F68" i="27"/>
  <c r="F68" i="29" s="1"/>
  <c r="AA306" i="26"/>
  <c r="AC306" i="26" s="1"/>
  <c r="AA798" i="26"/>
  <c r="AC798" i="26" s="1"/>
  <c r="EQ17" i="27"/>
  <c r="EQ17" i="29" s="1"/>
  <c r="Z799" i="26"/>
  <c r="EP17" i="27"/>
  <c r="EP17" i="29" s="1"/>
  <c r="EO17" i="27"/>
  <c r="EO17" i="29" s="1"/>
  <c r="EN17" i="27"/>
  <c r="EN17" i="29" s="1"/>
  <c r="Z321" i="26"/>
  <c r="G82" i="27"/>
  <c r="G82" i="29" s="1"/>
  <c r="AA320" i="26"/>
  <c r="AC320" i="26" s="1"/>
  <c r="EJ9" i="27"/>
  <c r="EJ9" i="29" s="1"/>
  <c r="EI9" i="27"/>
  <c r="EI9" i="29" s="1"/>
  <c r="AA812" i="26"/>
  <c r="AC812" i="26" s="1"/>
  <c r="DU16" i="29"/>
  <c r="AA831" i="26"/>
  <c r="AC831" i="26" s="1"/>
  <c r="DV16" i="29"/>
  <c r="AD172" i="26"/>
  <c r="EB18" i="27"/>
  <c r="EB18" i="29" s="1"/>
  <c r="EK18" i="27"/>
  <c r="EK18" i="29" s="1"/>
  <c r="EJ18" i="27"/>
  <c r="EJ18" i="29" s="1"/>
  <c r="EA18" i="27"/>
  <c r="EA18" i="29" s="1"/>
  <c r="DW18" i="27"/>
  <c r="DW18" i="29" s="1"/>
  <c r="EM18" i="27"/>
  <c r="EM18" i="29" s="1"/>
  <c r="DX18" i="27"/>
  <c r="DX18" i="29" s="1"/>
  <c r="AA11" i="26"/>
  <c r="AC11" i="26" s="1"/>
  <c r="DZ18" i="27"/>
  <c r="DZ18" i="29" s="1"/>
  <c r="ED18" i="27"/>
  <c r="ED18" i="29" s="1"/>
  <c r="EC18" i="27"/>
  <c r="EC18" i="29" s="1"/>
  <c r="DY18" i="27"/>
  <c r="DY18" i="29" s="1"/>
  <c r="EL18" i="27"/>
  <c r="EL18" i="29" s="1"/>
  <c r="Z832" i="26"/>
  <c r="Z12" i="26"/>
  <c r="EI18" i="27"/>
  <c r="EI18" i="29" s="1"/>
  <c r="EH18" i="27"/>
  <c r="EH18" i="29" s="1"/>
  <c r="EG18" i="27"/>
  <c r="EG18" i="29" s="1"/>
  <c r="EF18" i="27"/>
  <c r="EF18" i="29" s="1"/>
  <c r="EE18" i="27"/>
  <c r="EE18" i="29" s="1"/>
  <c r="L84" i="27"/>
  <c r="L84" i="29" s="1"/>
  <c r="U84" i="27"/>
  <c r="U84" i="29" s="1"/>
  <c r="T84" i="27"/>
  <c r="T84" i="29" s="1"/>
  <c r="S84" i="27"/>
  <c r="S84" i="29" s="1"/>
  <c r="R84" i="27"/>
  <c r="R84" i="29" s="1"/>
  <c r="Q84" i="27"/>
  <c r="Q84" i="29" s="1"/>
  <c r="P84" i="27"/>
  <c r="P84" i="29" s="1"/>
  <c r="K84" i="27"/>
  <c r="K84" i="29" s="1"/>
  <c r="V84" i="27"/>
  <c r="V84" i="29" s="1"/>
  <c r="O84" i="27"/>
  <c r="O84" i="29" s="1"/>
  <c r="N84" i="27"/>
  <c r="N84" i="29" s="1"/>
  <c r="M84" i="27"/>
  <c r="M84" i="29" s="1"/>
  <c r="J84" i="27"/>
  <c r="J84" i="29" s="1"/>
  <c r="I84" i="27"/>
  <c r="I84" i="29" s="1"/>
  <c r="H84" i="27"/>
  <c r="H84" i="29" s="1"/>
  <c r="X84" i="27"/>
  <c r="X84" i="29" s="1"/>
  <c r="Y84" i="27"/>
  <c r="Y84" i="29" s="1"/>
  <c r="W84" i="27"/>
  <c r="W84" i="29" s="1"/>
  <c r="AA259" i="26"/>
  <c r="AC259" i="26" s="1"/>
  <c r="Z260" i="26"/>
  <c r="Z327" i="26" s="1"/>
  <c r="R45" i="27"/>
  <c r="R45" i="29" s="1"/>
  <c r="P45" i="27"/>
  <c r="P45" i="29" s="1"/>
  <c r="O45" i="27"/>
  <c r="O45" i="29" s="1"/>
  <c r="M45" i="27"/>
  <c r="M45" i="29" s="1"/>
  <c r="L45" i="27"/>
  <c r="L45" i="29" s="1"/>
  <c r="I45" i="27"/>
  <c r="I45" i="29" s="1"/>
  <c r="H45" i="27"/>
  <c r="H45" i="29" s="1"/>
  <c r="G45" i="27"/>
  <c r="G45" i="29" s="1"/>
  <c r="F45" i="27"/>
  <c r="F45" i="29" s="1"/>
  <c r="U45" i="27"/>
  <c r="U45" i="29" s="1"/>
  <c r="K45" i="27"/>
  <c r="K45" i="29" s="1"/>
  <c r="J45" i="27"/>
  <c r="J45" i="29" s="1"/>
  <c r="T45" i="27"/>
  <c r="T45" i="29" s="1"/>
  <c r="N45" i="27"/>
  <c r="N45" i="29" s="1"/>
  <c r="AA222" i="26"/>
  <c r="AC222" i="26" s="1"/>
  <c r="Z221" i="26"/>
  <c r="S45" i="27"/>
  <c r="S45" i="29" s="1"/>
  <c r="Q45" i="27"/>
  <c r="Q45" i="29" s="1"/>
  <c r="AJ78" i="29"/>
  <c r="AI78" i="29"/>
  <c r="AH78" i="29"/>
  <c r="AW78" i="29"/>
  <c r="AG78" i="29"/>
  <c r="AV78" i="29"/>
  <c r="AF78" i="29"/>
  <c r="AU78" i="29"/>
  <c r="AE78" i="29"/>
  <c r="AQ78" i="29"/>
  <c r="AA78" i="29"/>
  <c r="AS78" i="29"/>
  <c r="AR78" i="29"/>
  <c r="AP78" i="29"/>
  <c r="AO78" i="29"/>
  <c r="AN78" i="29"/>
  <c r="AM78" i="29"/>
  <c r="AL78" i="29"/>
  <c r="AK78" i="29"/>
  <c r="AC78" i="29"/>
  <c r="AT78" i="29"/>
  <c r="AD78" i="29"/>
  <c r="AB78" i="29"/>
  <c r="EY24" i="27"/>
  <c r="EY24" i="29" s="1"/>
  <c r="AA786" i="26"/>
  <c r="AC786" i="26" s="1"/>
  <c r="EW24" i="27"/>
  <c r="EW24" i="29" s="1"/>
  <c r="EV24" i="27"/>
  <c r="EV24" i="29" s="1"/>
  <c r="EX24" i="27"/>
  <c r="EX24" i="29" s="1"/>
  <c r="E61" i="27"/>
  <c r="AA294" i="26"/>
  <c r="AC294" i="26" s="1"/>
  <c r="B45" i="27"/>
  <c r="B45" i="29" s="1"/>
  <c r="E45" i="27"/>
  <c r="E45" i="29" s="1"/>
  <c r="D45" i="27"/>
  <c r="D45" i="29" s="1"/>
  <c r="C45" i="27"/>
  <c r="C45" i="29" s="1"/>
  <c r="Z277" i="26"/>
  <c r="AA278" i="26"/>
  <c r="AC278" i="26" s="1"/>
  <c r="M66" i="27"/>
  <c r="M66" i="29" s="1"/>
  <c r="L66" i="27"/>
  <c r="L66" i="29" s="1"/>
  <c r="K66" i="27"/>
  <c r="K66" i="29" s="1"/>
  <c r="Y66" i="27"/>
  <c r="Y66" i="29" s="1"/>
  <c r="I66" i="27"/>
  <c r="I66" i="29" s="1"/>
  <c r="W66" i="27"/>
  <c r="W66" i="29" s="1"/>
  <c r="N66" i="27"/>
  <c r="N66" i="29" s="1"/>
  <c r="J66" i="27"/>
  <c r="J66" i="29" s="1"/>
  <c r="H66" i="27"/>
  <c r="H66" i="29" s="1"/>
  <c r="X66" i="27"/>
  <c r="X66" i="29" s="1"/>
  <c r="V66" i="27"/>
  <c r="V66" i="29" s="1"/>
  <c r="U66" i="27"/>
  <c r="U66" i="29" s="1"/>
  <c r="T66" i="27"/>
  <c r="T66" i="29" s="1"/>
  <c r="S66" i="27"/>
  <c r="S66" i="29" s="1"/>
  <c r="R66" i="27"/>
  <c r="R66" i="29" s="1"/>
  <c r="Q66" i="27"/>
  <c r="Q66" i="29" s="1"/>
  <c r="P66" i="27"/>
  <c r="P66" i="29" s="1"/>
  <c r="O66" i="27"/>
  <c r="O66" i="29" s="1"/>
  <c r="AA241" i="26"/>
  <c r="AC241" i="26" s="1"/>
  <c r="Z240" i="26"/>
  <c r="Z299" i="26" s="1"/>
  <c r="Z298" i="26" s="1"/>
  <c r="CS75" i="27"/>
  <c r="CS75" i="29" s="1"/>
  <c r="CR75" i="27"/>
  <c r="CR75" i="29" s="1"/>
  <c r="CQ75" i="27"/>
  <c r="CQ75" i="29" s="1"/>
  <c r="DE75" i="27"/>
  <c r="DE75" i="29" s="1"/>
  <c r="DD75" i="27"/>
  <c r="DD75" i="29" s="1"/>
  <c r="CZ75" i="27"/>
  <c r="CZ75" i="29" s="1"/>
  <c r="CV75" i="27"/>
  <c r="CV75" i="29" s="1"/>
  <c r="CU75" i="27"/>
  <c r="CU75" i="29" s="1"/>
  <c r="CT75" i="27"/>
  <c r="CT75" i="29" s="1"/>
  <c r="DF75" i="27"/>
  <c r="DF75" i="29" s="1"/>
  <c r="CX75" i="27"/>
  <c r="CX75" i="29" s="1"/>
  <c r="CW75" i="27"/>
  <c r="CW75" i="29" s="1"/>
  <c r="DC75" i="27"/>
  <c r="DC75" i="29" s="1"/>
  <c r="DB75" i="27"/>
  <c r="DB75" i="29" s="1"/>
  <c r="DA75" i="27"/>
  <c r="DA75" i="29" s="1"/>
  <c r="CY75" i="27"/>
  <c r="CY75" i="29" s="1"/>
  <c r="AA182" i="26"/>
  <c r="AC182" i="26" s="1"/>
  <c r="AD182" i="26" s="1"/>
  <c r="CM41" i="27"/>
  <c r="CM41" i="29" s="1"/>
  <c r="BW41" i="27"/>
  <c r="BW41" i="29" s="1"/>
  <c r="CK41" i="27"/>
  <c r="CK41" i="29" s="1"/>
  <c r="BY41" i="27"/>
  <c r="BY41" i="29" s="1"/>
  <c r="BX41" i="27"/>
  <c r="BX41" i="29" s="1"/>
  <c r="CN41" i="27"/>
  <c r="CN41" i="29" s="1"/>
  <c r="CL41" i="27"/>
  <c r="CL41" i="29" s="1"/>
  <c r="CJ41" i="27"/>
  <c r="CJ41" i="29" s="1"/>
  <c r="CI41" i="27"/>
  <c r="CI41" i="29" s="1"/>
  <c r="CF41" i="27"/>
  <c r="CF41" i="29" s="1"/>
  <c r="CA41" i="27"/>
  <c r="CA41" i="29" s="1"/>
  <c r="BZ41" i="27"/>
  <c r="BZ41" i="29" s="1"/>
  <c r="CE41" i="27"/>
  <c r="CE41" i="29" s="1"/>
  <c r="CD41" i="27"/>
  <c r="CD41" i="29" s="1"/>
  <c r="CC41" i="27"/>
  <c r="CC41" i="29" s="1"/>
  <c r="CB41" i="27"/>
  <c r="CB41" i="29" s="1"/>
  <c r="CH41" i="27"/>
  <c r="CH41" i="29" s="1"/>
  <c r="CG41" i="27"/>
  <c r="CG41" i="29" s="1"/>
  <c r="AA100" i="26"/>
  <c r="AC100" i="26" s="1"/>
  <c r="Z643" i="26"/>
  <c r="EI40" i="27"/>
  <c r="EI40" i="29" s="1"/>
  <c r="ET40" i="27"/>
  <c r="ET40" i="29" s="1"/>
  <c r="EC40" i="27"/>
  <c r="EC40" i="29" s="1"/>
  <c r="ED40" i="27"/>
  <c r="ED40" i="29" s="1"/>
  <c r="EU40" i="27"/>
  <c r="EU40" i="29" s="1"/>
  <c r="ES40" i="27"/>
  <c r="ES40" i="29" s="1"/>
  <c r="ER40" i="27"/>
  <c r="ER40" i="29" s="1"/>
  <c r="EQ40" i="27"/>
  <c r="EQ40" i="29" s="1"/>
  <c r="EP40" i="27"/>
  <c r="EP40" i="29" s="1"/>
  <c r="EO40" i="27"/>
  <c r="EO40" i="29" s="1"/>
  <c r="EL40" i="27"/>
  <c r="EL40" i="29" s="1"/>
  <c r="EF40" i="27"/>
  <c r="EF40" i="29" s="1"/>
  <c r="EE40" i="27"/>
  <c r="EE40" i="29" s="1"/>
  <c r="EN40" i="27"/>
  <c r="EN40" i="29" s="1"/>
  <c r="EM40" i="27"/>
  <c r="EM40" i="29" s="1"/>
  <c r="EK40" i="27"/>
  <c r="EK40" i="29" s="1"/>
  <c r="EJ40" i="27"/>
  <c r="EJ40" i="29" s="1"/>
  <c r="EH40" i="27"/>
  <c r="EH40" i="29" s="1"/>
  <c r="EG40" i="27"/>
  <c r="EG40" i="29" s="1"/>
  <c r="Z779" i="26"/>
  <c r="AA32" i="26"/>
  <c r="AC32" i="26" s="1"/>
  <c r="Z33" i="26"/>
  <c r="Z739" i="26" s="1"/>
  <c r="AA882" i="26"/>
  <c r="AC882" i="26" s="1"/>
  <c r="Z883" i="26"/>
  <c r="AA896" i="26"/>
  <c r="AC896" i="26" s="1"/>
  <c r="AB61" i="27"/>
  <c r="AB61" i="29" s="1"/>
  <c r="AA61" i="27"/>
  <c r="AA61" i="29" s="1"/>
  <c r="Z61" i="27"/>
  <c r="Z61" i="29" s="1"/>
  <c r="AA373" i="26"/>
  <c r="AC373" i="26" s="1"/>
  <c r="AD373" i="26" s="1"/>
  <c r="M61" i="27"/>
  <c r="M61" i="29" s="1"/>
  <c r="L61" i="27"/>
  <c r="L61" i="29" s="1"/>
  <c r="K61" i="27"/>
  <c r="K61" i="29" s="1"/>
  <c r="T61" i="27"/>
  <c r="T61" i="29" s="1"/>
  <c r="S61" i="27"/>
  <c r="S61" i="29" s="1"/>
  <c r="R61" i="27"/>
  <c r="R61" i="29" s="1"/>
  <c r="Q61" i="27"/>
  <c r="Q61" i="29" s="1"/>
  <c r="P61" i="27"/>
  <c r="P61" i="29" s="1"/>
  <c r="O61" i="27"/>
  <c r="O61" i="29" s="1"/>
  <c r="N61" i="27"/>
  <c r="N61" i="29" s="1"/>
  <c r="J61" i="27"/>
  <c r="J61" i="29" s="1"/>
  <c r="I61" i="27"/>
  <c r="I61" i="29" s="1"/>
  <c r="H61" i="27"/>
  <c r="H61" i="29" s="1"/>
  <c r="Y61" i="27"/>
  <c r="Y61" i="29" s="1"/>
  <c r="X61" i="27"/>
  <c r="X61" i="29" s="1"/>
  <c r="W61" i="27"/>
  <c r="W61" i="29" s="1"/>
  <c r="V61" i="27"/>
  <c r="V61" i="29" s="1"/>
  <c r="U61" i="27"/>
  <c r="U61" i="29" s="1"/>
  <c r="G61" i="27"/>
  <c r="G61" i="29" s="1"/>
  <c r="F61" i="27"/>
  <c r="F61" i="29" s="1"/>
  <c r="AA238" i="26"/>
  <c r="AC238" i="26" s="1"/>
  <c r="Z239" i="26"/>
  <c r="CE25" i="29"/>
  <c r="CF25" i="29"/>
  <c r="CD25" i="29"/>
  <c r="AA875" i="26"/>
  <c r="AC875" i="26" s="1"/>
  <c r="Z874" i="26"/>
  <c r="AA874" i="26" s="1"/>
  <c r="AC874" i="26" s="1"/>
  <c r="BV40" i="27"/>
  <c r="BV40" i="29" s="1"/>
  <c r="AA605" i="26"/>
  <c r="AC605" i="26" s="1"/>
  <c r="DZ23" i="27"/>
  <c r="DZ23" i="29" s="1"/>
  <c r="DJ23" i="27"/>
  <c r="DJ23" i="29" s="1"/>
  <c r="DX23" i="27"/>
  <c r="DX23" i="29" s="1"/>
  <c r="DW23" i="27"/>
  <c r="DW23" i="29" s="1"/>
  <c r="DS23" i="27"/>
  <c r="DS23" i="29" s="1"/>
  <c r="DN23" i="27"/>
  <c r="DN23" i="29" s="1"/>
  <c r="EA23" i="27"/>
  <c r="EA23" i="29" s="1"/>
  <c r="DY23" i="27"/>
  <c r="DY23" i="29" s="1"/>
  <c r="DV23" i="27"/>
  <c r="DV23" i="29" s="1"/>
  <c r="DU23" i="27"/>
  <c r="DU23" i="29" s="1"/>
  <c r="DT23" i="27"/>
  <c r="DT23" i="29" s="1"/>
  <c r="DR23" i="27"/>
  <c r="DR23" i="29" s="1"/>
  <c r="DQ23" i="27"/>
  <c r="DQ23" i="29" s="1"/>
  <c r="DP23" i="27"/>
  <c r="DP23" i="29" s="1"/>
  <c r="DM23" i="27"/>
  <c r="DM23" i="29" s="1"/>
  <c r="DL23" i="27"/>
  <c r="DL23" i="29" s="1"/>
  <c r="DO23" i="27"/>
  <c r="DO23" i="29" s="1"/>
  <c r="Z47" i="26"/>
  <c r="DK23" i="27"/>
  <c r="DK23" i="29" s="1"/>
  <c r="AA48" i="26"/>
  <c r="AC48" i="26" s="1"/>
  <c r="CM24" i="27"/>
  <c r="CM24" i="29" s="1"/>
  <c r="CH24" i="27"/>
  <c r="CH24" i="29" s="1"/>
  <c r="Z869" i="26"/>
  <c r="CN24" i="27"/>
  <c r="CN24" i="29" s="1"/>
  <c r="CL24" i="27"/>
  <c r="CL24" i="29" s="1"/>
  <c r="CK24" i="27"/>
  <c r="CK24" i="29" s="1"/>
  <c r="CI24" i="27"/>
  <c r="CI24" i="29" s="1"/>
  <c r="CJ24" i="27"/>
  <c r="CJ24" i="29" s="1"/>
  <c r="AA83" i="26"/>
  <c r="AC83" i="26" s="1"/>
  <c r="CG24" i="27"/>
  <c r="CG24" i="29" s="1"/>
  <c r="CI62" i="27"/>
  <c r="CI62" i="29" s="1"/>
  <c r="CH62" i="27"/>
  <c r="CH62" i="29" s="1"/>
  <c r="CW62" i="27"/>
  <c r="CW62" i="29" s="1"/>
  <c r="CG62" i="27"/>
  <c r="CG62" i="29" s="1"/>
  <c r="CE62" i="27"/>
  <c r="CE62" i="29" s="1"/>
  <c r="CD62" i="27"/>
  <c r="CD62" i="29" s="1"/>
  <c r="CV62" i="27"/>
  <c r="CV62" i="29" s="1"/>
  <c r="CC62" i="27"/>
  <c r="CC62" i="29" s="1"/>
  <c r="CU62" i="27"/>
  <c r="CU62" i="29" s="1"/>
  <c r="CT62" i="27"/>
  <c r="CT62" i="29" s="1"/>
  <c r="CS62" i="27"/>
  <c r="CS62" i="29" s="1"/>
  <c r="CR62" i="27"/>
  <c r="CR62" i="29" s="1"/>
  <c r="CQ62" i="27"/>
  <c r="CQ62" i="29" s="1"/>
  <c r="CP62" i="27"/>
  <c r="CP62" i="29" s="1"/>
  <c r="CO62" i="27"/>
  <c r="CO62" i="29" s="1"/>
  <c r="CM62" i="27"/>
  <c r="CM62" i="29" s="1"/>
  <c r="CL62" i="27"/>
  <c r="CL62" i="29" s="1"/>
  <c r="CK62" i="27"/>
  <c r="CK62" i="29" s="1"/>
  <c r="CJ62" i="27"/>
  <c r="CJ62" i="29" s="1"/>
  <c r="CF62" i="27"/>
  <c r="CF62" i="29" s="1"/>
  <c r="CN62" i="27"/>
  <c r="CN62" i="29" s="1"/>
  <c r="AA155" i="26"/>
  <c r="AC155" i="26" s="1"/>
  <c r="Z156" i="26"/>
  <c r="EW39" i="27"/>
  <c r="EW39" i="29" s="1"/>
  <c r="EV39" i="27"/>
  <c r="EV39" i="29" s="1"/>
  <c r="AA778" i="26"/>
  <c r="AC778" i="26" s="1"/>
  <c r="CV46" i="27"/>
  <c r="CV46" i="29" s="1"/>
  <c r="CF46" i="27"/>
  <c r="CF46" i="29" s="1"/>
  <c r="CT46" i="27"/>
  <c r="CT46" i="29" s="1"/>
  <c r="CD46" i="27"/>
  <c r="CD46" i="29" s="1"/>
  <c r="CG46" i="27"/>
  <c r="CG46" i="29" s="1"/>
  <c r="CW46" i="27"/>
  <c r="CW46" i="29" s="1"/>
  <c r="CC46" i="27"/>
  <c r="CC46" i="29" s="1"/>
  <c r="CU46" i="27"/>
  <c r="CU46" i="29" s="1"/>
  <c r="CS46" i="27"/>
  <c r="CS46" i="29" s="1"/>
  <c r="CQ46" i="27"/>
  <c r="CQ46" i="29" s="1"/>
  <c r="CP46" i="27"/>
  <c r="CP46" i="29" s="1"/>
  <c r="CO46" i="27"/>
  <c r="CO46" i="29" s="1"/>
  <c r="CR46" i="27"/>
  <c r="CR46" i="29" s="1"/>
  <c r="CL46" i="27"/>
  <c r="CL46" i="29" s="1"/>
  <c r="CE46" i="27"/>
  <c r="CE46" i="29" s="1"/>
  <c r="CN46" i="27"/>
  <c r="CN46" i="29" s="1"/>
  <c r="CJ46" i="27"/>
  <c r="CJ46" i="29" s="1"/>
  <c r="CI46" i="27"/>
  <c r="CI46" i="29" s="1"/>
  <c r="CH46" i="27"/>
  <c r="CH46" i="29" s="1"/>
  <c r="CM46" i="27"/>
  <c r="CM46" i="29" s="1"/>
  <c r="Z138" i="26"/>
  <c r="CK46" i="27"/>
  <c r="CK46" i="29" s="1"/>
  <c r="AA139" i="26"/>
  <c r="AC139" i="26" s="1"/>
  <c r="DE41" i="27"/>
  <c r="DE41" i="29" s="1"/>
  <c r="DD41" i="27"/>
  <c r="DD41" i="29" s="1"/>
  <c r="CS41" i="27"/>
  <c r="CS41" i="29" s="1"/>
  <c r="CR41" i="27"/>
  <c r="CR41" i="29" s="1"/>
  <c r="CQ41" i="27"/>
  <c r="CQ41" i="29" s="1"/>
  <c r="DH41" i="27"/>
  <c r="DH41" i="29" s="1"/>
  <c r="DG41" i="27"/>
  <c r="DG41" i="29" s="1"/>
  <c r="DF41" i="27"/>
  <c r="DF41" i="29" s="1"/>
  <c r="DC41" i="27"/>
  <c r="DC41" i="29" s="1"/>
  <c r="CZ41" i="27"/>
  <c r="CZ41" i="29" s="1"/>
  <c r="CU41" i="27"/>
  <c r="CU41" i="29" s="1"/>
  <c r="CT41" i="27"/>
  <c r="CT41" i="29" s="1"/>
  <c r="DB41" i="27"/>
  <c r="DB41" i="29" s="1"/>
  <c r="CW41" i="27"/>
  <c r="CW41" i="29" s="1"/>
  <c r="CV41" i="27"/>
  <c r="CV41" i="29" s="1"/>
  <c r="CY41" i="27"/>
  <c r="CY41" i="29" s="1"/>
  <c r="Z667" i="26"/>
  <c r="CX41" i="27"/>
  <c r="CX41" i="29" s="1"/>
  <c r="DA41" i="27"/>
  <c r="DA41" i="29" s="1"/>
  <c r="AA82" i="26"/>
  <c r="AC82" i="26" s="1"/>
  <c r="AD82" i="26" s="1"/>
  <c r="DY39" i="27"/>
  <c r="DY39" i="29" s="1"/>
  <c r="DL39" i="27"/>
  <c r="DL39" i="29" s="1"/>
  <c r="DV39" i="27"/>
  <c r="DV39" i="29" s="1"/>
  <c r="DU39" i="27"/>
  <c r="DU39" i="29" s="1"/>
  <c r="DT39" i="27"/>
  <c r="DT39" i="29" s="1"/>
  <c r="DS39" i="27"/>
  <c r="DS39" i="29" s="1"/>
  <c r="DR39" i="27"/>
  <c r="DR39" i="29" s="1"/>
  <c r="DQ39" i="27"/>
  <c r="DQ39" i="29" s="1"/>
  <c r="DP39" i="27"/>
  <c r="DP39" i="29" s="1"/>
  <c r="DM39" i="27"/>
  <c r="DM39" i="29" s="1"/>
  <c r="DX39" i="27"/>
  <c r="DX39" i="29" s="1"/>
  <c r="DW39" i="27"/>
  <c r="DW39" i="29" s="1"/>
  <c r="EA39" i="27"/>
  <c r="EA39" i="29" s="1"/>
  <c r="AA64" i="26"/>
  <c r="AC64" i="26" s="1"/>
  <c r="DZ39" i="27"/>
  <c r="DZ39" i="29" s="1"/>
  <c r="DK39" i="27"/>
  <c r="DK39" i="29" s="1"/>
  <c r="Z65" i="26"/>
  <c r="DO39" i="27"/>
  <c r="DO39" i="29" s="1"/>
  <c r="DN39" i="27"/>
  <c r="DN39" i="29" s="1"/>
  <c r="DJ39" i="27"/>
  <c r="DJ39" i="29" s="1"/>
  <c r="BU77" i="29"/>
  <c r="BT77" i="29"/>
  <c r="BS77" i="29"/>
  <c r="BR81" i="29"/>
  <c r="BX76" i="29"/>
  <c r="BX77" i="29"/>
  <c r="BS76" i="29"/>
  <c r="BW77" i="29"/>
  <c r="BV77" i="29"/>
  <c r="BZ77" i="29"/>
  <c r="BU76" i="29"/>
  <c r="BY77" i="29"/>
  <c r="BR80" i="29"/>
  <c r="BZ76" i="29"/>
  <c r="BY76" i="29"/>
  <c r="BW76" i="29"/>
  <c r="BV76" i="29"/>
  <c r="BT76" i="29"/>
  <c r="Z357" i="26"/>
  <c r="Z78" i="27" s="1"/>
  <c r="Z78" i="29" s="1"/>
  <c r="AA356" i="26"/>
  <c r="AC356" i="26" s="1"/>
  <c r="BC44" i="29"/>
  <c r="BB44" i="29"/>
  <c r="BA44" i="29"/>
  <c r="AZ44" i="29"/>
  <c r="BE44" i="29"/>
  <c r="BD44" i="29"/>
  <c r="AA571" i="26"/>
  <c r="AC571" i="26" s="1"/>
  <c r="Z570" i="26"/>
  <c r="DP62" i="27"/>
  <c r="DP62" i="29" s="1"/>
  <c r="CZ62" i="27"/>
  <c r="CZ62" i="29" s="1"/>
  <c r="DO62" i="27"/>
  <c r="DO62" i="29" s="1"/>
  <c r="CY62" i="27"/>
  <c r="CY62" i="29" s="1"/>
  <c r="DN62" i="27"/>
  <c r="DN62" i="29" s="1"/>
  <c r="DB62" i="27"/>
  <c r="DB62" i="29" s="1"/>
  <c r="DA62" i="27"/>
  <c r="DA62" i="29" s="1"/>
  <c r="DS62" i="27"/>
  <c r="DS62" i="29" s="1"/>
  <c r="DR62" i="27"/>
  <c r="DR62" i="29" s="1"/>
  <c r="DQ62" i="27"/>
  <c r="DQ62" i="29" s="1"/>
  <c r="DM62" i="27"/>
  <c r="DM62" i="29" s="1"/>
  <c r="DL62" i="27"/>
  <c r="DL62" i="29" s="1"/>
  <c r="DK62" i="27"/>
  <c r="DK62" i="29" s="1"/>
  <c r="DJ62" i="27"/>
  <c r="DJ62" i="29" s="1"/>
  <c r="DI62" i="27"/>
  <c r="DI62" i="29" s="1"/>
  <c r="DH62" i="27"/>
  <c r="DH62" i="29" s="1"/>
  <c r="DE62" i="27"/>
  <c r="DE62" i="29" s="1"/>
  <c r="DD62" i="27"/>
  <c r="DD62" i="29" s="1"/>
  <c r="DC62" i="27"/>
  <c r="DC62" i="29" s="1"/>
  <c r="DG62" i="27"/>
  <c r="DG62" i="29" s="1"/>
  <c r="DF62" i="27"/>
  <c r="DF62" i="29" s="1"/>
  <c r="Z135" i="26"/>
  <c r="Z553" i="26" s="1"/>
  <c r="AA134" i="26"/>
  <c r="AC134" i="26" s="1"/>
  <c r="CG76" i="29"/>
  <c r="CF76" i="29"/>
  <c r="CE76" i="29"/>
  <c r="CD76" i="29"/>
  <c r="CC76" i="29"/>
  <c r="CB76" i="29"/>
  <c r="CN76" i="29"/>
  <c r="CP76" i="29"/>
  <c r="CO76" i="29"/>
  <c r="CM76" i="29"/>
  <c r="CL76" i="29"/>
  <c r="CK76" i="29"/>
  <c r="CJ76" i="29"/>
  <c r="CI76" i="29"/>
  <c r="CA76" i="29"/>
  <c r="CH76" i="29"/>
  <c r="BE58" i="29"/>
  <c r="BD58" i="29"/>
  <c r="AA565" i="26"/>
  <c r="AC565" i="26" s="1"/>
  <c r="AD565" i="26" s="1"/>
  <c r="DV61" i="29"/>
  <c r="DU61" i="27"/>
  <c r="DU61" i="29" s="1"/>
  <c r="DT61" i="27"/>
  <c r="DT61" i="29" s="1"/>
  <c r="AA551" i="26"/>
  <c r="AC551" i="26" s="1"/>
  <c r="DM46" i="27"/>
  <c r="DM46" i="29" s="1"/>
  <c r="DK46" i="27"/>
  <c r="DK46" i="29" s="1"/>
  <c r="DR46" i="27"/>
  <c r="DR46" i="29" s="1"/>
  <c r="CZ46" i="27"/>
  <c r="CZ46" i="29" s="1"/>
  <c r="DP46" i="27"/>
  <c r="DP46" i="29" s="1"/>
  <c r="DO46" i="27"/>
  <c r="DO46" i="29" s="1"/>
  <c r="DN46" i="27"/>
  <c r="DN46" i="29" s="1"/>
  <c r="DJ46" i="27"/>
  <c r="DJ46" i="29" s="1"/>
  <c r="DI46" i="27"/>
  <c r="DI46" i="29" s="1"/>
  <c r="DH46" i="27"/>
  <c r="DH46" i="29" s="1"/>
  <c r="DE46" i="27"/>
  <c r="DE46" i="29" s="1"/>
  <c r="DD46" i="27"/>
  <c r="DD46" i="29" s="1"/>
  <c r="DC46" i="27"/>
  <c r="DC46" i="29" s="1"/>
  <c r="DB46" i="27"/>
  <c r="DB46" i="29" s="1"/>
  <c r="DA46" i="27"/>
  <c r="DA46" i="29" s="1"/>
  <c r="CY46" i="27"/>
  <c r="CY46" i="29" s="1"/>
  <c r="DG46" i="27"/>
  <c r="DG46" i="29" s="1"/>
  <c r="DF46" i="27"/>
  <c r="DF46" i="29" s="1"/>
  <c r="DS46" i="27"/>
  <c r="DS46" i="29" s="1"/>
  <c r="DQ46" i="27"/>
  <c r="DQ46" i="29" s="1"/>
  <c r="DL46" i="27"/>
  <c r="DL46" i="29" s="1"/>
  <c r="AA118" i="26"/>
  <c r="AC118" i="26" s="1"/>
  <c r="Z117" i="26"/>
  <c r="DY52" i="27"/>
  <c r="DY52" i="29" s="1"/>
  <c r="DZ52" i="27"/>
  <c r="DZ52" i="29" s="1"/>
  <c r="DX52" i="27"/>
  <c r="DX52" i="29" s="1"/>
  <c r="DW52" i="27"/>
  <c r="DW52" i="29" s="1"/>
  <c r="EI52" i="27"/>
  <c r="EI52" i="29" s="1"/>
  <c r="EG52" i="27"/>
  <c r="EG52" i="29" s="1"/>
  <c r="DV52" i="27"/>
  <c r="DV52" i="29" s="1"/>
  <c r="EK52" i="27"/>
  <c r="EK52" i="29" s="1"/>
  <c r="EJ52" i="27"/>
  <c r="EJ52" i="29" s="1"/>
  <c r="EH52" i="27"/>
  <c r="EH52" i="29" s="1"/>
  <c r="EE52" i="27"/>
  <c r="EE52" i="29" s="1"/>
  <c r="ED52" i="27"/>
  <c r="ED52" i="29" s="1"/>
  <c r="EC52" i="27"/>
  <c r="EC52" i="29" s="1"/>
  <c r="EB52" i="27"/>
  <c r="EB52" i="29" s="1"/>
  <c r="EA52" i="27"/>
  <c r="EA52" i="29" s="1"/>
  <c r="EF52" i="27"/>
  <c r="EF52" i="29" s="1"/>
  <c r="Z43" i="26"/>
  <c r="AA42" i="26"/>
  <c r="AC42" i="26" s="1"/>
  <c r="EQ23" i="27"/>
  <c r="EQ23" i="29" s="1"/>
  <c r="EO23" i="27"/>
  <c r="EO23" i="29" s="1"/>
  <c r="EN23" i="27"/>
  <c r="EN23" i="29" s="1"/>
  <c r="EJ23" i="27"/>
  <c r="EJ23" i="29" s="1"/>
  <c r="EU23" i="27"/>
  <c r="EU23" i="29" s="1"/>
  <c r="EE23" i="27"/>
  <c r="EE23" i="29" s="1"/>
  <c r="EF23" i="27"/>
  <c r="EF23" i="29" s="1"/>
  <c r="ED23" i="27"/>
  <c r="ED23" i="29" s="1"/>
  <c r="EC23" i="27"/>
  <c r="EC23" i="29" s="1"/>
  <c r="ET23" i="27"/>
  <c r="ET23" i="29" s="1"/>
  <c r="ES23" i="27"/>
  <c r="ES23" i="29" s="1"/>
  <c r="ER23" i="27"/>
  <c r="ER23" i="29" s="1"/>
  <c r="EM23" i="27"/>
  <c r="EM23" i="29" s="1"/>
  <c r="EL23" i="27"/>
  <c r="EL23" i="29" s="1"/>
  <c r="EK23" i="27"/>
  <c r="EK23" i="29" s="1"/>
  <c r="EI23" i="27"/>
  <c r="EI23" i="29" s="1"/>
  <c r="EH23" i="27"/>
  <c r="EH23" i="29" s="1"/>
  <c r="EG23" i="27"/>
  <c r="EG23" i="29" s="1"/>
  <c r="AA15" i="26"/>
  <c r="AC15" i="26" s="1"/>
  <c r="Z14" i="26"/>
  <c r="EP23" i="27"/>
  <c r="EP23" i="29" s="1"/>
  <c r="Z785" i="26"/>
  <c r="CO24" i="27" l="1"/>
  <c r="CP24" i="27"/>
  <c r="CQ24" i="27"/>
  <c r="CR24" i="27"/>
  <c r="CS24" i="27"/>
  <c r="AA753" i="26"/>
  <c r="AC753" i="26" s="1"/>
  <c r="AD878" i="26"/>
  <c r="DU17" i="27"/>
  <c r="DV17" i="27"/>
  <c r="Z893" i="26"/>
  <c r="AC58" i="27"/>
  <c r="AC58" i="29" s="1"/>
  <c r="AH58" i="27"/>
  <c r="AH58" i="29" s="1"/>
  <c r="AF58" i="27"/>
  <c r="AF58" i="29" s="1"/>
  <c r="AK58" i="27"/>
  <c r="AK58" i="29" s="1"/>
  <c r="AE58" i="27"/>
  <c r="AE58" i="29" s="1"/>
  <c r="AG58" i="27"/>
  <c r="AG58" i="29" s="1"/>
  <c r="AM58" i="27"/>
  <c r="AM58" i="29" s="1"/>
  <c r="AI58" i="27"/>
  <c r="AI58" i="29" s="1"/>
  <c r="AJ58" i="27"/>
  <c r="AJ58" i="29" s="1"/>
  <c r="AD58" i="27"/>
  <c r="AD58" i="29" s="1"/>
  <c r="AL58" i="27"/>
  <c r="AL58" i="29" s="1"/>
  <c r="L26" i="41"/>
  <c r="K27" i="41"/>
  <c r="Z219" i="25"/>
  <c r="Y219" i="25"/>
  <c r="AA219" i="25"/>
  <c r="AE219" i="25" s="1"/>
  <c r="AA199" i="25"/>
  <c r="AE199" i="25" s="1"/>
  <c r="U200" i="25"/>
  <c r="Z199" i="25"/>
  <c r="Z232" i="25"/>
  <c r="AA232" i="25"/>
  <c r="AE232" i="25" s="1"/>
  <c r="X199" i="25"/>
  <c r="X232" i="25"/>
  <c r="AW62" i="29"/>
  <c r="AW63" i="29"/>
  <c r="EW44" i="27"/>
  <c r="EW44" i="29" s="1"/>
  <c r="EM44" i="27"/>
  <c r="EM44" i="29" s="1"/>
  <c r="EN44" i="27"/>
  <c r="EN44" i="29" s="1"/>
  <c r="EO44" i="27"/>
  <c r="EO44" i="29" s="1"/>
  <c r="EP44" i="27"/>
  <c r="EP44" i="29" s="1"/>
  <c r="EQ44" i="27"/>
  <c r="EQ44" i="29" s="1"/>
  <c r="ER44" i="27"/>
  <c r="ER44" i="29" s="1"/>
  <c r="ES44" i="27"/>
  <c r="ES44" i="29" s="1"/>
  <c r="ET44" i="27"/>
  <c r="ET44" i="29" s="1"/>
  <c r="EU44" i="27"/>
  <c r="EU44" i="29" s="1"/>
  <c r="EV44" i="27"/>
  <c r="EV44" i="29" s="1"/>
  <c r="EL44" i="27"/>
  <c r="EL44" i="29" s="1"/>
  <c r="AA759" i="26"/>
  <c r="AC759" i="26" s="1"/>
  <c r="AZ43" i="27"/>
  <c r="BA43" i="27"/>
  <c r="BB43" i="27"/>
  <c r="BC43" i="27"/>
  <c r="BD43" i="27"/>
  <c r="BE43" i="27"/>
  <c r="EB41" i="27"/>
  <c r="EB41" i="29" s="1"/>
  <c r="AA739" i="26"/>
  <c r="AC739" i="26" s="1"/>
  <c r="Z738" i="26"/>
  <c r="CH42" i="27"/>
  <c r="CI42" i="27"/>
  <c r="CJ42" i="27"/>
  <c r="CK42" i="27"/>
  <c r="CL42" i="27"/>
  <c r="CM42" i="27"/>
  <c r="CN42" i="27"/>
  <c r="CO42" i="27"/>
  <c r="CP42" i="27"/>
  <c r="DG75" i="27"/>
  <c r="DH75" i="27"/>
  <c r="DI75" i="27"/>
  <c r="DJ75" i="27"/>
  <c r="DK75" i="27"/>
  <c r="Z515" i="26"/>
  <c r="DM73" i="27"/>
  <c r="DM73" i="29" s="1"/>
  <c r="DN73" i="27"/>
  <c r="DN73" i="29" s="1"/>
  <c r="DO73" i="27"/>
  <c r="DO73" i="29" s="1"/>
  <c r="DP73" i="27"/>
  <c r="DP73" i="29" s="1"/>
  <c r="DQ73" i="27"/>
  <c r="DQ73" i="29" s="1"/>
  <c r="DR73" i="27"/>
  <c r="DR73" i="29" s="1"/>
  <c r="DS73" i="27"/>
  <c r="DS73" i="29" s="1"/>
  <c r="DT73" i="27"/>
  <c r="DT73" i="29" s="1"/>
  <c r="DU73" i="27"/>
  <c r="DU73" i="29" s="1"/>
  <c r="DV73" i="27"/>
  <c r="DV73" i="29" s="1"/>
  <c r="DW73" i="27"/>
  <c r="DW73" i="29" s="1"/>
  <c r="DX73" i="27"/>
  <c r="DX73" i="29" s="1"/>
  <c r="DY73" i="27"/>
  <c r="DY73" i="29" s="1"/>
  <c r="DZ73" i="27"/>
  <c r="DZ73" i="29" s="1"/>
  <c r="DL73" i="27"/>
  <c r="DL73" i="29" s="1"/>
  <c r="AA514" i="26"/>
  <c r="AC514" i="26" s="1"/>
  <c r="CP41" i="27"/>
  <c r="CP41" i="29" s="1"/>
  <c r="CO41" i="27"/>
  <c r="CO41" i="29" s="1"/>
  <c r="AA663" i="26"/>
  <c r="AC663" i="26" s="1"/>
  <c r="Z662" i="26"/>
  <c r="DI41" i="27"/>
  <c r="DI41" i="29" s="1"/>
  <c r="AA690" i="26"/>
  <c r="AC690" i="26" s="1"/>
  <c r="Z689" i="26"/>
  <c r="AA754" i="26"/>
  <c r="AC754" i="26" s="1"/>
  <c r="EL53" i="27"/>
  <c r="EL53" i="29" s="1"/>
  <c r="EM53" i="27"/>
  <c r="EM53" i="29" s="1"/>
  <c r="EN53" i="27"/>
  <c r="EN53" i="29" s="1"/>
  <c r="H86" i="27"/>
  <c r="I86" i="27"/>
  <c r="J86" i="27"/>
  <c r="K86" i="27"/>
  <c r="L86" i="27"/>
  <c r="M86" i="27"/>
  <c r="N86" i="27"/>
  <c r="O86" i="27"/>
  <c r="P86" i="27"/>
  <c r="Q86" i="27"/>
  <c r="R86" i="27"/>
  <c r="S86" i="27"/>
  <c r="T86" i="27"/>
  <c r="U86" i="27"/>
  <c r="V86" i="27"/>
  <c r="W86" i="27"/>
  <c r="X86" i="27"/>
  <c r="Y86" i="27"/>
  <c r="Z86" i="27"/>
  <c r="G86" i="27"/>
  <c r="CB77" i="27"/>
  <c r="CB77" i="29" s="1"/>
  <c r="CC77" i="27"/>
  <c r="CC77" i="29" s="1"/>
  <c r="CD77" i="27"/>
  <c r="CD77" i="29" s="1"/>
  <c r="CE77" i="27"/>
  <c r="CE77" i="29" s="1"/>
  <c r="CF77" i="27"/>
  <c r="CF77" i="29" s="1"/>
  <c r="CG77" i="27"/>
  <c r="CG77" i="29" s="1"/>
  <c r="CH77" i="27"/>
  <c r="CH77" i="29" s="1"/>
  <c r="CI77" i="27"/>
  <c r="CI77" i="29" s="1"/>
  <c r="CJ77" i="27"/>
  <c r="CJ77" i="29" s="1"/>
  <c r="CK77" i="27"/>
  <c r="CK77" i="29" s="1"/>
  <c r="CL77" i="27"/>
  <c r="CL77" i="29" s="1"/>
  <c r="CA77" i="27"/>
  <c r="CA77" i="29" s="1"/>
  <c r="AA467" i="26"/>
  <c r="AC467" i="26" s="1"/>
  <c r="AD467" i="26" s="1"/>
  <c r="AA393" i="26"/>
  <c r="AC393" i="26" s="1"/>
  <c r="AD407" i="26" s="1"/>
  <c r="AV63" i="27"/>
  <c r="AV62" i="27" s="1"/>
  <c r="AA462" i="26"/>
  <c r="AC462" i="26" s="1"/>
  <c r="Z461" i="26"/>
  <c r="AA418" i="26"/>
  <c r="AC418" i="26" s="1"/>
  <c r="AD418" i="26" s="1"/>
  <c r="AY66" i="27"/>
  <c r="AY66" i="29" s="1"/>
  <c r="AZ66" i="27"/>
  <c r="AZ66" i="29" s="1"/>
  <c r="BA66" i="27"/>
  <c r="BA66" i="29" s="1"/>
  <c r="BB66" i="27"/>
  <c r="BB66" i="29" s="1"/>
  <c r="BC66" i="27"/>
  <c r="BC66" i="29" s="1"/>
  <c r="BD66" i="27"/>
  <c r="BD66" i="29" s="1"/>
  <c r="BE66" i="27"/>
  <c r="BE66" i="29" s="1"/>
  <c r="BF66" i="27"/>
  <c r="BF66" i="29" s="1"/>
  <c r="BG66" i="27"/>
  <c r="BG66" i="29" s="1"/>
  <c r="BH66" i="27"/>
  <c r="BH66" i="29" s="1"/>
  <c r="BI66" i="27"/>
  <c r="BI66" i="29" s="1"/>
  <c r="BJ66" i="27"/>
  <c r="BJ66" i="29" s="1"/>
  <c r="BK66" i="27"/>
  <c r="BK66" i="29" s="1"/>
  <c r="BL66" i="27"/>
  <c r="BL66" i="29" s="1"/>
  <c r="BM66" i="27"/>
  <c r="BM66" i="29" s="1"/>
  <c r="BN66" i="27"/>
  <c r="BN66" i="29" s="1"/>
  <c r="BO66" i="27"/>
  <c r="BO66" i="29" s="1"/>
  <c r="BP66" i="27"/>
  <c r="BP66" i="29" s="1"/>
  <c r="BQ66" i="27"/>
  <c r="BQ66" i="29" s="1"/>
  <c r="BR66" i="27"/>
  <c r="BR66" i="29" s="1"/>
  <c r="AX66" i="27"/>
  <c r="AX66" i="29" s="1"/>
  <c r="AV60" i="27"/>
  <c r="AV60" i="29" s="1"/>
  <c r="AW60" i="27"/>
  <c r="AW60" i="29" s="1"/>
  <c r="AA430" i="26"/>
  <c r="AC430" i="26" s="1"/>
  <c r="AY60" i="27"/>
  <c r="AY60" i="29" s="1"/>
  <c r="AZ60" i="27"/>
  <c r="AZ60" i="29" s="1"/>
  <c r="BA60" i="27"/>
  <c r="BA60" i="29" s="1"/>
  <c r="BB60" i="27"/>
  <c r="BB60" i="29" s="1"/>
  <c r="BC60" i="27"/>
  <c r="BC60" i="29" s="1"/>
  <c r="BD60" i="27"/>
  <c r="BD60" i="29" s="1"/>
  <c r="BE60" i="27"/>
  <c r="BE60" i="29" s="1"/>
  <c r="BF60" i="27"/>
  <c r="BF60" i="29" s="1"/>
  <c r="BG60" i="27"/>
  <c r="BG60" i="29" s="1"/>
  <c r="BH60" i="27"/>
  <c r="BH60" i="29" s="1"/>
  <c r="BI60" i="27"/>
  <c r="BI60" i="29" s="1"/>
  <c r="BJ60" i="27"/>
  <c r="BJ60" i="29" s="1"/>
  <c r="BK60" i="27"/>
  <c r="BK60" i="29" s="1"/>
  <c r="BL60" i="27"/>
  <c r="BL60" i="29" s="1"/>
  <c r="BM60" i="27"/>
  <c r="BM60" i="29" s="1"/>
  <c r="BN60" i="27"/>
  <c r="BN60" i="29" s="1"/>
  <c r="BO60" i="27"/>
  <c r="BO60" i="29" s="1"/>
  <c r="BP60" i="27"/>
  <c r="BP60" i="29" s="1"/>
  <c r="BQ60" i="27"/>
  <c r="BQ60" i="29" s="1"/>
  <c r="BR60" i="27"/>
  <c r="BR60" i="29" s="1"/>
  <c r="AX60" i="27"/>
  <c r="AX60" i="29" s="1"/>
  <c r="AA423" i="26"/>
  <c r="AC423" i="26" s="1"/>
  <c r="Z437" i="26"/>
  <c r="BY78" i="27"/>
  <c r="BY78" i="29" s="1"/>
  <c r="BT78" i="27"/>
  <c r="BT78" i="29" s="1"/>
  <c r="BU78" i="27"/>
  <c r="BU78" i="29" s="1"/>
  <c r="BV78" i="27"/>
  <c r="BV78" i="29" s="1"/>
  <c r="BW78" i="27"/>
  <c r="BW78" i="29" s="1"/>
  <c r="BX78" i="27"/>
  <c r="BX78" i="29" s="1"/>
  <c r="BS78" i="27"/>
  <c r="BS78" i="29" s="1"/>
  <c r="AA436" i="26"/>
  <c r="AC436" i="26" s="1"/>
  <c r="CP75" i="27"/>
  <c r="CP75" i="29" s="1"/>
  <c r="AA493" i="26"/>
  <c r="AC493" i="26" s="1"/>
  <c r="AD493" i="26" s="1"/>
  <c r="AA497" i="26"/>
  <c r="AC497" i="26" s="1"/>
  <c r="Z498" i="26"/>
  <c r="EQ18" i="27"/>
  <c r="EQ18" i="29" s="1"/>
  <c r="EP18" i="27"/>
  <c r="EP18" i="29" s="1"/>
  <c r="EO18" i="27"/>
  <c r="EO18" i="29" s="1"/>
  <c r="EN18" i="27"/>
  <c r="EN18" i="29" s="1"/>
  <c r="Z800" i="26"/>
  <c r="Z801" i="26" s="1"/>
  <c r="Z802" i="26" s="1"/>
  <c r="Z803" i="26" s="1"/>
  <c r="AA799" i="26"/>
  <c r="AC799" i="26" s="1"/>
  <c r="Z322" i="26"/>
  <c r="G83" i="27"/>
  <c r="G83" i="29" s="1"/>
  <c r="AA321" i="26"/>
  <c r="AC321" i="26" s="1"/>
  <c r="EK19" i="27"/>
  <c r="EK19" i="29" s="1"/>
  <c r="Z833" i="26"/>
  <c r="ED19" i="27"/>
  <c r="ED19" i="29" s="1"/>
  <c r="EC19" i="27"/>
  <c r="EC19" i="29" s="1"/>
  <c r="DX19" i="27"/>
  <c r="DX19" i="29" s="1"/>
  <c r="EJ19" i="27"/>
  <c r="EJ19" i="29" s="1"/>
  <c r="EE19" i="27"/>
  <c r="EE19" i="29" s="1"/>
  <c r="DZ19" i="27"/>
  <c r="DZ19" i="29" s="1"/>
  <c r="DY19" i="27"/>
  <c r="DY19" i="29" s="1"/>
  <c r="AA12" i="26"/>
  <c r="AC12" i="26" s="1"/>
  <c r="AD12" i="26" s="1"/>
  <c r="Z806" i="26"/>
  <c r="EI19" i="27"/>
  <c r="EI19" i="29" s="1"/>
  <c r="EF19" i="27"/>
  <c r="EF19" i="29" s="1"/>
  <c r="EH19" i="27"/>
  <c r="EH19" i="29" s="1"/>
  <c r="EG19" i="27"/>
  <c r="EG19" i="29" s="1"/>
  <c r="EA19" i="27"/>
  <c r="EA19" i="29" s="1"/>
  <c r="DW19" i="27"/>
  <c r="DW19" i="29" s="1"/>
  <c r="EM19" i="27"/>
  <c r="EM19" i="29" s="1"/>
  <c r="EB19" i="27"/>
  <c r="EB19" i="29" s="1"/>
  <c r="EL19" i="27"/>
  <c r="EL19" i="29" s="1"/>
  <c r="DU17" i="29"/>
  <c r="DV17" i="29"/>
  <c r="AA832" i="26"/>
  <c r="AC832" i="26" s="1"/>
  <c r="F67" i="27"/>
  <c r="F67" i="29" s="1"/>
  <c r="E67" i="27"/>
  <c r="E67" i="29" s="1"/>
  <c r="G67" i="27"/>
  <c r="G67" i="29" s="1"/>
  <c r="Z304" i="26"/>
  <c r="AA305" i="26"/>
  <c r="AC305" i="26" s="1"/>
  <c r="EI8" i="27"/>
  <c r="EI8" i="29" s="1"/>
  <c r="AA811" i="26"/>
  <c r="AC811" i="26" s="1"/>
  <c r="AD816" i="26" s="1"/>
  <c r="AA357" i="26"/>
  <c r="AC357" i="26" s="1"/>
  <c r="AD357" i="26" s="1"/>
  <c r="BV41" i="27"/>
  <c r="BV41" i="29" s="1"/>
  <c r="AA606" i="26"/>
  <c r="AC606" i="26" s="1"/>
  <c r="AD606" i="26" s="1"/>
  <c r="DG63" i="27"/>
  <c r="DG63" i="29" s="1"/>
  <c r="DF63" i="27"/>
  <c r="DF63" i="29" s="1"/>
  <c r="DE63" i="27"/>
  <c r="DE63" i="29" s="1"/>
  <c r="DK63" i="27"/>
  <c r="DK63" i="29" s="1"/>
  <c r="DJ63" i="27"/>
  <c r="DJ63" i="29" s="1"/>
  <c r="DI63" i="27"/>
  <c r="DI63" i="29" s="1"/>
  <c r="DH63" i="27"/>
  <c r="DH63" i="29" s="1"/>
  <c r="DD63" i="27"/>
  <c r="DD63" i="29" s="1"/>
  <c r="DC63" i="27"/>
  <c r="DC63" i="29" s="1"/>
  <c r="DB63" i="27"/>
  <c r="DB63" i="29" s="1"/>
  <c r="DA63" i="27"/>
  <c r="DA63" i="29" s="1"/>
  <c r="DS63" i="27"/>
  <c r="DS63" i="29" s="1"/>
  <c r="CZ63" i="27"/>
  <c r="CZ63" i="29" s="1"/>
  <c r="DR63" i="27"/>
  <c r="DR63" i="29" s="1"/>
  <c r="CY63" i="27"/>
  <c r="CY63" i="29" s="1"/>
  <c r="DL63" i="27"/>
  <c r="DL63" i="29" s="1"/>
  <c r="DQ63" i="27"/>
  <c r="DQ63" i="29" s="1"/>
  <c r="DP63" i="27"/>
  <c r="DP63" i="29" s="1"/>
  <c r="DO63" i="27"/>
  <c r="DO63" i="29" s="1"/>
  <c r="DN63" i="27"/>
  <c r="DN63" i="29" s="1"/>
  <c r="DM63" i="27"/>
  <c r="DM63" i="29" s="1"/>
  <c r="AA135" i="26"/>
  <c r="AC135" i="26" s="1"/>
  <c r="Z136" i="26"/>
  <c r="DI45" i="27"/>
  <c r="DI45" i="29" s="1"/>
  <c r="DG45" i="27"/>
  <c r="DG45" i="29" s="1"/>
  <c r="DP45" i="27"/>
  <c r="DP45" i="29" s="1"/>
  <c r="DN45" i="27"/>
  <c r="DN45" i="29" s="1"/>
  <c r="DM45" i="27"/>
  <c r="DM45" i="29" s="1"/>
  <c r="DJ45" i="27"/>
  <c r="DJ45" i="29" s="1"/>
  <c r="DH45" i="27"/>
  <c r="DH45" i="29" s="1"/>
  <c r="DF45" i="27"/>
  <c r="DF45" i="29" s="1"/>
  <c r="DS45" i="27"/>
  <c r="DS45" i="29" s="1"/>
  <c r="DR45" i="27"/>
  <c r="DR45" i="29" s="1"/>
  <c r="DQ45" i="27"/>
  <c r="DQ45" i="29" s="1"/>
  <c r="DO45" i="27"/>
  <c r="DO45" i="29" s="1"/>
  <c r="DL45" i="27"/>
  <c r="DL45" i="29" s="1"/>
  <c r="DD45" i="27"/>
  <c r="DD45" i="29" s="1"/>
  <c r="CY45" i="27"/>
  <c r="CY45" i="29" s="1"/>
  <c r="DK45" i="27"/>
  <c r="DK45" i="29" s="1"/>
  <c r="DE45" i="27"/>
  <c r="DE45" i="29" s="1"/>
  <c r="Z116" i="26"/>
  <c r="Z700" i="26" s="1"/>
  <c r="DB45" i="27"/>
  <c r="DB45" i="29" s="1"/>
  <c r="DC45" i="27"/>
  <c r="DC45" i="29" s="1"/>
  <c r="DA45" i="27"/>
  <c r="DA45" i="29" s="1"/>
  <c r="CZ45" i="27"/>
  <c r="CZ45" i="29" s="1"/>
  <c r="AA117" i="26"/>
  <c r="AC117" i="26" s="1"/>
  <c r="CR24" i="29"/>
  <c r="CQ24" i="29"/>
  <c r="AA869" i="26"/>
  <c r="AC869" i="26" s="1"/>
  <c r="CS24" i="29"/>
  <c r="CP24" i="29"/>
  <c r="CO24" i="29"/>
  <c r="Z868" i="26"/>
  <c r="U62" i="27"/>
  <c r="U62" i="29" s="1"/>
  <c r="T62" i="27"/>
  <c r="T62" i="29" s="1"/>
  <c r="S62" i="27"/>
  <c r="S62" i="29" s="1"/>
  <c r="K62" i="27"/>
  <c r="K62" i="29" s="1"/>
  <c r="J62" i="27"/>
  <c r="J62" i="29" s="1"/>
  <c r="I62" i="27"/>
  <c r="I62" i="29" s="1"/>
  <c r="H62" i="27"/>
  <c r="H62" i="29" s="1"/>
  <c r="G62" i="27"/>
  <c r="G62" i="29" s="1"/>
  <c r="Y62" i="27"/>
  <c r="Y62" i="29" s="1"/>
  <c r="F62" i="27"/>
  <c r="F62" i="29" s="1"/>
  <c r="X62" i="27"/>
  <c r="X62" i="29" s="1"/>
  <c r="W62" i="27"/>
  <c r="W62" i="29" s="1"/>
  <c r="V62" i="27"/>
  <c r="V62" i="29" s="1"/>
  <c r="R62" i="27"/>
  <c r="R62" i="29" s="1"/>
  <c r="L62" i="27"/>
  <c r="L62" i="29" s="1"/>
  <c r="Q62" i="27"/>
  <c r="Q62" i="29" s="1"/>
  <c r="P62" i="27"/>
  <c r="P62" i="29" s="1"/>
  <c r="M62" i="27"/>
  <c r="M62" i="29" s="1"/>
  <c r="O62" i="27"/>
  <c r="O62" i="29" s="1"/>
  <c r="N62" i="27"/>
  <c r="N62" i="29" s="1"/>
  <c r="AA239" i="26"/>
  <c r="AC239" i="26" s="1"/>
  <c r="AA895" i="26"/>
  <c r="AC895" i="26" s="1"/>
  <c r="E61" i="29"/>
  <c r="E62" i="27"/>
  <c r="E62" i="29" s="1"/>
  <c r="CP63" i="27"/>
  <c r="CP63" i="29" s="1"/>
  <c r="CO63" i="27"/>
  <c r="CO63" i="29" s="1"/>
  <c r="CN63" i="27"/>
  <c r="CN63" i="29" s="1"/>
  <c r="CQ63" i="27"/>
  <c r="CQ63" i="29" s="1"/>
  <c r="CM63" i="27"/>
  <c r="CM63" i="29" s="1"/>
  <c r="CL63" i="27"/>
  <c r="CL63" i="29" s="1"/>
  <c r="CK63" i="27"/>
  <c r="CK63" i="29" s="1"/>
  <c r="CJ63" i="27"/>
  <c r="CJ63" i="29" s="1"/>
  <c r="CI63" i="27"/>
  <c r="CI63" i="29" s="1"/>
  <c r="CH63" i="27"/>
  <c r="CH63" i="29" s="1"/>
  <c r="CG63" i="27"/>
  <c r="CG63" i="29" s="1"/>
  <c r="CF63" i="27"/>
  <c r="CF63" i="29" s="1"/>
  <c r="CE63" i="27"/>
  <c r="CE63" i="29" s="1"/>
  <c r="CW63" i="27"/>
  <c r="CW63" i="29" s="1"/>
  <c r="CV63" i="27"/>
  <c r="CV63" i="29" s="1"/>
  <c r="CU63" i="27"/>
  <c r="CU63" i="29" s="1"/>
  <c r="CT63" i="27"/>
  <c r="CT63" i="29" s="1"/>
  <c r="CS63" i="27"/>
  <c r="CS63" i="29" s="1"/>
  <c r="CR63" i="27"/>
  <c r="CR63" i="29" s="1"/>
  <c r="CD63" i="27"/>
  <c r="CD63" i="29" s="1"/>
  <c r="CC63" i="27"/>
  <c r="CC63" i="29" s="1"/>
  <c r="AA156" i="26"/>
  <c r="AC156" i="26" s="1"/>
  <c r="Z157" i="26"/>
  <c r="Z884" i="26"/>
  <c r="AA883" i="26"/>
  <c r="AC883" i="26" s="1"/>
  <c r="DY22" i="27"/>
  <c r="DY22" i="29" s="1"/>
  <c r="DW22" i="27"/>
  <c r="DW22" i="29" s="1"/>
  <c r="DV22" i="27"/>
  <c r="DV22" i="29" s="1"/>
  <c r="DR22" i="27"/>
  <c r="DR22" i="29" s="1"/>
  <c r="DM22" i="27"/>
  <c r="DM22" i="29" s="1"/>
  <c r="DX22" i="27"/>
  <c r="DX22" i="29" s="1"/>
  <c r="DU22" i="27"/>
  <c r="DU22" i="29" s="1"/>
  <c r="DT22" i="27"/>
  <c r="DT22" i="29" s="1"/>
  <c r="DS22" i="27"/>
  <c r="DS22" i="29" s="1"/>
  <c r="DQ22" i="27"/>
  <c r="DQ22" i="29" s="1"/>
  <c r="DP22" i="27"/>
  <c r="DP22" i="29" s="1"/>
  <c r="DO22" i="27"/>
  <c r="DO22" i="29" s="1"/>
  <c r="DN22" i="27"/>
  <c r="DN22" i="29" s="1"/>
  <c r="DL22" i="27"/>
  <c r="DL22" i="29" s="1"/>
  <c r="EA22" i="27"/>
  <c r="EA22" i="29" s="1"/>
  <c r="DJ22" i="27"/>
  <c r="DJ22" i="29" s="1"/>
  <c r="Z46" i="26"/>
  <c r="AA47" i="26"/>
  <c r="AC47" i="26" s="1"/>
  <c r="DZ22" i="27"/>
  <c r="DZ22" i="29" s="1"/>
  <c r="DK22" i="27"/>
  <c r="DK22" i="29" s="1"/>
  <c r="CS42" i="27"/>
  <c r="CS42" i="29" s="1"/>
  <c r="CV42" i="27"/>
  <c r="CV42" i="29" s="1"/>
  <c r="Z668" i="26"/>
  <c r="CW42" i="27"/>
  <c r="CW42" i="29" s="1"/>
  <c r="CU42" i="27"/>
  <c r="CU42" i="29" s="1"/>
  <c r="CT42" i="27"/>
  <c r="CT42" i="29" s="1"/>
  <c r="CR42" i="27"/>
  <c r="CR42" i="29" s="1"/>
  <c r="CQ42" i="27"/>
  <c r="CQ42" i="29" s="1"/>
  <c r="AA667" i="26"/>
  <c r="AC667" i="26" s="1"/>
  <c r="K65" i="27"/>
  <c r="K65" i="29" s="1"/>
  <c r="J65" i="27"/>
  <c r="J65" i="29" s="1"/>
  <c r="Y65" i="27"/>
  <c r="Y65" i="29" s="1"/>
  <c r="I65" i="27"/>
  <c r="I65" i="29" s="1"/>
  <c r="W65" i="27"/>
  <c r="W65" i="29" s="1"/>
  <c r="U65" i="27"/>
  <c r="U65" i="29" s="1"/>
  <c r="T65" i="27"/>
  <c r="T65" i="29" s="1"/>
  <c r="S65" i="27"/>
  <c r="S65" i="29" s="1"/>
  <c r="R65" i="27"/>
  <c r="R65" i="29" s="1"/>
  <c r="Q65" i="27"/>
  <c r="Q65" i="29" s="1"/>
  <c r="P65" i="27"/>
  <c r="P65" i="29" s="1"/>
  <c r="O65" i="27"/>
  <c r="O65" i="29" s="1"/>
  <c r="N65" i="27"/>
  <c r="N65" i="29" s="1"/>
  <c r="M65" i="27"/>
  <c r="M65" i="29" s="1"/>
  <c r="L65" i="27"/>
  <c r="L65" i="29" s="1"/>
  <c r="H65" i="27"/>
  <c r="H65" i="29" s="1"/>
  <c r="X65" i="27"/>
  <c r="X65" i="29" s="1"/>
  <c r="V65" i="27"/>
  <c r="V65" i="29" s="1"/>
  <c r="AA240" i="26"/>
  <c r="AC240" i="26" s="1"/>
  <c r="DR40" i="27"/>
  <c r="DR40" i="29" s="1"/>
  <c r="DK40" i="27"/>
  <c r="DK40" i="29" s="1"/>
  <c r="DJ40" i="27"/>
  <c r="DJ40" i="29" s="1"/>
  <c r="EA40" i="27"/>
  <c r="EA40" i="29" s="1"/>
  <c r="DZ40" i="27"/>
  <c r="DZ40" i="29" s="1"/>
  <c r="DY40" i="27"/>
  <c r="DY40" i="29" s="1"/>
  <c r="DX40" i="27"/>
  <c r="DX40" i="29" s="1"/>
  <c r="DW40" i="27"/>
  <c r="DW40" i="29" s="1"/>
  <c r="DV40" i="27"/>
  <c r="DV40" i="29" s="1"/>
  <c r="DS40" i="27"/>
  <c r="DS40" i="29" s="1"/>
  <c r="DM40" i="27"/>
  <c r="DM40" i="29" s="1"/>
  <c r="DL40" i="27"/>
  <c r="DL40" i="29" s="1"/>
  <c r="DU40" i="27"/>
  <c r="DU40" i="29" s="1"/>
  <c r="DT40" i="27"/>
  <c r="DT40" i="29" s="1"/>
  <c r="DQ40" i="27"/>
  <c r="DQ40" i="29" s="1"/>
  <c r="DP40" i="27"/>
  <c r="DP40" i="29" s="1"/>
  <c r="Z66" i="26"/>
  <c r="DO40" i="27"/>
  <c r="DO40" i="29" s="1"/>
  <c r="DN40" i="27"/>
  <c r="DN40" i="29" s="1"/>
  <c r="AA65" i="26"/>
  <c r="AC65" i="26" s="1"/>
  <c r="DI75" i="29"/>
  <c r="DH75" i="29"/>
  <c r="DG75" i="29"/>
  <c r="DK75" i="29"/>
  <c r="DJ75" i="29"/>
  <c r="EV40" i="27"/>
  <c r="EV40" i="29" s="1"/>
  <c r="EW40" i="27"/>
  <c r="EW40" i="29" s="1"/>
  <c r="AA779" i="26"/>
  <c r="AC779" i="26" s="1"/>
  <c r="K44" i="27"/>
  <c r="K44" i="29" s="1"/>
  <c r="P44" i="27"/>
  <c r="P44" i="29" s="1"/>
  <c r="N44" i="27"/>
  <c r="N44" i="29" s="1"/>
  <c r="M44" i="27"/>
  <c r="M44" i="29" s="1"/>
  <c r="I44" i="27"/>
  <c r="I44" i="29" s="1"/>
  <c r="H44" i="27"/>
  <c r="H44" i="29" s="1"/>
  <c r="G44" i="27"/>
  <c r="G44" i="29" s="1"/>
  <c r="U44" i="27"/>
  <c r="U44" i="29" s="1"/>
  <c r="T44" i="27"/>
  <c r="T44" i="29" s="1"/>
  <c r="S44" i="27"/>
  <c r="S44" i="29" s="1"/>
  <c r="O44" i="27"/>
  <c r="O44" i="29" s="1"/>
  <c r="L44" i="27"/>
  <c r="L44" i="29" s="1"/>
  <c r="J44" i="27"/>
  <c r="J44" i="29" s="1"/>
  <c r="F44" i="27"/>
  <c r="F44" i="29" s="1"/>
  <c r="AA221" i="26"/>
  <c r="AC221" i="26" s="1"/>
  <c r="AD239" i="26" s="1"/>
  <c r="Q44" i="27"/>
  <c r="Q44" i="29" s="1"/>
  <c r="Z378" i="26"/>
  <c r="R44" i="27"/>
  <c r="R44" i="29" s="1"/>
  <c r="Y85" i="27"/>
  <c r="Y85" i="29" s="1"/>
  <c r="I85" i="27"/>
  <c r="I85" i="29" s="1"/>
  <c r="S85" i="27"/>
  <c r="S85" i="29" s="1"/>
  <c r="R85" i="27"/>
  <c r="R85" i="29" s="1"/>
  <c r="Q85" i="27"/>
  <c r="Q85" i="29" s="1"/>
  <c r="P85" i="27"/>
  <c r="P85" i="29" s="1"/>
  <c r="O85" i="27"/>
  <c r="O85" i="29" s="1"/>
  <c r="N85" i="27"/>
  <c r="N85" i="29" s="1"/>
  <c r="J85" i="27"/>
  <c r="J85" i="29" s="1"/>
  <c r="X85" i="27"/>
  <c r="X85" i="29" s="1"/>
  <c r="W85" i="27"/>
  <c r="W85" i="29" s="1"/>
  <c r="V85" i="27"/>
  <c r="V85" i="29" s="1"/>
  <c r="U85" i="27"/>
  <c r="U85" i="29" s="1"/>
  <c r="T85" i="27"/>
  <c r="T85" i="29" s="1"/>
  <c r="L85" i="27"/>
  <c r="L85" i="29" s="1"/>
  <c r="M85" i="27"/>
  <c r="M85" i="29" s="1"/>
  <c r="K85" i="27"/>
  <c r="K85" i="29" s="1"/>
  <c r="H85" i="27"/>
  <c r="H85" i="29" s="1"/>
  <c r="AA260" i="26"/>
  <c r="AC260" i="26" s="1"/>
  <c r="Z336" i="26"/>
  <c r="EM41" i="27"/>
  <c r="EM41" i="29" s="1"/>
  <c r="EO41" i="27"/>
  <c r="EO41" i="29" s="1"/>
  <c r="EE41" i="27"/>
  <c r="EE41" i="29" s="1"/>
  <c r="ED41" i="27"/>
  <c r="ED41" i="29" s="1"/>
  <c r="EU41" i="27"/>
  <c r="EU41" i="29" s="1"/>
  <c r="EC41" i="27"/>
  <c r="EC41" i="29" s="1"/>
  <c r="ET41" i="27"/>
  <c r="ET41" i="29" s="1"/>
  <c r="ES41" i="27"/>
  <c r="ES41" i="29" s="1"/>
  <c r="ER41" i="27"/>
  <c r="ER41" i="29" s="1"/>
  <c r="EQ41" i="27"/>
  <c r="EQ41" i="29" s="1"/>
  <c r="EL41" i="27"/>
  <c r="EL41" i="29" s="1"/>
  <c r="EG41" i="27"/>
  <c r="EG41" i="29" s="1"/>
  <c r="EF41" i="27"/>
  <c r="EF41" i="29" s="1"/>
  <c r="EI41" i="27"/>
  <c r="EI41" i="29" s="1"/>
  <c r="EH41" i="27"/>
  <c r="EH41" i="29" s="1"/>
  <c r="Z780" i="26"/>
  <c r="EP41" i="27"/>
  <c r="EP41" i="29" s="1"/>
  <c r="EN41" i="27"/>
  <c r="EN41" i="29" s="1"/>
  <c r="AA33" i="26"/>
  <c r="AC33" i="26" s="1"/>
  <c r="EK41" i="27"/>
  <c r="EK41" i="29" s="1"/>
  <c r="EJ41" i="27"/>
  <c r="EJ41" i="29" s="1"/>
  <c r="Z388" i="26"/>
  <c r="AA387" i="26"/>
  <c r="AC387" i="26" s="1"/>
  <c r="BD43" i="29"/>
  <c r="BA43" i="29"/>
  <c r="AZ43" i="29"/>
  <c r="Z569" i="26"/>
  <c r="BE43" i="29"/>
  <c r="BC43" i="29"/>
  <c r="BB43" i="29"/>
  <c r="AA570" i="26"/>
  <c r="AC570" i="26" s="1"/>
  <c r="ED53" i="27"/>
  <c r="ED53" i="29" s="1"/>
  <c r="EK53" i="27"/>
  <c r="EK53" i="29" s="1"/>
  <c r="EJ53" i="27"/>
  <c r="EJ53" i="29" s="1"/>
  <c r="EE53" i="27"/>
  <c r="EE53" i="29" s="1"/>
  <c r="EB53" i="27"/>
  <c r="EB53" i="29" s="1"/>
  <c r="EI53" i="27"/>
  <c r="EI53" i="29" s="1"/>
  <c r="EH53" i="27"/>
  <c r="EH53" i="29" s="1"/>
  <c r="EG53" i="27"/>
  <c r="EG53" i="29" s="1"/>
  <c r="EF53" i="27"/>
  <c r="EF53" i="29" s="1"/>
  <c r="EC53" i="27"/>
  <c r="EC53" i="29" s="1"/>
  <c r="EA53" i="27"/>
  <c r="EA53" i="29" s="1"/>
  <c r="DZ53" i="27"/>
  <c r="DZ53" i="29" s="1"/>
  <c r="DY53" i="27"/>
  <c r="DY53" i="29" s="1"/>
  <c r="DX53" i="27"/>
  <c r="DX53" i="29" s="1"/>
  <c r="DW53" i="27"/>
  <c r="DW53" i="29" s="1"/>
  <c r="DV53" i="27"/>
  <c r="DV53" i="29" s="1"/>
  <c r="Z44" i="26"/>
  <c r="AA43" i="26"/>
  <c r="AC43" i="26" s="1"/>
  <c r="EY23" i="27"/>
  <c r="EY23" i="29" s="1"/>
  <c r="EX23" i="27"/>
  <c r="EX23" i="29" s="1"/>
  <c r="EW23" i="27"/>
  <c r="EW23" i="29" s="1"/>
  <c r="EV23" i="27"/>
  <c r="EV23" i="29" s="1"/>
  <c r="AA785" i="26"/>
  <c r="AC785" i="26" s="1"/>
  <c r="CR45" i="27"/>
  <c r="CR45" i="29" s="1"/>
  <c r="CP45" i="27"/>
  <c r="CP45" i="29" s="1"/>
  <c r="CW45" i="27"/>
  <c r="CW45" i="29" s="1"/>
  <c r="CE45" i="27"/>
  <c r="CE45" i="29" s="1"/>
  <c r="CU45" i="27"/>
  <c r="CU45" i="29" s="1"/>
  <c r="CC45" i="27"/>
  <c r="CC45" i="29" s="1"/>
  <c r="CT45" i="27"/>
  <c r="CT45" i="29" s="1"/>
  <c r="CO45" i="27"/>
  <c r="CO45" i="29" s="1"/>
  <c r="CN45" i="27"/>
  <c r="CN45" i="29" s="1"/>
  <c r="CM45" i="27"/>
  <c r="CM45" i="29" s="1"/>
  <c r="CS45" i="27"/>
  <c r="CS45" i="29" s="1"/>
  <c r="CQ45" i="27"/>
  <c r="CQ45" i="29" s="1"/>
  <c r="CL45" i="27"/>
  <c r="CL45" i="29" s="1"/>
  <c r="CK45" i="27"/>
  <c r="CK45" i="29" s="1"/>
  <c r="CJ45" i="27"/>
  <c r="CJ45" i="29" s="1"/>
  <c r="CI45" i="27"/>
  <c r="CI45" i="29" s="1"/>
  <c r="CH45" i="27"/>
  <c r="CH45" i="29" s="1"/>
  <c r="CD45" i="27"/>
  <c r="CD45" i="29" s="1"/>
  <c r="CV45" i="27"/>
  <c r="CV45" i="29" s="1"/>
  <c r="CG45" i="27"/>
  <c r="CG45" i="29" s="1"/>
  <c r="CF45" i="27"/>
  <c r="CF45" i="29" s="1"/>
  <c r="Z137" i="26"/>
  <c r="Z625" i="26" s="1"/>
  <c r="AA138" i="26"/>
  <c r="AC138" i="26" s="1"/>
  <c r="EP22" i="27"/>
  <c r="EP22" i="29" s="1"/>
  <c r="EN22" i="27"/>
  <c r="EN22" i="29" s="1"/>
  <c r="EM22" i="27"/>
  <c r="EM22" i="29" s="1"/>
  <c r="EI22" i="27"/>
  <c r="EI22" i="29" s="1"/>
  <c r="ET22" i="27"/>
  <c r="ET22" i="29" s="1"/>
  <c r="ED22" i="27"/>
  <c r="ED22" i="29" s="1"/>
  <c r="EU22" i="27"/>
  <c r="EU22" i="29" s="1"/>
  <c r="ES22" i="27"/>
  <c r="ES22" i="29" s="1"/>
  <c r="ER22" i="27"/>
  <c r="ER22" i="29" s="1"/>
  <c r="Z784" i="26"/>
  <c r="EQ22" i="27"/>
  <c r="EQ22" i="29" s="1"/>
  <c r="EO22" i="27"/>
  <c r="EO22" i="29" s="1"/>
  <c r="EL22" i="27"/>
  <c r="EL22" i="29" s="1"/>
  <c r="EK22" i="27"/>
  <c r="EK22" i="29" s="1"/>
  <c r="EJ22" i="27"/>
  <c r="EJ22" i="29" s="1"/>
  <c r="EH22" i="27"/>
  <c r="EH22" i="29" s="1"/>
  <c r="EG22" i="27"/>
  <c r="EG22" i="29" s="1"/>
  <c r="EF22" i="27"/>
  <c r="EF22" i="29" s="1"/>
  <c r="EE22" i="27"/>
  <c r="EE22" i="29" s="1"/>
  <c r="Z13" i="26"/>
  <c r="AA14" i="26"/>
  <c r="AC14" i="26" s="1"/>
  <c r="EC22" i="27"/>
  <c r="EC22" i="29" s="1"/>
  <c r="AD100" i="26"/>
  <c r="CM42" i="29"/>
  <c r="CN42" i="29"/>
  <c r="CL42" i="29"/>
  <c r="CK42" i="29"/>
  <c r="CJ42" i="29"/>
  <c r="CI42" i="29"/>
  <c r="CH42" i="29"/>
  <c r="CG42" i="27"/>
  <c r="CG42" i="29" s="1"/>
  <c r="CD42" i="27"/>
  <c r="CD42" i="29" s="1"/>
  <c r="CP42" i="29"/>
  <c r="CO42" i="29"/>
  <c r="Z644" i="26"/>
  <c r="CF42" i="27"/>
  <c r="CF42" i="29" s="1"/>
  <c r="CE42" i="27"/>
  <c r="CE42" i="29" s="1"/>
  <c r="CC42" i="27"/>
  <c r="CC42" i="29" s="1"/>
  <c r="AA643" i="26"/>
  <c r="AC643" i="26" s="1"/>
  <c r="B44" i="27"/>
  <c r="B44" i="29" s="1"/>
  <c r="D44" i="27"/>
  <c r="D44" i="29" s="1"/>
  <c r="C44" i="27"/>
  <c r="C44" i="29" s="1"/>
  <c r="E44" i="27"/>
  <c r="E44" i="29" s="1"/>
  <c r="AA277" i="26"/>
  <c r="AC277" i="26" s="1"/>
  <c r="AD294" i="26" s="1"/>
  <c r="DU62" i="27"/>
  <c r="DU62" i="29" s="1"/>
  <c r="DT62" i="27"/>
  <c r="DT62" i="29" s="1"/>
  <c r="DW62" i="27"/>
  <c r="DW62" i="29" s="1"/>
  <c r="DV62" i="27"/>
  <c r="DV62" i="29" s="1"/>
  <c r="AA552" i="26"/>
  <c r="AC552" i="26" s="1"/>
  <c r="CB42" i="27"/>
  <c r="CB42" i="29" s="1"/>
  <c r="Z622" i="26"/>
  <c r="CA42" i="27"/>
  <c r="CA42" i="29" s="1"/>
  <c r="BZ42" i="27"/>
  <c r="BZ42" i="29" s="1"/>
  <c r="AA621" i="26"/>
  <c r="AC621" i="26" s="1"/>
  <c r="DU18" i="27" l="1"/>
  <c r="DU19" i="27" s="1"/>
  <c r="DU19" i="29" s="1"/>
  <c r="DV18" i="27"/>
  <c r="DV19" i="27" s="1"/>
  <c r="DV19" i="29" s="1"/>
  <c r="Z892" i="26"/>
  <c r="AF57" i="27"/>
  <c r="AF57" i="29" s="1"/>
  <c r="AD57" i="27"/>
  <c r="AD57" i="29" s="1"/>
  <c r="AH57" i="27"/>
  <c r="AH57" i="29" s="1"/>
  <c r="AC57" i="27"/>
  <c r="AC57" i="29" s="1"/>
  <c r="AG57" i="27"/>
  <c r="AG57" i="29" s="1"/>
  <c r="AE57" i="27"/>
  <c r="AE57" i="29" s="1"/>
  <c r="Z541" i="26"/>
  <c r="CX64" i="27" s="1"/>
  <c r="CX64" i="29" s="1"/>
  <c r="Z554" i="26"/>
  <c r="BG26" i="27"/>
  <c r="BG25" i="27"/>
  <c r="BU25" i="27"/>
  <c r="BU25" i="29" s="1"/>
  <c r="BH25" i="27"/>
  <c r="BH24" i="27"/>
  <c r="BI25" i="27"/>
  <c r="BI24" i="27"/>
  <c r="BJ25" i="27"/>
  <c r="BJ24" i="27"/>
  <c r="BK25" i="27"/>
  <c r="BK25" i="29" s="1"/>
  <c r="BK24" i="27"/>
  <c r="BL25" i="27"/>
  <c r="BL24" i="27"/>
  <c r="BM25" i="27"/>
  <c r="BM24" i="27"/>
  <c r="BN25" i="27"/>
  <c r="BN24" i="27"/>
  <c r="BO25" i="27"/>
  <c r="BO24" i="27"/>
  <c r="BP25" i="27"/>
  <c r="BP24" i="27"/>
  <c r="BQ25" i="27"/>
  <c r="BQ25" i="29" s="1"/>
  <c r="BQ24" i="27"/>
  <c r="BQ24" i="29" s="1"/>
  <c r="BR25" i="27"/>
  <c r="BC25" i="27"/>
  <c r="BS25" i="27"/>
  <c r="BD25" i="27"/>
  <c r="BT25" i="27"/>
  <c r="BE25" i="27"/>
  <c r="BV26" i="27"/>
  <c r="BV26" i="29" s="1"/>
  <c r="BF25" i="27"/>
  <c r="K28" i="41"/>
  <c r="L27" i="41"/>
  <c r="V200" i="25"/>
  <c r="AA200" i="25" s="1"/>
  <c r="AE200" i="25" s="1"/>
  <c r="R200" i="25"/>
  <c r="CG23" i="27"/>
  <c r="CH23" i="27"/>
  <c r="CI23" i="27"/>
  <c r="CJ23" i="27"/>
  <c r="CK23" i="27"/>
  <c r="CL23" i="27"/>
  <c r="CM23" i="27"/>
  <c r="CN23" i="27"/>
  <c r="CO23" i="27"/>
  <c r="CP23" i="27"/>
  <c r="CQ23" i="27"/>
  <c r="CR23" i="27"/>
  <c r="CS23" i="27"/>
  <c r="EM45" i="27"/>
  <c r="EM45" i="29" s="1"/>
  <c r="EN45" i="27"/>
  <c r="EN45" i="29" s="1"/>
  <c r="EO45" i="27"/>
  <c r="EO45" i="29" s="1"/>
  <c r="EP45" i="27"/>
  <c r="EP45" i="29" s="1"/>
  <c r="EQ45" i="27"/>
  <c r="EQ45" i="29" s="1"/>
  <c r="ER45" i="27"/>
  <c r="ER45" i="29" s="1"/>
  <c r="ES45" i="27"/>
  <c r="ES45" i="29" s="1"/>
  <c r="ET45" i="27"/>
  <c r="ET45" i="29" s="1"/>
  <c r="EU45" i="27"/>
  <c r="EU45" i="29" s="1"/>
  <c r="EV45" i="27"/>
  <c r="EV45" i="29" s="1"/>
  <c r="EL45" i="27"/>
  <c r="EL45" i="29" s="1"/>
  <c r="AA760" i="26"/>
  <c r="AC760" i="26" s="1"/>
  <c r="CH43" i="27"/>
  <c r="CI43" i="27"/>
  <c r="CJ43" i="27"/>
  <c r="CK43" i="27"/>
  <c r="CL43" i="27"/>
  <c r="CM43" i="27"/>
  <c r="CN43" i="27"/>
  <c r="CO43" i="27"/>
  <c r="CP43" i="27"/>
  <c r="CA44" i="27"/>
  <c r="CA44" i="29" s="1"/>
  <c r="CB44" i="27"/>
  <c r="CB44" i="29" s="1"/>
  <c r="AA625" i="26"/>
  <c r="AC625" i="26" s="1"/>
  <c r="Z626" i="26"/>
  <c r="AZ42" i="27"/>
  <c r="BA42" i="27"/>
  <c r="BB42" i="27"/>
  <c r="BC42" i="27"/>
  <c r="BD42" i="27"/>
  <c r="BE42" i="27"/>
  <c r="DT44" i="27"/>
  <c r="DT44" i="29" s="1"/>
  <c r="DU44" i="27"/>
  <c r="DU44" i="29" s="1"/>
  <c r="AA700" i="26"/>
  <c r="AC700" i="26" s="1"/>
  <c r="Z701" i="26"/>
  <c r="Z540" i="26"/>
  <c r="CQ76" i="27"/>
  <c r="CQ76" i="29" s="1"/>
  <c r="CR76" i="27"/>
  <c r="CR76" i="29" s="1"/>
  <c r="CS76" i="27"/>
  <c r="CS76" i="29" s="1"/>
  <c r="CT76" i="27"/>
  <c r="CT76" i="29" s="1"/>
  <c r="CU76" i="27"/>
  <c r="CU76" i="29" s="1"/>
  <c r="CV76" i="27"/>
  <c r="CV76" i="29" s="1"/>
  <c r="CW76" i="27"/>
  <c r="CW76" i="29" s="1"/>
  <c r="CX76" i="27"/>
  <c r="CX76" i="29" s="1"/>
  <c r="CY76" i="27"/>
  <c r="CY76" i="29" s="1"/>
  <c r="CZ76" i="27"/>
  <c r="CZ76" i="29" s="1"/>
  <c r="DA76" i="27"/>
  <c r="DA76" i="29" s="1"/>
  <c r="DB76" i="27"/>
  <c r="DB76" i="29" s="1"/>
  <c r="DC76" i="27"/>
  <c r="DC76" i="29" s="1"/>
  <c r="DD76" i="27"/>
  <c r="DD76" i="29" s="1"/>
  <c r="DE76" i="27"/>
  <c r="DE76" i="29" s="1"/>
  <c r="DF76" i="27"/>
  <c r="DF76" i="29" s="1"/>
  <c r="DG76" i="27"/>
  <c r="DG76" i="29" s="1"/>
  <c r="DH76" i="27"/>
  <c r="DH76" i="29" s="1"/>
  <c r="DI76" i="27"/>
  <c r="DI76" i="29" s="1"/>
  <c r="DJ76" i="27"/>
  <c r="DJ76" i="29" s="1"/>
  <c r="DK76" i="27"/>
  <c r="DK76" i="29" s="1"/>
  <c r="AA755" i="26"/>
  <c r="AC755" i="26" s="1"/>
  <c r="AD755" i="26" s="1"/>
  <c r="EL54" i="27"/>
  <c r="EL54" i="29" s="1"/>
  <c r="EM54" i="27"/>
  <c r="EM54" i="29" s="1"/>
  <c r="EN54" i="27"/>
  <c r="EN54" i="29" s="1"/>
  <c r="Z688" i="26"/>
  <c r="DI40" i="27"/>
  <c r="DI40" i="29" s="1"/>
  <c r="AA689" i="26"/>
  <c r="AC689" i="26" s="1"/>
  <c r="Z661" i="26"/>
  <c r="CO40" i="27"/>
  <c r="CO40" i="29" s="1"/>
  <c r="CP40" i="27"/>
  <c r="CP40" i="29" s="1"/>
  <c r="AA662" i="26"/>
  <c r="AC662" i="26" s="1"/>
  <c r="Z516" i="26"/>
  <c r="DM74" i="27"/>
  <c r="DM74" i="29" s="1"/>
  <c r="DN74" i="27"/>
  <c r="DN74" i="29" s="1"/>
  <c r="DO74" i="27"/>
  <c r="DO74" i="29" s="1"/>
  <c r="DP74" i="27"/>
  <c r="DP74" i="29" s="1"/>
  <c r="DQ74" i="27"/>
  <c r="DQ74" i="29" s="1"/>
  <c r="DR74" i="27"/>
  <c r="DR74" i="29" s="1"/>
  <c r="DS74" i="27"/>
  <c r="DS74" i="29" s="1"/>
  <c r="DT74" i="27"/>
  <c r="DT74" i="29" s="1"/>
  <c r="DU74" i="27"/>
  <c r="DU74" i="29" s="1"/>
  <c r="DV74" i="27"/>
  <c r="DV74" i="29" s="1"/>
  <c r="DW74" i="27"/>
  <c r="DW74" i="29" s="1"/>
  <c r="DX74" i="27"/>
  <c r="DX74" i="29" s="1"/>
  <c r="DY74" i="27"/>
  <c r="DY74" i="29" s="1"/>
  <c r="DZ74" i="27"/>
  <c r="DZ74" i="29" s="1"/>
  <c r="DL74" i="27"/>
  <c r="DL74" i="29" s="1"/>
  <c r="AA515" i="26"/>
  <c r="AC515" i="26" s="1"/>
  <c r="Z737" i="26"/>
  <c r="EB40" i="27"/>
  <c r="EB40" i="29" s="1"/>
  <c r="AA738" i="26"/>
  <c r="AC738" i="26" s="1"/>
  <c r="AA498" i="26"/>
  <c r="AC498" i="26" s="1"/>
  <c r="AD498" i="26" s="1"/>
  <c r="AT79" i="27"/>
  <c r="AT79" i="29" s="1"/>
  <c r="AU79" i="27"/>
  <c r="AU79" i="29" s="1"/>
  <c r="AV79" i="27"/>
  <c r="AV79" i="29" s="1"/>
  <c r="AW79" i="27"/>
  <c r="AW79" i="29" s="1"/>
  <c r="Z438" i="26"/>
  <c r="BY79" i="27"/>
  <c r="BY79" i="29" s="1"/>
  <c r="BT79" i="27"/>
  <c r="BT79" i="29" s="1"/>
  <c r="BU79" i="27"/>
  <c r="BU79" i="29" s="1"/>
  <c r="BV79" i="27"/>
  <c r="BV79" i="29" s="1"/>
  <c r="BW79" i="27"/>
  <c r="BW79" i="29" s="1"/>
  <c r="BX79" i="27"/>
  <c r="BX79" i="29" s="1"/>
  <c r="BS79" i="27"/>
  <c r="BS79" i="29" s="1"/>
  <c r="AA437" i="26"/>
  <c r="AC437" i="26" s="1"/>
  <c r="BF59" i="27"/>
  <c r="BF59" i="29" s="1"/>
  <c r="BG59" i="27"/>
  <c r="BG59" i="29" s="1"/>
  <c r="BH59" i="27"/>
  <c r="BH59" i="29" s="1"/>
  <c r="BI59" i="27"/>
  <c r="BI59" i="29" s="1"/>
  <c r="BJ59" i="27"/>
  <c r="BJ59" i="29" s="1"/>
  <c r="BK59" i="27"/>
  <c r="BK59" i="29" s="1"/>
  <c r="BL59" i="27"/>
  <c r="BL59" i="29" s="1"/>
  <c r="BM59" i="27"/>
  <c r="BM59" i="29" s="1"/>
  <c r="BN59" i="27"/>
  <c r="BN59" i="29" s="1"/>
  <c r="BO59" i="27"/>
  <c r="BO59" i="29" s="1"/>
  <c r="BP59" i="27"/>
  <c r="BP59" i="29" s="1"/>
  <c r="BQ59" i="27"/>
  <c r="BQ59" i="29" s="1"/>
  <c r="BR59" i="27"/>
  <c r="BR59" i="29" s="1"/>
  <c r="AA422" i="26"/>
  <c r="AC422" i="26" s="1"/>
  <c r="AD425" i="26" s="1"/>
  <c r="AX59" i="27"/>
  <c r="AX59" i="29" s="1"/>
  <c r="AY59" i="27"/>
  <c r="AY59" i="29" s="1"/>
  <c r="AZ59" i="27"/>
  <c r="AZ59" i="29" s="1"/>
  <c r="BA59" i="27"/>
  <c r="BA59" i="29" s="1"/>
  <c r="BB59" i="27"/>
  <c r="BB59" i="29" s="1"/>
  <c r="BC59" i="27"/>
  <c r="BC59" i="29" s="1"/>
  <c r="BD59" i="27"/>
  <c r="BD59" i="29" s="1"/>
  <c r="BE59" i="27"/>
  <c r="BE59" i="29" s="1"/>
  <c r="AV59" i="27"/>
  <c r="AV59" i="29" s="1"/>
  <c r="AW59" i="27"/>
  <c r="AW59" i="29" s="1"/>
  <c r="AA429" i="26"/>
  <c r="AC429" i="26" s="1"/>
  <c r="AD431" i="26" s="1"/>
  <c r="AA461" i="26"/>
  <c r="AC461" i="26" s="1"/>
  <c r="Z460" i="26"/>
  <c r="AV62" i="29"/>
  <c r="AV63" i="29"/>
  <c r="DV18" i="29"/>
  <c r="AA833" i="26"/>
  <c r="AC833" i="26" s="1"/>
  <c r="AD833" i="26" s="1"/>
  <c r="DU18" i="29"/>
  <c r="G84" i="27"/>
  <c r="AA322" i="26"/>
  <c r="AC322" i="26" s="1"/>
  <c r="ER19" i="27"/>
  <c r="ER19" i="29" s="1"/>
  <c r="EQ19" i="27"/>
  <c r="EQ19" i="29" s="1"/>
  <c r="EP19" i="27"/>
  <c r="EP19" i="29" s="1"/>
  <c r="EO19" i="27"/>
  <c r="EO19" i="29" s="1"/>
  <c r="EN19" i="27"/>
  <c r="EN19" i="29" s="1"/>
  <c r="AA800" i="26"/>
  <c r="AC800" i="26" s="1"/>
  <c r="G66" i="27"/>
  <c r="G66" i="29" s="1"/>
  <c r="E66" i="27"/>
  <c r="E66" i="29" s="1"/>
  <c r="AA304" i="26"/>
  <c r="AC304" i="26" s="1"/>
  <c r="Z303" i="26"/>
  <c r="F66" i="27"/>
  <c r="F66" i="29" s="1"/>
  <c r="AA806" i="26"/>
  <c r="AC806" i="26" s="1"/>
  <c r="Z807" i="26"/>
  <c r="DV41" i="27"/>
  <c r="DV41" i="29" s="1"/>
  <c r="DW41" i="27"/>
  <c r="DW41" i="29" s="1"/>
  <c r="DL41" i="27"/>
  <c r="DL41" i="29" s="1"/>
  <c r="DK41" i="27"/>
  <c r="DK41" i="29" s="1"/>
  <c r="DJ41" i="27"/>
  <c r="DJ41" i="29" s="1"/>
  <c r="EA41" i="27"/>
  <c r="EA41" i="29" s="1"/>
  <c r="DZ41" i="27"/>
  <c r="DZ41" i="29" s="1"/>
  <c r="DY41" i="27"/>
  <c r="DY41" i="29" s="1"/>
  <c r="DX41" i="27"/>
  <c r="DX41" i="29" s="1"/>
  <c r="DS41" i="27"/>
  <c r="DS41" i="29" s="1"/>
  <c r="DN41" i="27"/>
  <c r="DN41" i="29" s="1"/>
  <c r="DM41" i="27"/>
  <c r="DM41" i="29" s="1"/>
  <c r="DU41" i="27"/>
  <c r="DU41" i="29" s="1"/>
  <c r="DT41" i="27"/>
  <c r="DT41" i="29" s="1"/>
  <c r="DR41" i="27"/>
  <c r="DR41" i="29" s="1"/>
  <c r="DQ41" i="27"/>
  <c r="DQ41" i="29" s="1"/>
  <c r="DP41" i="27"/>
  <c r="DP41" i="29" s="1"/>
  <c r="DO41" i="27"/>
  <c r="DO41" i="29" s="1"/>
  <c r="AA66" i="26"/>
  <c r="AC66" i="26" s="1"/>
  <c r="EI54" i="27"/>
  <c r="EI54" i="29" s="1"/>
  <c r="EG54" i="27"/>
  <c r="EG54" i="29" s="1"/>
  <c r="EF54" i="27"/>
  <c r="EF54" i="29" s="1"/>
  <c r="EE54" i="27"/>
  <c r="EE54" i="29" s="1"/>
  <c r="DZ54" i="27"/>
  <c r="DZ54" i="29" s="1"/>
  <c r="DX54" i="27"/>
  <c r="DX54" i="29" s="1"/>
  <c r="EH54" i="27"/>
  <c r="EH54" i="29" s="1"/>
  <c r="EC54" i="27"/>
  <c r="EC54" i="29" s="1"/>
  <c r="EB54" i="27"/>
  <c r="EB54" i="29" s="1"/>
  <c r="EA54" i="27"/>
  <c r="EA54" i="29" s="1"/>
  <c r="DY54" i="27"/>
  <c r="DY54" i="29" s="1"/>
  <c r="DW54" i="27"/>
  <c r="DW54" i="29" s="1"/>
  <c r="DV54" i="27"/>
  <c r="DV54" i="29" s="1"/>
  <c r="EK54" i="27"/>
  <c r="EK54" i="29" s="1"/>
  <c r="EJ54" i="27"/>
  <c r="EJ54" i="29" s="1"/>
  <c r="ED54" i="27"/>
  <c r="ED54" i="29" s="1"/>
  <c r="AA44" i="26"/>
  <c r="AC44" i="26" s="1"/>
  <c r="Z45" i="26"/>
  <c r="AD260" i="26"/>
  <c r="DT21" i="27"/>
  <c r="DT21" i="29" s="1"/>
  <c r="DR21" i="27"/>
  <c r="DR21" i="29" s="1"/>
  <c r="DW21" i="27"/>
  <c r="DW21" i="29" s="1"/>
  <c r="DV21" i="27"/>
  <c r="DV21" i="29" s="1"/>
  <c r="DU21" i="27"/>
  <c r="DU21" i="29" s="1"/>
  <c r="DS21" i="27"/>
  <c r="DS21" i="29" s="1"/>
  <c r="DQ21" i="27"/>
  <c r="DQ21" i="29" s="1"/>
  <c r="DP21" i="27"/>
  <c r="DP21" i="29" s="1"/>
  <c r="DO21" i="27"/>
  <c r="DO21" i="29" s="1"/>
  <c r="DN21" i="27"/>
  <c r="DN21" i="29" s="1"/>
  <c r="DM21" i="27"/>
  <c r="DM21" i="29" s="1"/>
  <c r="DL21" i="27"/>
  <c r="DL21" i="29" s="1"/>
  <c r="DK21" i="27"/>
  <c r="DK21" i="29" s="1"/>
  <c r="DJ21" i="27"/>
  <c r="DJ21" i="29" s="1"/>
  <c r="Z840" i="26"/>
  <c r="DY21" i="27"/>
  <c r="DY21" i="29" s="1"/>
  <c r="AA46" i="26"/>
  <c r="AC46" i="26" s="1"/>
  <c r="AD66" i="26" s="1"/>
  <c r="EA21" i="27"/>
  <c r="EA21" i="29" s="1"/>
  <c r="DZ21" i="27"/>
  <c r="DZ21" i="29" s="1"/>
  <c r="DX21" i="27"/>
  <c r="DX21" i="29" s="1"/>
  <c r="T64" i="27"/>
  <c r="T64" i="29" s="1"/>
  <c r="S64" i="27"/>
  <c r="S64" i="29" s="1"/>
  <c r="R64" i="27"/>
  <c r="R64" i="29" s="1"/>
  <c r="K64" i="27"/>
  <c r="K64" i="29" s="1"/>
  <c r="J64" i="27"/>
  <c r="J64" i="29" s="1"/>
  <c r="I64" i="27"/>
  <c r="I64" i="29" s="1"/>
  <c r="H64" i="27"/>
  <c r="H64" i="29" s="1"/>
  <c r="G64" i="27"/>
  <c r="G64" i="29" s="1"/>
  <c r="Y64" i="27"/>
  <c r="Y64" i="29" s="1"/>
  <c r="F64" i="27"/>
  <c r="F64" i="29" s="1"/>
  <c r="X64" i="27"/>
  <c r="X64" i="29" s="1"/>
  <c r="E64" i="27"/>
  <c r="E64" i="29" s="1"/>
  <c r="W64" i="27"/>
  <c r="W64" i="29" s="1"/>
  <c r="V64" i="27"/>
  <c r="V64" i="29" s="1"/>
  <c r="U64" i="27"/>
  <c r="U64" i="29" s="1"/>
  <c r="Q64" i="27"/>
  <c r="Q64" i="29" s="1"/>
  <c r="P64" i="27"/>
  <c r="P64" i="29" s="1"/>
  <c r="O64" i="27"/>
  <c r="O64" i="29" s="1"/>
  <c r="N64" i="27"/>
  <c r="N64" i="29" s="1"/>
  <c r="M64" i="27"/>
  <c r="M64" i="29" s="1"/>
  <c r="L64" i="27"/>
  <c r="L64" i="29" s="1"/>
  <c r="AA299" i="26"/>
  <c r="AC299" i="26" s="1"/>
  <c r="DD44" i="27"/>
  <c r="DD44" i="29" s="1"/>
  <c r="DR44" i="27"/>
  <c r="DR44" i="29" s="1"/>
  <c r="DB44" i="27"/>
  <c r="DB44" i="29" s="1"/>
  <c r="DM44" i="27"/>
  <c r="DM44" i="29" s="1"/>
  <c r="DK44" i="27"/>
  <c r="DK44" i="29" s="1"/>
  <c r="DJ44" i="27"/>
  <c r="DJ44" i="29" s="1"/>
  <c r="DG44" i="27"/>
  <c r="DG44" i="29" s="1"/>
  <c r="DF44" i="27"/>
  <c r="DF44" i="29" s="1"/>
  <c r="DE44" i="27"/>
  <c r="DE44" i="29" s="1"/>
  <c r="DN44" i="27"/>
  <c r="DN44" i="29" s="1"/>
  <c r="DL44" i="27"/>
  <c r="DL44" i="29" s="1"/>
  <c r="DI44" i="27"/>
  <c r="DI44" i="29" s="1"/>
  <c r="DH44" i="27"/>
  <c r="DH44" i="29" s="1"/>
  <c r="DC44" i="27"/>
  <c r="DC44" i="29" s="1"/>
  <c r="DA44" i="27"/>
  <c r="DA44" i="29" s="1"/>
  <c r="CZ44" i="27"/>
  <c r="CZ44" i="29" s="1"/>
  <c r="DP44" i="27"/>
  <c r="DP44" i="29" s="1"/>
  <c r="DO44" i="27"/>
  <c r="DO44" i="29" s="1"/>
  <c r="DS44" i="27"/>
  <c r="DS44" i="29" s="1"/>
  <c r="DQ44" i="27"/>
  <c r="DQ44" i="29" s="1"/>
  <c r="CY44" i="27"/>
  <c r="CY44" i="29" s="1"/>
  <c r="AA116" i="26"/>
  <c r="AC116" i="26" s="1"/>
  <c r="Z671" i="26"/>
  <c r="DH42" i="27" s="1"/>
  <c r="Z695" i="26"/>
  <c r="CM44" i="27"/>
  <c r="CM44" i="29" s="1"/>
  <c r="CK44" i="27"/>
  <c r="CK44" i="29" s="1"/>
  <c r="CT44" i="27"/>
  <c r="CT44" i="29" s="1"/>
  <c r="CR44" i="27"/>
  <c r="CR44" i="29" s="1"/>
  <c r="CQ44" i="27"/>
  <c r="CQ44" i="29" s="1"/>
  <c r="CN44" i="27"/>
  <c r="CN44" i="29" s="1"/>
  <c r="CL44" i="27"/>
  <c r="CL44" i="29" s="1"/>
  <c r="CJ44" i="27"/>
  <c r="CJ44" i="29" s="1"/>
  <c r="CG44" i="27"/>
  <c r="CG44" i="29" s="1"/>
  <c r="CF44" i="27"/>
  <c r="CF44" i="29" s="1"/>
  <c r="CE44" i="27"/>
  <c r="CE44" i="29" s="1"/>
  <c r="CD44" i="27"/>
  <c r="CD44" i="29" s="1"/>
  <c r="CC44" i="27"/>
  <c r="CC44" i="29" s="1"/>
  <c r="CV44" i="27"/>
  <c r="CV44" i="29" s="1"/>
  <c r="CI44" i="27"/>
  <c r="CI44" i="29" s="1"/>
  <c r="CH44" i="27"/>
  <c r="CH44" i="29" s="1"/>
  <c r="CW44" i="27"/>
  <c r="CW44" i="29" s="1"/>
  <c r="CU44" i="27"/>
  <c r="CU44" i="29" s="1"/>
  <c r="CS44" i="27"/>
  <c r="CS44" i="29" s="1"/>
  <c r="CP44" i="27"/>
  <c r="CP44" i="29" s="1"/>
  <c r="CO44" i="27"/>
  <c r="CO44" i="29" s="1"/>
  <c r="AA137" i="26"/>
  <c r="AC137" i="26" s="1"/>
  <c r="BH26" i="27"/>
  <c r="BH26" i="29" s="1"/>
  <c r="BF26" i="27"/>
  <c r="BF26" i="29" s="1"/>
  <c r="BR25" i="29"/>
  <c r="BO24" i="29"/>
  <c r="BT26" i="27"/>
  <c r="BT26" i="29" s="1"/>
  <c r="BD26" i="27"/>
  <c r="BD26" i="29" s="1"/>
  <c r="BP25" i="29"/>
  <c r="BM24" i="29"/>
  <c r="BS26" i="27"/>
  <c r="BS26" i="29" s="1"/>
  <c r="BC26" i="27"/>
  <c r="BC26" i="29" s="1"/>
  <c r="BO25" i="29"/>
  <c r="BL24" i="29"/>
  <c r="BO26" i="27"/>
  <c r="BO26" i="29" s="1"/>
  <c r="BH24" i="29"/>
  <c r="BJ26" i="27"/>
  <c r="BJ26" i="29" s="1"/>
  <c r="BF25" i="29"/>
  <c r="BK26" i="27"/>
  <c r="BK26" i="29" s="1"/>
  <c r="BD25" i="29"/>
  <c r="BJ24" i="29"/>
  <c r="BI26" i="27"/>
  <c r="BI26" i="29" s="1"/>
  <c r="BC25" i="29"/>
  <c r="BI24" i="29"/>
  <c r="BG26" i="29"/>
  <c r="BE26" i="27"/>
  <c r="BE26" i="29" s="1"/>
  <c r="BB26" i="27"/>
  <c r="BB26" i="29" s="1"/>
  <c r="BT25" i="29"/>
  <c r="BS25" i="29"/>
  <c r="AA884" i="26"/>
  <c r="AC884" i="26" s="1"/>
  <c r="AD884" i="26" s="1"/>
  <c r="BN25" i="29"/>
  <c r="BM25" i="29"/>
  <c r="BL25" i="29"/>
  <c r="BJ25" i="29"/>
  <c r="BI25" i="29"/>
  <c r="BU26" i="27"/>
  <c r="BU26" i="29" s="1"/>
  <c r="BH25" i="29"/>
  <c r="BQ26" i="27"/>
  <c r="BQ26" i="29" s="1"/>
  <c r="BE25" i="29"/>
  <c r="BK24" i="29"/>
  <c r="BP26" i="27"/>
  <c r="BP26" i="29" s="1"/>
  <c r="BN26" i="27"/>
  <c r="BN26" i="29" s="1"/>
  <c r="BM26" i="27"/>
  <c r="BM26" i="29" s="1"/>
  <c r="BL26" i="27"/>
  <c r="BL26" i="29" s="1"/>
  <c r="BP24" i="29"/>
  <c r="BN24" i="29"/>
  <c r="BR26" i="27"/>
  <c r="BR26" i="29" s="1"/>
  <c r="BG25" i="29"/>
  <c r="DN64" i="27"/>
  <c r="DN64" i="29" s="1"/>
  <c r="DM64" i="27"/>
  <c r="DM64" i="29" s="1"/>
  <c r="DL64" i="27"/>
  <c r="DL64" i="29" s="1"/>
  <c r="DA64" i="27"/>
  <c r="DA64" i="29" s="1"/>
  <c r="DS64" i="27"/>
  <c r="DS64" i="29" s="1"/>
  <c r="CZ64" i="27"/>
  <c r="CZ64" i="29" s="1"/>
  <c r="DR64" i="27"/>
  <c r="DR64" i="29" s="1"/>
  <c r="CY64" i="27"/>
  <c r="CY64" i="29" s="1"/>
  <c r="DQ64" i="27"/>
  <c r="DQ64" i="29" s="1"/>
  <c r="DP64" i="27"/>
  <c r="DP64" i="29" s="1"/>
  <c r="DO64" i="27"/>
  <c r="DO64" i="29" s="1"/>
  <c r="DK64" i="27"/>
  <c r="DK64" i="29" s="1"/>
  <c r="DJ64" i="27"/>
  <c r="DJ64" i="29" s="1"/>
  <c r="DI64" i="27"/>
  <c r="DI64" i="29" s="1"/>
  <c r="DH64" i="27"/>
  <c r="DH64" i="29" s="1"/>
  <c r="DG64" i="27"/>
  <c r="DG64" i="29" s="1"/>
  <c r="DF64" i="27"/>
  <c r="DF64" i="29" s="1"/>
  <c r="DE64" i="27"/>
  <c r="DE64" i="29" s="1"/>
  <c r="DD64" i="27"/>
  <c r="DD64" i="29" s="1"/>
  <c r="DC64" i="27"/>
  <c r="DC64" i="29" s="1"/>
  <c r="DB64" i="27"/>
  <c r="DB64" i="29" s="1"/>
  <c r="Z502" i="26"/>
  <c r="AA136" i="26"/>
  <c r="AC136" i="26" s="1"/>
  <c r="EW41" i="27"/>
  <c r="EW41" i="29" s="1"/>
  <c r="EV41" i="27"/>
  <c r="EV41" i="29" s="1"/>
  <c r="AA780" i="26"/>
  <c r="AC780" i="26" s="1"/>
  <c r="AD780" i="26" s="1"/>
  <c r="Z85" i="27"/>
  <c r="Z85" i="29" s="1"/>
  <c r="AA336" i="26"/>
  <c r="AC336" i="26" s="1"/>
  <c r="Z335" i="26"/>
  <c r="CW64" i="27"/>
  <c r="CW64" i="29" s="1"/>
  <c r="CG64" i="27"/>
  <c r="CG64" i="29" s="1"/>
  <c r="CV64" i="27"/>
  <c r="CV64" i="29" s="1"/>
  <c r="CF64" i="27"/>
  <c r="CF64" i="29" s="1"/>
  <c r="CU64" i="27"/>
  <c r="CU64" i="29" s="1"/>
  <c r="CE64" i="27"/>
  <c r="CE64" i="29" s="1"/>
  <c r="CD64" i="27"/>
  <c r="CD64" i="29" s="1"/>
  <c r="CC64" i="27"/>
  <c r="CC64" i="29" s="1"/>
  <c r="CT64" i="27"/>
  <c r="CT64" i="29" s="1"/>
  <c r="CS64" i="27"/>
  <c r="CS64" i="29" s="1"/>
  <c r="CR64" i="27"/>
  <c r="CR64" i="29" s="1"/>
  <c r="CQ64" i="27"/>
  <c r="CQ64" i="29" s="1"/>
  <c r="CP64" i="27"/>
  <c r="CP64" i="29" s="1"/>
  <c r="CO64" i="27"/>
  <c r="CO64" i="29" s="1"/>
  <c r="CN64" i="27"/>
  <c r="CN64" i="29" s="1"/>
  <c r="CM64" i="27"/>
  <c r="CM64" i="29" s="1"/>
  <c r="CH64" i="27"/>
  <c r="CH64" i="29" s="1"/>
  <c r="CJ64" i="27"/>
  <c r="CJ64" i="29" s="1"/>
  <c r="CI64" i="27"/>
  <c r="CI64" i="29" s="1"/>
  <c r="CL64" i="27"/>
  <c r="CL64" i="29" s="1"/>
  <c r="CK64" i="27"/>
  <c r="CK64" i="29" s="1"/>
  <c r="Z482" i="26"/>
  <c r="AA157" i="26"/>
  <c r="AC157" i="26" s="1"/>
  <c r="AA327" i="26"/>
  <c r="AC327" i="26" s="1"/>
  <c r="AD327" i="26" s="1"/>
  <c r="CL23" i="29"/>
  <c r="CJ23" i="29"/>
  <c r="CI23" i="29"/>
  <c r="CP23" i="29"/>
  <c r="CS23" i="29"/>
  <c r="CR23" i="29"/>
  <c r="AA868" i="26"/>
  <c r="AC868" i="26" s="1"/>
  <c r="CQ23" i="29"/>
  <c r="CO23" i="29"/>
  <c r="CN23" i="29"/>
  <c r="CG23" i="29"/>
  <c r="CF23" i="27"/>
  <c r="CF23" i="29" s="1"/>
  <c r="CK23" i="29"/>
  <c r="Z867" i="26"/>
  <c r="CM23" i="29"/>
  <c r="CH23" i="29"/>
  <c r="DW63" i="27"/>
  <c r="DW63" i="29" s="1"/>
  <c r="DV63" i="27"/>
  <c r="DV63" i="29" s="1"/>
  <c r="DU63" i="27"/>
  <c r="DU63" i="29" s="1"/>
  <c r="DT63" i="27"/>
  <c r="DT63" i="29" s="1"/>
  <c r="AA553" i="26"/>
  <c r="AC553" i="26" s="1"/>
  <c r="U86" i="29"/>
  <c r="P86" i="29"/>
  <c r="O86" i="29"/>
  <c r="N86" i="29"/>
  <c r="M86" i="29"/>
  <c r="L86" i="29"/>
  <c r="K86" i="29"/>
  <c r="Z86" i="29"/>
  <c r="X86" i="29"/>
  <c r="G86" i="29"/>
  <c r="I86" i="29"/>
  <c r="H86" i="29"/>
  <c r="W86" i="29"/>
  <c r="Q86" i="29"/>
  <c r="V86" i="29"/>
  <c r="T86" i="29"/>
  <c r="S86" i="29"/>
  <c r="R86" i="29"/>
  <c r="J86" i="29"/>
  <c r="Y86" i="29"/>
  <c r="CA43" i="27"/>
  <c r="CA43" i="29" s="1"/>
  <c r="BZ43" i="27"/>
  <c r="BZ43" i="29" s="1"/>
  <c r="CB43" i="27"/>
  <c r="CB43" i="29" s="1"/>
  <c r="AA622" i="26"/>
  <c r="AC622" i="26" s="1"/>
  <c r="AD622" i="26" s="1"/>
  <c r="CE43" i="27"/>
  <c r="CE43" i="29" s="1"/>
  <c r="CO43" i="29"/>
  <c r="CN43" i="29"/>
  <c r="CK43" i="29"/>
  <c r="CJ43" i="29"/>
  <c r="CI43" i="29"/>
  <c r="CH43" i="29"/>
  <c r="CG43" i="27"/>
  <c r="CG43" i="29" s="1"/>
  <c r="CF43" i="27"/>
  <c r="CF43" i="29" s="1"/>
  <c r="CD43" i="27"/>
  <c r="CD43" i="29" s="1"/>
  <c r="CM43" i="29"/>
  <c r="CL43" i="29"/>
  <c r="AA644" i="26"/>
  <c r="AC644" i="26" s="1"/>
  <c r="AD644" i="26" s="1"/>
  <c r="CP43" i="29"/>
  <c r="CC43" i="27"/>
  <c r="CC43" i="29" s="1"/>
  <c r="EY22" i="27"/>
  <c r="EY22" i="29" s="1"/>
  <c r="EV22" i="27"/>
  <c r="EV22" i="29" s="1"/>
  <c r="EX22" i="27"/>
  <c r="EX22" i="29" s="1"/>
  <c r="AA784" i="26"/>
  <c r="AC784" i="26" s="1"/>
  <c r="AD792" i="26" s="1"/>
  <c r="EW22" i="27"/>
  <c r="EW22" i="29" s="1"/>
  <c r="BC42" i="29"/>
  <c r="BB42" i="29"/>
  <c r="BA42" i="29"/>
  <c r="AZ42" i="29"/>
  <c r="BE42" i="29"/>
  <c r="BD42" i="29"/>
  <c r="AA569" i="26"/>
  <c r="AC569" i="26" s="1"/>
  <c r="AD576" i="26" s="1"/>
  <c r="Z389" i="26"/>
  <c r="AA388" i="26"/>
  <c r="AC388" i="26" s="1"/>
  <c r="V43" i="29"/>
  <c r="F43" i="29"/>
  <c r="M42" i="29"/>
  <c r="L41" i="29"/>
  <c r="P43" i="29"/>
  <c r="P42" i="29"/>
  <c r="M43" i="29"/>
  <c r="L43" i="29"/>
  <c r="S43" i="29"/>
  <c r="R43" i="29"/>
  <c r="Q43" i="29"/>
  <c r="O43" i="29"/>
  <c r="N43" i="29"/>
  <c r="U42" i="29"/>
  <c r="U40" i="29"/>
  <c r="K43" i="29"/>
  <c r="T42" i="29"/>
  <c r="U41" i="29"/>
  <c r="T40" i="29"/>
  <c r="J43" i="29"/>
  <c r="S42" i="29"/>
  <c r="T41" i="29"/>
  <c r="S40" i="29"/>
  <c r="G43" i="29"/>
  <c r="O42" i="29"/>
  <c r="Q41" i="29"/>
  <c r="P40" i="29"/>
  <c r="U43" i="29"/>
  <c r="I42" i="29"/>
  <c r="K41" i="29"/>
  <c r="T43" i="29"/>
  <c r="H42" i="29"/>
  <c r="I43" i="29"/>
  <c r="H43" i="29"/>
  <c r="E43" i="29"/>
  <c r="R42" i="29"/>
  <c r="Q42" i="29"/>
  <c r="N42" i="29"/>
  <c r="S41" i="29"/>
  <c r="L42" i="29"/>
  <c r="R41" i="29"/>
  <c r="K42" i="29"/>
  <c r="P41" i="29"/>
  <c r="R40" i="29"/>
  <c r="N41" i="29"/>
  <c r="M41" i="29"/>
  <c r="Q40" i="29"/>
  <c r="J42" i="29"/>
  <c r="O41" i="29"/>
  <c r="CU43" i="27"/>
  <c r="CU43" i="29" s="1"/>
  <c r="CR43" i="27"/>
  <c r="CR43" i="29" s="1"/>
  <c r="CV43" i="27"/>
  <c r="CV43" i="29" s="1"/>
  <c r="AA668" i="26"/>
  <c r="AC668" i="26" s="1"/>
  <c r="AD668" i="26" s="1"/>
  <c r="CW43" i="27"/>
  <c r="CW43" i="29" s="1"/>
  <c r="CT43" i="27"/>
  <c r="CT43" i="29" s="1"/>
  <c r="CS43" i="27"/>
  <c r="CS43" i="29" s="1"/>
  <c r="CQ43" i="27"/>
  <c r="CQ43" i="29" s="1"/>
  <c r="W44" i="27"/>
  <c r="W44" i="29" s="1"/>
  <c r="V44" i="27"/>
  <c r="V44" i="29" s="1"/>
  <c r="AA378" i="26"/>
  <c r="AC378" i="26" s="1"/>
  <c r="Z379" i="26"/>
  <c r="EK21" i="27"/>
  <c r="EK21" i="29" s="1"/>
  <c r="EI21" i="27"/>
  <c r="EI21" i="29" s="1"/>
  <c r="EP21" i="27"/>
  <c r="EP21" i="29" s="1"/>
  <c r="EO21" i="27"/>
  <c r="EO21" i="29" s="1"/>
  <c r="EN21" i="27"/>
  <c r="EN21" i="29" s="1"/>
  <c r="EM21" i="27"/>
  <c r="EM21" i="29" s="1"/>
  <c r="EL21" i="27"/>
  <c r="EL21" i="29" s="1"/>
  <c r="EJ21" i="27"/>
  <c r="EJ21" i="29" s="1"/>
  <c r="EH21" i="27"/>
  <c r="EH21" i="29" s="1"/>
  <c r="EG21" i="27"/>
  <c r="EG21" i="29" s="1"/>
  <c r="EF21" i="27"/>
  <c r="EF21" i="29" s="1"/>
  <c r="EE21" i="27"/>
  <c r="EE21" i="29" s="1"/>
  <c r="AA13" i="26"/>
  <c r="AC13" i="26" s="1"/>
  <c r="AD33" i="26" s="1"/>
  <c r="Z743" i="26"/>
  <c r="EC42" i="27" s="1"/>
  <c r="EQ21" i="27"/>
  <c r="EQ21" i="29" s="1"/>
  <c r="ED21" i="27"/>
  <c r="ED21" i="29" s="1"/>
  <c r="EC21" i="27"/>
  <c r="EC21" i="29" s="1"/>
  <c r="AA272" i="26"/>
  <c r="AC272" i="26" s="1"/>
  <c r="AA894" i="26"/>
  <c r="AC894" i="26" s="1"/>
  <c r="EK20" i="27" l="1"/>
  <c r="EL20" i="27"/>
  <c r="EM20" i="27"/>
  <c r="EM20" i="29" s="1"/>
  <c r="ED20" i="27"/>
  <c r="ED20" i="29" s="1"/>
  <c r="EE20" i="27"/>
  <c r="EF20" i="27"/>
  <c r="EF20" i="29" s="1"/>
  <c r="EG20" i="27"/>
  <c r="EG20" i="29" s="1"/>
  <c r="EH20" i="27"/>
  <c r="EH20" i="29" s="1"/>
  <c r="EI20" i="27"/>
  <c r="EI20" i="29" s="1"/>
  <c r="EJ20" i="27"/>
  <c r="Z891" i="26"/>
  <c r="AC56" i="27"/>
  <c r="AC56" i="29" s="1"/>
  <c r="AA541" i="26"/>
  <c r="AC541" i="26" s="1"/>
  <c r="K29" i="41"/>
  <c r="L28" i="41"/>
  <c r="Y200" i="25"/>
  <c r="X200" i="25"/>
  <c r="Z200" i="25"/>
  <c r="CO22" i="27"/>
  <c r="CO22" i="29" s="1"/>
  <c r="CP22" i="27"/>
  <c r="CP22" i="29" s="1"/>
  <c r="CR22" i="27"/>
  <c r="CR22" i="29" s="1"/>
  <c r="CS22" i="27"/>
  <c r="CH22" i="27"/>
  <c r="CI22" i="27"/>
  <c r="CI22" i="29" s="1"/>
  <c r="CJ22" i="27"/>
  <c r="CK22" i="27"/>
  <c r="CL22" i="27"/>
  <c r="CM22" i="27"/>
  <c r="CN22" i="27"/>
  <c r="CQ22" i="27"/>
  <c r="CQ22" i="29" s="1"/>
  <c r="EM46" i="27"/>
  <c r="EM46" i="29" s="1"/>
  <c r="EN46" i="27"/>
  <c r="EN46" i="29" s="1"/>
  <c r="EO46" i="27"/>
  <c r="EO46" i="29" s="1"/>
  <c r="EP46" i="27"/>
  <c r="EP46" i="29" s="1"/>
  <c r="EQ46" i="27"/>
  <c r="EQ46" i="29" s="1"/>
  <c r="ER46" i="27"/>
  <c r="ER46" i="29" s="1"/>
  <c r="ES46" i="27"/>
  <c r="ES46" i="29" s="1"/>
  <c r="ET46" i="27"/>
  <c r="ET46" i="29" s="1"/>
  <c r="EU46" i="27"/>
  <c r="EU46" i="29" s="1"/>
  <c r="EV46" i="27"/>
  <c r="EV46" i="29" s="1"/>
  <c r="EL46" i="27"/>
  <c r="EL46" i="29" s="1"/>
  <c r="AA761" i="26"/>
  <c r="AC761" i="26" s="1"/>
  <c r="EE42" i="27"/>
  <c r="EF42" i="27"/>
  <c r="EF42" i="29" s="1"/>
  <c r="EG42" i="27"/>
  <c r="EH42" i="27"/>
  <c r="EI42" i="27"/>
  <c r="EJ42" i="27"/>
  <c r="EK42" i="27"/>
  <c r="EL42" i="27"/>
  <c r="EM42" i="27"/>
  <c r="EN42" i="27"/>
  <c r="EO42" i="27"/>
  <c r="EO42" i="29" s="1"/>
  <c r="EP42" i="27"/>
  <c r="EP42" i="29" s="1"/>
  <c r="EQ42" i="27"/>
  <c r="EQ42" i="29" s="1"/>
  <c r="ER42" i="27"/>
  <c r="ER42" i="29" s="1"/>
  <c r="ES42" i="27"/>
  <c r="ET42" i="27"/>
  <c r="EU42" i="27"/>
  <c r="EV42" i="27"/>
  <c r="EW42" i="27"/>
  <c r="DI42" i="27"/>
  <c r="DJ42" i="27"/>
  <c r="DK42" i="27"/>
  <c r="DL42" i="27"/>
  <c r="DM42" i="27"/>
  <c r="DN42" i="27"/>
  <c r="DN42" i="29" s="1"/>
  <c r="DO42" i="27"/>
  <c r="DO42" i="29" s="1"/>
  <c r="DP42" i="27"/>
  <c r="DP42" i="29" s="1"/>
  <c r="DQ42" i="27"/>
  <c r="DQ42" i="29" s="1"/>
  <c r="DR42" i="27"/>
  <c r="DR42" i="29" s="1"/>
  <c r="DS42" i="27"/>
  <c r="DS42" i="29" s="1"/>
  <c r="Z736" i="26"/>
  <c r="EB39" i="27"/>
  <c r="EB39" i="29" s="1"/>
  <c r="AA737" i="26"/>
  <c r="AC737" i="26" s="1"/>
  <c r="Z517" i="26"/>
  <c r="DX75" i="27"/>
  <c r="DX75" i="29" s="1"/>
  <c r="DY75" i="27"/>
  <c r="DY75" i="29" s="1"/>
  <c r="DZ75" i="27"/>
  <c r="DZ75" i="29" s="1"/>
  <c r="DL75" i="27"/>
  <c r="DL75" i="29" s="1"/>
  <c r="DM75" i="27"/>
  <c r="DM75" i="29" s="1"/>
  <c r="DN75" i="27"/>
  <c r="DN75" i="29" s="1"/>
  <c r="DO75" i="27"/>
  <c r="DO75" i="29" s="1"/>
  <c r="DP75" i="27"/>
  <c r="DP75" i="29" s="1"/>
  <c r="DQ75" i="27"/>
  <c r="DQ75" i="29" s="1"/>
  <c r="DR75" i="27"/>
  <c r="DR75" i="29" s="1"/>
  <c r="DS75" i="27"/>
  <c r="DS75" i="29" s="1"/>
  <c r="DT75" i="27"/>
  <c r="DT75" i="29" s="1"/>
  <c r="DU75" i="27"/>
  <c r="DU75" i="29" s="1"/>
  <c r="DV75" i="27"/>
  <c r="DV75" i="29" s="1"/>
  <c r="DW75" i="27"/>
  <c r="DW75" i="29" s="1"/>
  <c r="AA516" i="26"/>
  <c r="AC516" i="26" s="1"/>
  <c r="Z660" i="26"/>
  <c r="CO39" i="27"/>
  <c r="CO39" i="29" s="1"/>
  <c r="CP39" i="27"/>
  <c r="CP39" i="29" s="1"/>
  <c r="AA661" i="26"/>
  <c r="AC661" i="26" s="1"/>
  <c r="Z687" i="26"/>
  <c r="DI39" i="27"/>
  <c r="DI39" i="29" s="1"/>
  <c r="AA688" i="26"/>
  <c r="AC688" i="26" s="1"/>
  <c r="EM55" i="27"/>
  <c r="EM55" i="29" s="1"/>
  <c r="EL55" i="27"/>
  <c r="EL55" i="29" s="1"/>
  <c r="CX63" i="27"/>
  <c r="CX63" i="29" s="1"/>
  <c r="AA540" i="26"/>
  <c r="AC540" i="26" s="1"/>
  <c r="Z539" i="26"/>
  <c r="Z702" i="26"/>
  <c r="DT45" i="27"/>
  <c r="DT45" i="29" s="1"/>
  <c r="DU45" i="27"/>
  <c r="DU45" i="29" s="1"/>
  <c r="AA701" i="26"/>
  <c r="AC701" i="26" s="1"/>
  <c r="CA45" i="27"/>
  <c r="CA45" i="29" s="1"/>
  <c r="CB45" i="27"/>
  <c r="CB45" i="29" s="1"/>
  <c r="AA626" i="26"/>
  <c r="AC626" i="26" s="1"/>
  <c r="Z627" i="26"/>
  <c r="AA389" i="26"/>
  <c r="AC389" i="26" s="1"/>
  <c r="AD389" i="26" s="1"/>
  <c r="AW80" i="27"/>
  <c r="AW80" i="29" s="1"/>
  <c r="Z459" i="26"/>
  <c r="AA460" i="26"/>
  <c r="AC460" i="26" s="1"/>
  <c r="Z439" i="26"/>
  <c r="BT80" i="27"/>
  <c r="BT80" i="29" s="1"/>
  <c r="BU80" i="27"/>
  <c r="BU80" i="29" s="1"/>
  <c r="BV80" i="27"/>
  <c r="BV80" i="29" s="1"/>
  <c r="BW80" i="27"/>
  <c r="BW80" i="29" s="1"/>
  <c r="BX80" i="27"/>
  <c r="BX80" i="29" s="1"/>
  <c r="BS80" i="27"/>
  <c r="BS80" i="29" s="1"/>
  <c r="AA438" i="26"/>
  <c r="AC438" i="26" s="1"/>
  <c r="G84" i="29"/>
  <c r="G85" i="27"/>
  <c r="G85" i="29" s="1"/>
  <c r="EC42" i="29"/>
  <c r="EB42" i="29"/>
  <c r="ES20" i="27"/>
  <c r="ES20" i="29" s="1"/>
  <c r="EN20" i="27"/>
  <c r="EN20" i="29" s="1"/>
  <c r="AA801" i="26"/>
  <c r="AC801" i="26" s="1"/>
  <c r="ER20" i="27"/>
  <c r="ER20" i="29" s="1"/>
  <c r="EQ20" i="27"/>
  <c r="EQ20" i="29" s="1"/>
  <c r="EP20" i="27"/>
  <c r="EP20" i="29" s="1"/>
  <c r="EU20" i="27"/>
  <c r="EU20" i="29" s="1"/>
  <c r="ET20" i="27"/>
  <c r="ET20" i="29" s="1"/>
  <c r="EO20" i="27"/>
  <c r="EO20" i="29" s="1"/>
  <c r="EL20" i="29"/>
  <c r="EC20" i="27"/>
  <c r="EC20" i="29" s="1"/>
  <c r="AA807" i="26"/>
  <c r="AC807" i="26" s="1"/>
  <c r="AD807" i="26" s="1"/>
  <c r="EK20" i="29"/>
  <c r="EJ20" i="29"/>
  <c r="EE20" i="29"/>
  <c r="G65" i="27"/>
  <c r="G65" i="29" s="1"/>
  <c r="F65" i="27"/>
  <c r="F65" i="29" s="1"/>
  <c r="E65" i="27"/>
  <c r="E65" i="29" s="1"/>
  <c r="AA303" i="26"/>
  <c r="AC303" i="26" s="1"/>
  <c r="AD322" i="26" s="1"/>
  <c r="Z84" i="27"/>
  <c r="Z84" i="29" s="1"/>
  <c r="Z334" i="26"/>
  <c r="AA335" i="26"/>
  <c r="AC335" i="26" s="1"/>
  <c r="M63" i="27"/>
  <c r="M63" i="29" s="1"/>
  <c r="L63" i="27"/>
  <c r="L63" i="29" s="1"/>
  <c r="K63" i="27"/>
  <c r="K63" i="29" s="1"/>
  <c r="U63" i="27"/>
  <c r="U63" i="29" s="1"/>
  <c r="T63" i="27"/>
  <c r="T63" i="29" s="1"/>
  <c r="S63" i="27"/>
  <c r="S63" i="29" s="1"/>
  <c r="R63" i="27"/>
  <c r="R63" i="29" s="1"/>
  <c r="Q63" i="27"/>
  <c r="Q63" i="29" s="1"/>
  <c r="P63" i="27"/>
  <c r="P63" i="29" s="1"/>
  <c r="O63" i="27"/>
  <c r="O63" i="29" s="1"/>
  <c r="N63" i="27"/>
  <c r="N63" i="29" s="1"/>
  <c r="J63" i="27"/>
  <c r="J63" i="29" s="1"/>
  <c r="I63" i="27"/>
  <c r="I63" i="29" s="1"/>
  <c r="X63" i="27"/>
  <c r="X63" i="29" s="1"/>
  <c r="W63" i="27"/>
  <c r="W63" i="29" s="1"/>
  <c r="V63" i="27"/>
  <c r="V63" i="29" s="1"/>
  <c r="H63" i="27"/>
  <c r="H63" i="29" s="1"/>
  <c r="G63" i="27"/>
  <c r="G63" i="29" s="1"/>
  <c r="F63" i="27"/>
  <c r="F63" i="29" s="1"/>
  <c r="E63" i="27"/>
  <c r="E63" i="29" s="1"/>
  <c r="Y63" i="27"/>
  <c r="Y63" i="29" s="1"/>
  <c r="AA298" i="26"/>
  <c r="AC298" i="26" s="1"/>
  <c r="AD299" i="26" s="1"/>
  <c r="AA893" i="26"/>
  <c r="AC893" i="26" s="1"/>
  <c r="AA271" i="26"/>
  <c r="AC271" i="26" s="1"/>
  <c r="W45" i="27"/>
  <c r="W45" i="29" s="1"/>
  <c r="V45" i="27"/>
  <c r="V45" i="29" s="1"/>
  <c r="AA379" i="26"/>
  <c r="AC379" i="26" s="1"/>
  <c r="Z380" i="26"/>
  <c r="EI42" i="29"/>
  <c r="EN42" i="29"/>
  <c r="EM42" i="29"/>
  <c r="EL42" i="29"/>
  <c r="EK42" i="29"/>
  <c r="EJ42" i="29"/>
  <c r="ET42" i="29"/>
  <c r="ES42" i="29"/>
  <c r="Z744" i="26"/>
  <c r="EC43" i="27" s="1"/>
  <c r="EW42" i="29"/>
  <c r="EV42" i="29"/>
  <c r="EU42" i="29"/>
  <c r="EH42" i="29"/>
  <c r="AA743" i="26"/>
  <c r="AC743" i="26" s="1"/>
  <c r="EE42" i="29"/>
  <c r="EG42" i="29"/>
  <c r="ED42" i="27"/>
  <c r="ED42" i="29" s="1"/>
  <c r="DJ42" i="29"/>
  <c r="DH42" i="29"/>
  <c r="DM42" i="29"/>
  <c r="DL42" i="29"/>
  <c r="DK42" i="29"/>
  <c r="DI42" i="29"/>
  <c r="Z696" i="26"/>
  <c r="AA695" i="26"/>
  <c r="AC695" i="26" s="1"/>
  <c r="CK22" i="29"/>
  <c r="Z866" i="26"/>
  <c r="CN22" i="29"/>
  <c r="CM22" i="29"/>
  <c r="CL22" i="29"/>
  <c r="CJ22" i="29"/>
  <c r="CH22" i="29"/>
  <c r="CS22" i="29"/>
  <c r="AA867" i="26"/>
  <c r="AC867" i="26" s="1"/>
  <c r="Z501" i="26"/>
  <c r="AA502" i="26"/>
  <c r="AC502" i="26" s="1"/>
  <c r="DC42" i="27"/>
  <c r="DC42" i="29" s="1"/>
  <c r="DF42" i="27"/>
  <c r="DF42" i="29" s="1"/>
  <c r="DE42" i="27"/>
  <c r="DE42" i="29" s="1"/>
  <c r="DD42" i="27"/>
  <c r="DD42" i="29" s="1"/>
  <c r="DB42" i="27"/>
  <c r="DB42" i="29" s="1"/>
  <c r="DA42" i="27"/>
  <c r="DA42" i="29" s="1"/>
  <c r="CZ42" i="27"/>
  <c r="CZ42" i="29" s="1"/>
  <c r="CY42" i="27"/>
  <c r="CY42" i="29" s="1"/>
  <c r="DG42" i="27"/>
  <c r="DG42" i="29" s="1"/>
  <c r="AA671" i="26"/>
  <c r="AC671" i="26" s="1"/>
  <c r="CX42" i="27"/>
  <c r="CX42" i="29" s="1"/>
  <c r="Z672" i="26"/>
  <c r="AD136" i="26"/>
  <c r="DT64" i="27"/>
  <c r="DT64" i="29" s="1"/>
  <c r="DW64" i="27"/>
  <c r="DW64" i="29" s="1"/>
  <c r="DV64" i="27"/>
  <c r="DV64" i="29" s="1"/>
  <c r="DU64" i="27"/>
  <c r="DU64" i="29" s="1"/>
  <c r="AA554" i="26"/>
  <c r="AC554" i="26" s="1"/>
  <c r="AD554" i="26" s="1"/>
  <c r="AA840" i="26"/>
  <c r="AC840" i="26" s="1"/>
  <c r="Z839" i="26"/>
  <c r="DX55" i="27"/>
  <c r="DX55" i="29" s="1"/>
  <c r="EC55" i="27"/>
  <c r="EC55" i="29" s="1"/>
  <c r="EB55" i="27"/>
  <c r="EB55" i="29" s="1"/>
  <c r="EA55" i="27"/>
  <c r="EA55" i="29" s="1"/>
  <c r="EJ55" i="27"/>
  <c r="EJ55" i="29" s="1"/>
  <c r="DY55" i="27"/>
  <c r="DY55" i="29" s="1"/>
  <c r="DV55" i="27"/>
  <c r="DV55" i="29" s="1"/>
  <c r="EK55" i="27"/>
  <c r="EK55" i="29" s="1"/>
  <c r="EI55" i="27"/>
  <c r="EI55" i="29" s="1"/>
  <c r="EH55" i="27"/>
  <c r="EH55" i="29" s="1"/>
  <c r="EG55" i="27"/>
  <c r="EG55" i="29" s="1"/>
  <c r="EF55" i="27"/>
  <c r="EF55" i="29" s="1"/>
  <c r="DZ55" i="27"/>
  <c r="DZ55" i="29" s="1"/>
  <c r="EE55" i="27"/>
  <c r="EE55" i="29" s="1"/>
  <c r="ED55" i="27"/>
  <c r="ED55" i="29" s="1"/>
  <c r="DW55" i="27"/>
  <c r="DW55" i="29" s="1"/>
  <c r="AA45" i="26"/>
  <c r="AC45" i="26" s="1"/>
  <c r="AD45" i="26" s="1"/>
  <c r="Z747" i="26"/>
  <c r="CP66" i="27"/>
  <c r="CP66" i="29" s="1"/>
  <c r="CO66" i="27"/>
  <c r="CO66" i="29" s="1"/>
  <c r="CN66" i="27"/>
  <c r="CN66" i="29" s="1"/>
  <c r="CL66" i="27"/>
  <c r="CL66" i="29" s="1"/>
  <c r="CJ66" i="27"/>
  <c r="CJ66" i="29" s="1"/>
  <c r="CM66" i="27"/>
  <c r="CM66" i="29" s="1"/>
  <c r="CK66" i="27"/>
  <c r="CK66" i="29" s="1"/>
  <c r="CI66" i="27"/>
  <c r="CI66" i="29" s="1"/>
  <c r="CH66" i="27"/>
  <c r="CH66" i="29" s="1"/>
  <c r="CG66" i="27"/>
  <c r="CG66" i="29" s="1"/>
  <c r="CF66" i="27"/>
  <c r="CF66" i="29" s="1"/>
  <c r="CE66" i="27"/>
  <c r="CE66" i="29" s="1"/>
  <c r="CD66" i="27"/>
  <c r="CD66" i="29" s="1"/>
  <c r="CC66" i="27"/>
  <c r="CC66" i="29" s="1"/>
  <c r="AA482" i="26"/>
  <c r="AC482" i="26" s="1"/>
  <c r="Z481" i="26"/>
  <c r="BA41" i="27"/>
  <c r="BA41" i="29" s="1"/>
  <c r="AA594" i="26"/>
  <c r="AC594" i="26" s="1"/>
  <c r="BA40" i="27"/>
  <c r="AD157" i="26"/>
  <c r="Z890" i="26" l="1"/>
  <c r="AC55" i="27"/>
  <c r="AC55" i="29" s="1"/>
  <c r="K30" i="41"/>
  <c r="L30" i="41" s="1"/>
  <c r="L29" i="41"/>
  <c r="CI21" i="27"/>
  <c r="CI21" i="29" s="1"/>
  <c r="CJ21" i="27"/>
  <c r="CK21" i="27"/>
  <c r="CK21" i="29" s="1"/>
  <c r="CL21" i="27"/>
  <c r="CM21" i="27"/>
  <c r="CM21" i="29" s="1"/>
  <c r="CN21" i="27"/>
  <c r="CO21" i="27"/>
  <c r="CP21" i="27"/>
  <c r="CR21" i="27"/>
  <c r="CS21" i="27"/>
  <c r="CQ21" i="27"/>
  <c r="CQ21" i="29" s="1"/>
  <c r="EM47" i="27"/>
  <c r="EM47" i="29" s="1"/>
  <c r="EN47" i="27"/>
  <c r="EN47" i="29" s="1"/>
  <c r="EO47" i="27"/>
  <c r="EO47" i="29" s="1"/>
  <c r="EP47" i="27"/>
  <c r="EP47" i="29" s="1"/>
  <c r="EQ47" i="27"/>
  <c r="EQ47" i="29" s="1"/>
  <c r="ER47" i="27"/>
  <c r="ER47" i="29" s="1"/>
  <c r="ES47" i="27"/>
  <c r="ES47" i="29" s="1"/>
  <c r="ET47" i="27"/>
  <c r="ET47" i="29" s="1"/>
  <c r="EU47" i="27"/>
  <c r="EU47" i="29" s="1"/>
  <c r="EV47" i="27"/>
  <c r="EV47" i="29" s="1"/>
  <c r="EL47" i="27"/>
  <c r="EL47" i="29" s="1"/>
  <c r="AA762" i="26"/>
  <c r="AC762" i="26" s="1"/>
  <c r="EM56" i="27"/>
  <c r="EM56" i="29" s="1"/>
  <c r="DW56" i="27"/>
  <c r="DX56" i="27"/>
  <c r="DY56" i="27"/>
  <c r="DZ56" i="27"/>
  <c r="DZ56" i="29" s="1"/>
  <c r="EA56" i="27"/>
  <c r="EB56" i="27"/>
  <c r="EC56" i="27"/>
  <c r="ED56" i="27"/>
  <c r="ED56" i="29" s="1"/>
  <c r="EE56" i="27"/>
  <c r="EE56" i="29" s="1"/>
  <c r="EF56" i="27"/>
  <c r="EF56" i="29" s="1"/>
  <c r="EG56" i="27"/>
  <c r="EG56" i="29" s="1"/>
  <c r="EH56" i="27"/>
  <c r="EI56" i="27"/>
  <c r="EI56" i="29" s="1"/>
  <c r="EJ56" i="27"/>
  <c r="EK56" i="27"/>
  <c r="EL56" i="27"/>
  <c r="CX43" i="27"/>
  <c r="CY43" i="27"/>
  <c r="CZ43" i="27"/>
  <c r="DA43" i="27"/>
  <c r="DB43" i="27"/>
  <c r="DC43" i="27"/>
  <c r="DD43" i="27"/>
  <c r="DE43" i="27"/>
  <c r="DF43" i="27"/>
  <c r="DG43" i="27"/>
  <c r="DH43" i="27"/>
  <c r="DH43" i="29" s="1"/>
  <c r="EE43" i="27"/>
  <c r="EE43" i="29" s="1"/>
  <c r="EF43" i="27"/>
  <c r="EF43" i="29" s="1"/>
  <c r="EG43" i="27"/>
  <c r="EH43" i="27"/>
  <c r="EI43" i="27"/>
  <c r="EJ43" i="27"/>
  <c r="EJ43" i="29" s="1"/>
  <c r="EK43" i="27"/>
  <c r="EL43" i="27"/>
  <c r="EM43" i="27"/>
  <c r="EN43" i="27"/>
  <c r="EO43" i="27"/>
  <c r="EP43" i="27"/>
  <c r="EQ43" i="27"/>
  <c r="ER43" i="27"/>
  <c r="ES43" i="27"/>
  <c r="ES43" i="29" s="1"/>
  <c r="ET43" i="27"/>
  <c r="ET43" i="29" s="1"/>
  <c r="EU43" i="27"/>
  <c r="EV43" i="27"/>
  <c r="EV43" i="29" s="1"/>
  <c r="EW43" i="27"/>
  <c r="CA46" i="27"/>
  <c r="CA46" i="29" s="1"/>
  <c r="CB46" i="27"/>
  <c r="CB46" i="29" s="1"/>
  <c r="AA627" i="26"/>
  <c r="AC627" i="26" s="1"/>
  <c r="Z628" i="26"/>
  <c r="Z703" i="26"/>
  <c r="DT46" i="27"/>
  <c r="DT46" i="29" s="1"/>
  <c r="DU46" i="27"/>
  <c r="DU46" i="29" s="1"/>
  <c r="AA702" i="26"/>
  <c r="AC702" i="26" s="1"/>
  <c r="Z538" i="26"/>
  <c r="CX62" i="27"/>
  <c r="CX62" i="29" s="1"/>
  <c r="AA539" i="26"/>
  <c r="AC539" i="26" s="1"/>
  <c r="Z686" i="26"/>
  <c r="DI38" i="27"/>
  <c r="DI38" i="29" s="1"/>
  <c r="AA687" i="26"/>
  <c r="AC687" i="26" s="1"/>
  <c r="Z659" i="26"/>
  <c r="CO38" i="27"/>
  <c r="CO38" i="29" s="1"/>
  <c r="CP38" i="27"/>
  <c r="CP38" i="29" s="1"/>
  <c r="AA660" i="26"/>
  <c r="AC660" i="26" s="1"/>
  <c r="DM76" i="27"/>
  <c r="DM76" i="29" s="1"/>
  <c r="DN76" i="27"/>
  <c r="DN76" i="29" s="1"/>
  <c r="DO76" i="27"/>
  <c r="DO76" i="29" s="1"/>
  <c r="DP76" i="27"/>
  <c r="DP76" i="29" s="1"/>
  <c r="DQ76" i="27"/>
  <c r="DQ76" i="29" s="1"/>
  <c r="DR76" i="27"/>
  <c r="DR76" i="29" s="1"/>
  <c r="DS76" i="27"/>
  <c r="DS76" i="29" s="1"/>
  <c r="DT76" i="27"/>
  <c r="DT76" i="29" s="1"/>
  <c r="DU76" i="27"/>
  <c r="DU76" i="29" s="1"/>
  <c r="DV76" i="27"/>
  <c r="DV76" i="29" s="1"/>
  <c r="DW76" i="27"/>
  <c r="DW76" i="29" s="1"/>
  <c r="DX76" i="27"/>
  <c r="DX76" i="29" s="1"/>
  <c r="DY76" i="27"/>
  <c r="DY76" i="29" s="1"/>
  <c r="DZ76" i="27"/>
  <c r="DZ76" i="29" s="1"/>
  <c r="AA517" i="26"/>
  <c r="AC517" i="26" s="1"/>
  <c r="AD517" i="26" s="1"/>
  <c r="Z735" i="26"/>
  <c r="EB38" i="27"/>
  <c r="EB38" i="29" s="1"/>
  <c r="AA736" i="26"/>
  <c r="AC736" i="26" s="1"/>
  <c r="CR65" i="27"/>
  <c r="CS65" i="27"/>
  <c r="CT65" i="27"/>
  <c r="CU65" i="27"/>
  <c r="CV65" i="27"/>
  <c r="CW65" i="27"/>
  <c r="CX65" i="27"/>
  <c r="CY65" i="27"/>
  <c r="CY65" i="29" s="1"/>
  <c r="CZ65" i="27"/>
  <c r="CZ65" i="29" s="1"/>
  <c r="DA65" i="27"/>
  <c r="DA65" i="29" s="1"/>
  <c r="DB65" i="27"/>
  <c r="DB65" i="29" s="1"/>
  <c r="DC65" i="27"/>
  <c r="DC65" i="29" s="1"/>
  <c r="DD65" i="27"/>
  <c r="DD65" i="29" s="1"/>
  <c r="DE65" i="27"/>
  <c r="DE65" i="29" s="1"/>
  <c r="DF65" i="27"/>
  <c r="DF65" i="29" s="1"/>
  <c r="DG65" i="27"/>
  <c r="DH65" i="27"/>
  <c r="DI65" i="27"/>
  <c r="DI65" i="29" s="1"/>
  <c r="DJ65" i="27"/>
  <c r="DK65" i="27"/>
  <c r="CQ65" i="27"/>
  <c r="BT81" i="27"/>
  <c r="BT81" i="29" s="1"/>
  <c r="BU81" i="27"/>
  <c r="BU81" i="29" s="1"/>
  <c r="BV81" i="27"/>
  <c r="BV81" i="29" s="1"/>
  <c r="BW81" i="27"/>
  <c r="BW81" i="29" s="1"/>
  <c r="BX81" i="27"/>
  <c r="BX81" i="29" s="1"/>
  <c r="BS81" i="27"/>
  <c r="BS81" i="29" s="1"/>
  <c r="AA439" i="26"/>
  <c r="AC439" i="26" s="1"/>
  <c r="AD439" i="26" s="1"/>
  <c r="Z458" i="26"/>
  <c r="AA459" i="26"/>
  <c r="AC459" i="26" s="1"/>
  <c r="EC43" i="29"/>
  <c r="EB43" i="29"/>
  <c r="AA803" i="26"/>
  <c r="AC803" i="26" s="1"/>
  <c r="AA802" i="26"/>
  <c r="AC802" i="26" s="1"/>
  <c r="EW21" i="27"/>
  <c r="EW21" i="29" s="1"/>
  <c r="EU21" i="27"/>
  <c r="EU21" i="29" s="1"/>
  <c r="ET21" i="27"/>
  <c r="ET21" i="29" s="1"/>
  <c r="ES21" i="27"/>
  <c r="ES21" i="29" s="1"/>
  <c r="EV21" i="27"/>
  <c r="EV21" i="29" s="1"/>
  <c r="ER21" i="27"/>
  <c r="ER21" i="29" s="1"/>
  <c r="EQ43" i="29"/>
  <c r="EU43" i="29"/>
  <c r="ER43" i="29"/>
  <c r="EN43" i="29"/>
  <c r="EM43" i="29"/>
  <c r="EW43" i="29"/>
  <c r="EP43" i="29"/>
  <c r="EO43" i="29"/>
  <c r="ED43" i="27"/>
  <c r="ED43" i="29" s="1"/>
  <c r="AA744" i="26"/>
  <c r="AC744" i="26" s="1"/>
  <c r="EL43" i="29"/>
  <c r="EK43" i="29"/>
  <c r="EI43" i="29"/>
  <c r="EH43" i="29"/>
  <c r="EG43" i="29"/>
  <c r="CN65" i="27"/>
  <c r="CN65" i="29" s="1"/>
  <c r="CM65" i="27"/>
  <c r="CM65" i="29" s="1"/>
  <c r="CL65" i="27"/>
  <c r="CL65" i="29" s="1"/>
  <c r="CJ65" i="27"/>
  <c r="CJ65" i="29" s="1"/>
  <c r="CH65" i="27"/>
  <c r="CH65" i="29" s="1"/>
  <c r="CP65" i="27"/>
  <c r="CP65" i="29" s="1"/>
  <c r="CO65" i="27"/>
  <c r="CO65" i="29" s="1"/>
  <c r="CK65" i="27"/>
  <c r="CK65" i="29" s="1"/>
  <c r="CI65" i="27"/>
  <c r="CI65" i="29" s="1"/>
  <c r="CG65" i="27"/>
  <c r="CG65" i="29" s="1"/>
  <c r="CF65" i="27"/>
  <c r="CF65" i="29" s="1"/>
  <c r="CE65" i="27"/>
  <c r="CE65" i="29" s="1"/>
  <c r="CD65" i="27"/>
  <c r="CD65" i="29" s="1"/>
  <c r="CC65" i="27"/>
  <c r="CC65" i="29" s="1"/>
  <c r="AA481" i="26"/>
  <c r="AC481" i="26" s="1"/>
  <c r="AD482" i="26" s="1"/>
  <c r="EA56" i="29"/>
  <c r="DV56" i="27"/>
  <c r="DV56" i="29" s="1"/>
  <c r="EL56" i="29"/>
  <c r="EK56" i="29"/>
  <c r="DX56" i="29"/>
  <c r="DW56" i="29"/>
  <c r="EJ56" i="29"/>
  <c r="DY56" i="29"/>
  <c r="AA747" i="26"/>
  <c r="AC747" i="26" s="1"/>
  <c r="EH56" i="29"/>
  <c r="Z748" i="26"/>
  <c r="EC56" i="29"/>
  <c r="EB56" i="29"/>
  <c r="AA270" i="26"/>
  <c r="AC270" i="26" s="1"/>
  <c r="CS21" i="29"/>
  <c r="CR21" i="29"/>
  <c r="Z865" i="26"/>
  <c r="CP21" i="29"/>
  <c r="CO21" i="29"/>
  <c r="CN21" i="29"/>
  <c r="AA866" i="26"/>
  <c r="AC866" i="26" s="1"/>
  <c r="CL21" i="29"/>
  <c r="CJ21" i="29"/>
  <c r="AA892" i="26"/>
  <c r="AC892" i="26" s="1"/>
  <c r="EB20" i="27"/>
  <c r="EB20" i="29" s="1"/>
  <c r="DL20" i="27"/>
  <c r="DL20" i="29" s="1"/>
  <c r="DY20" i="27"/>
  <c r="DY20" i="29" s="1"/>
  <c r="DX20" i="27"/>
  <c r="DX20" i="29" s="1"/>
  <c r="AA839" i="26"/>
  <c r="AC839" i="26" s="1"/>
  <c r="DW20" i="27"/>
  <c r="DW20" i="29" s="1"/>
  <c r="DV20" i="27"/>
  <c r="DV20" i="29" s="1"/>
  <c r="DU20" i="27"/>
  <c r="DU20" i="29" s="1"/>
  <c r="DT20" i="27"/>
  <c r="DT20" i="29" s="1"/>
  <c r="DS20" i="27"/>
  <c r="DS20" i="29" s="1"/>
  <c r="DR20" i="27"/>
  <c r="DR20" i="29" s="1"/>
  <c r="Z838" i="26"/>
  <c r="DQ20" i="27"/>
  <c r="DQ20" i="29" s="1"/>
  <c r="EA20" i="27"/>
  <c r="EA20" i="29" s="1"/>
  <c r="DZ20" i="27"/>
  <c r="DZ20" i="29" s="1"/>
  <c r="DP20" i="27"/>
  <c r="DP20" i="29" s="1"/>
  <c r="DO20" i="27"/>
  <c r="DO20" i="29" s="1"/>
  <c r="DN20" i="27"/>
  <c r="DN20" i="29" s="1"/>
  <c r="DK20" i="27"/>
  <c r="DK20" i="29" s="1"/>
  <c r="DJ20" i="27"/>
  <c r="DJ20" i="29" s="1"/>
  <c r="DM20" i="27"/>
  <c r="DM20" i="29" s="1"/>
  <c r="CX65" i="29"/>
  <c r="CU65" i="29"/>
  <c r="CT65" i="29"/>
  <c r="CS65" i="29"/>
  <c r="CR65" i="29"/>
  <c r="CQ65" i="29"/>
  <c r="DK65" i="29"/>
  <c r="DJ65" i="29"/>
  <c r="DH65" i="29"/>
  <c r="DG65" i="29"/>
  <c r="CV65" i="29"/>
  <c r="CW65" i="29"/>
  <c r="AA501" i="26"/>
  <c r="AC501" i="26" s="1"/>
  <c r="AD502" i="26" s="1"/>
  <c r="DK43" i="27"/>
  <c r="DK43" i="29" s="1"/>
  <c r="DI43" i="27"/>
  <c r="DI43" i="29" s="1"/>
  <c r="DS43" i="27"/>
  <c r="DS43" i="29" s="1"/>
  <c r="DP43" i="27"/>
  <c r="DP43" i="29" s="1"/>
  <c r="DJ43" i="27"/>
  <c r="DJ43" i="29" s="1"/>
  <c r="AA696" i="26"/>
  <c r="AC696" i="26" s="1"/>
  <c r="AD696" i="26" s="1"/>
  <c r="DL43" i="27"/>
  <c r="DL43" i="29" s="1"/>
  <c r="DN43" i="27"/>
  <c r="DN43" i="29" s="1"/>
  <c r="DQ43" i="27"/>
  <c r="DQ43" i="29" s="1"/>
  <c r="DO43" i="27"/>
  <c r="DO43" i="29" s="1"/>
  <c r="DM43" i="27"/>
  <c r="DM43" i="29" s="1"/>
  <c r="DR43" i="27"/>
  <c r="DR43" i="29" s="1"/>
  <c r="AD744" i="26"/>
  <c r="DF43" i="29"/>
  <c r="DE43" i="29"/>
  <c r="DG43" i="29"/>
  <c r="DD43" i="29"/>
  <c r="DC43" i="29"/>
  <c r="DB43" i="29"/>
  <c r="DA43" i="29"/>
  <c r="CZ43" i="29"/>
  <c r="CY43" i="29"/>
  <c r="CX43" i="29"/>
  <c r="AA672" i="26"/>
  <c r="AC672" i="26" s="1"/>
  <c r="AD672" i="26" s="1"/>
  <c r="W46" i="27"/>
  <c r="W46" i="29" s="1"/>
  <c r="V46" i="27"/>
  <c r="V46" i="29" s="1"/>
  <c r="X46" i="27"/>
  <c r="X46" i="29" s="1"/>
  <c r="Z381" i="26"/>
  <c r="AA380" i="26"/>
  <c r="AC380" i="26" s="1"/>
  <c r="Z83" i="27"/>
  <c r="Z83" i="29" s="1"/>
  <c r="AA334" i="26"/>
  <c r="AC334" i="26" s="1"/>
  <c r="Z333" i="26"/>
  <c r="BA40" i="29"/>
  <c r="AA593" i="26"/>
  <c r="AC593" i="26" s="1"/>
  <c r="BA39" i="27"/>
  <c r="AD803" i="26" l="1"/>
  <c r="L31" i="41"/>
  <c r="Z889" i="26"/>
  <c r="Z888" i="26" s="1"/>
  <c r="AC54" i="27"/>
  <c r="AC54" i="29" s="1"/>
  <c r="CL20" i="27"/>
  <c r="CK20" i="27"/>
  <c r="CJ20" i="27"/>
  <c r="CJ20" i="29" s="1"/>
  <c r="CN20" i="27"/>
  <c r="CN20" i="29" s="1"/>
  <c r="CM20" i="27"/>
  <c r="CM20" i="29" s="1"/>
  <c r="CO20" i="27"/>
  <c r="CO20" i="29" s="1"/>
  <c r="CP20" i="27"/>
  <c r="CR20" i="27"/>
  <c r="CS20" i="27"/>
  <c r="CQ20" i="27"/>
  <c r="CQ20" i="29" s="1"/>
  <c r="DK19" i="27"/>
  <c r="DL19" i="27"/>
  <c r="DM19" i="27"/>
  <c r="DM19" i="29" s="1"/>
  <c r="DN19" i="27"/>
  <c r="DN19" i="29" s="1"/>
  <c r="DO19" i="27"/>
  <c r="DO19" i="29" s="1"/>
  <c r="DP19" i="27"/>
  <c r="DP19" i="29" s="1"/>
  <c r="DQ19" i="27"/>
  <c r="DQ19" i="29" s="1"/>
  <c r="DR19" i="27"/>
  <c r="DR19" i="29" s="1"/>
  <c r="EM48" i="27"/>
  <c r="EM48" i="29" s="1"/>
  <c r="EN48" i="27"/>
  <c r="EN48" i="29" s="1"/>
  <c r="EO48" i="27"/>
  <c r="EO48" i="29" s="1"/>
  <c r="EP48" i="27"/>
  <c r="EP48" i="29" s="1"/>
  <c r="EQ48" i="27"/>
  <c r="EQ48" i="29" s="1"/>
  <c r="ER48" i="27"/>
  <c r="ER48" i="29" s="1"/>
  <c r="ES48" i="27"/>
  <c r="ES48" i="29" s="1"/>
  <c r="ET48" i="27"/>
  <c r="ET48" i="29" s="1"/>
  <c r="EU48" i="27"/>
  <c r="EU48" i="29" s="1"/>
  <c r="EV48" i="27"/>
  <c r="EV48" i="29" s="1"/>
  <c r="EL48" i="27"/>
  <c r="EL48" i="29" s="1"/>
  <c r="AA763" i="26"/>
  <c r="AC763" i="26" s="1"/>
  <c r="EL57" i="27"/>
  <c r="EL57" i="29" s="1"/>
  <c r="DV57" i="27"/>
  <c r="DW57" i="27"/>
  <c r="DX57" i="27"/>
  <c r="DX57" i="29" s="1"/>
  <c r="DY57" i="27"/>
  <c r="DZ57" i="27"/>
  <c r="DZ57" i="29" s="1"/>
  <c r="EA57" i="27"/>
  <c r="EA57" i="29" s="1"/>
  <c r="EB57" i="27"/>
  <c r="EB57" i="29" s="1"/>
  <c r="EC57" i="27"/>
  <c r="EC57" i="29" s="1"/>
  <c r="ED57" i="27"/>
  <c r="ED57" i="29" s="1"/>
  <c r="EE57" i="27"/>
  <c r="EF57" i="27"/>
  <c r="EG57" i="27"/>
  <c r="EG57" i="29" s="1"/>
  <c r="EH57" i="27"/>
  <c r="EI57" i="27"/>
  <c r="EJ57" i="27"/>
  <c r="EK57" i="27"/>
  <c r="Z734" i="26"/>
  <c r="EB37" i="27"/>
  <c r="EB37" i="29" s="1"/>
  <c r="AA735" i="26"/>
  <c r="AC735" i="26" s="1"/>
  <c r="Z658" i="26"/>
  <c r="CO37" i="27"/>
  <c r="CO37" i="29" s="1"/>
  <c r="CP37" i="27"/>
  <c r="CP37" i="29" s="1"/>
  <c r="AA659" i="26"/>
  <c r="AC659" i="26" s="1"/>
  <c r="Z685" i="26"/>
  <c r="DI37" i="27"/>
  <c r="DI37" i="29" s="1"/>
  <c r="AA686" i="26"/>
  <c r="AC686" i="26" s="1"/>
  <c r="Z537" i="26"/>
  <c r="CX61" i="27"/>
  <c r="CX61" i="29" s="1"/>
  <c r="AA538" i="26"/>
  <c r="AC538" i="26" s="1"/>
  <c r="Z704" i="26"/>
  <c r="DT47" i="27"/>
  <c r="DT47" i="29" s="1"/>
  <c r="DU47" i="27"/>
  <c r="DU47" i="29" s="1"/>
  <c r="AA703" i="26"/>
  <c r="AC703" i="26" s="1"/>
  <c r="CA47" i="27"/>
  <c r="CA47" i="29" s="1"/>
  <c r="CB47" i="27"/>
  <c r="CB47" i="29" s="1"/>
  <c r="AA628" i="26"/>
  <c r="AC628" i="26" s="1"/>
  <c r="Z629" i="26"/>
  <c r="Z457" i="26"/>
  <c r="AA458" i="26"/>
  <c r="AC458" i="26" s="1"/>
  <c r="AA865" i="26"/>
  <c r="AC865" i="26" s="1"/>
  <c r="CS20" i="29"/>
  <c r="CR20" i="29"/>
  <c r="CL20" i="29"/>
  <c r="CK20" i="29"/>
  <c r="Z864" i="26"/>
  <c r="CP20" i="29"/>
  <c r="Z82" i="27"/>
  <c r="Z82" i="29" s="1"/>
  <c r="Z332" i="26"/>
  <c r="AA333" i="26"/>
  <c r="AC333" i="26" s="1"/>
  <c r="V47" i="27"/>
  <c r="V47" i="29" s="1"/>
  <c r="W47" i="27"/>
  <c r="W47" i="29" s="1"/>
  <c r="AA381" i="26"/>
  <c r="AC381" i="26" s="1"/>
  <c r="Z382" i="26"/>
  <c r="X47" i="27"/>
  <c r="X47" i="29" s="1"/>
  <c r="BA39" i="29"/>
  <c r="AA592" i="26"/>
  <c r="AC592" i="26" s="1"/>
  <c r="BA38" i="27"/>
  <c r="AA269" i="26"/>
  <c r="AC269" i="26" s="1"/>
  <c r="AA891" i="26"/>
  <c r="AC891" i="26" s="1"/>
  <c r="DY57" i="29"/>
  <c r="DW57" i="29"/>
  <c r="DV57" i="29"/>
  <c r="EK57" i="29"/>
  <c r="EJ57" i="29"/>
  <c r="EI57" i="29"/>
  <c r="EH57" i="29"/>
  <c r="EF57" i="29"/>
  <c r="EE57" i="29"/>
  <c r="AA748" i="26"/>
  <c r="AC748" i="26" s="1"/>
  <c r="Z749" i="26"/>
  <c r="DL19" i="29"/>
  <c r="DK19" i="29"/>
  <c r="AA838" i="26"/>
  <c r="AC838" i="26" s="1"/>
  <c r="DJ19" i="27"/>
  <c r="DJ19" i="29" s="1"/>
  <c r="Z837" i="26"/>
  <c r="DK18" i="27" s="1"/>
  <c r="CL19" i="27" l="1"/>
  <c r="CN19" i="27"/>
  <c r="CM19" i="27"/>
  <c r="CO19" i="27"/>
  <c r="CP19" i="27"/>
  <c r="CR19" i="27"/>
  <c r="CS19" i="27"/>
  <c r="CS19" i="29" s="1"/>
  <c r="CQ19" i="27"/>
  <c r="EM49" i="27"/>
  <c r="EM49" i="29" s="1"/>
  <c r="EN49" i="27"/>
  <c r="EN49" i="29" s="1"/>
  <c r="EO49" i="27"/>
  <c r="EO49" i="29" s="1"/>
  <c r="EP49" i="27"/>
  <c r="EP49" i="29" s="1"/>
  <c r="EQ49" i="27"/>
  <c r="EQ49" i="29" s="1"/>
  <c r="ER49" i="27"/>
  <c r="ER49" i="29" s="1"/>
  <c r="ES49" i="27"/>
  <c r="ES49" i="29" s="1"/>
  <c r="ET49" i="27"/>
  <c r="ET49" i="29" s="1"/>
  <c r="EU49" i="27"/>
  <c r="EU49" i="29" s="1"/>
  <c r="EV49" i="27"/>
  <c r="EV49" i="29" s="1"/>
  <c r="EL49" i="27"/>
  <c r="EL49" i="29" s="1"/>
  <c r="AA764" i="26"/>
  <c r="AC764" i="26" s="1"/>
  <c r="DX58" i="27"/>
  <c r="DX58" i="29" s="1"/>
  <c r="DY58" i="27"/>
  <c r="DY58" i="29" s="1"/>
  <c r="DV58" i="27"/>
  <c r="DV58" i="29" s="1"/>
  <c r="DW58" i="27"/>
  <c r="DW58" i="29" s="1"/>
  <c r="CA48" i="27"/>
  <c r="CA48" i="29" s="1"/>
  <c r="CB48" i="27"/>
  <c r="CB48" i="29" s="1"/>
  <c r="AA629" i="26"/>
  <c r="AC629" i="26" s="1"/>
  <c r="Z630" i="26"/>
  <c r="Z705" i="26"/>
  <c r="DT48" i="27"/>
  <c r="DT48" i="29" s="1"/>
  <c r="DU48" i="27"/>
  <c r="DU48" i="29" s="1"/>
  <c r="AA704" i="26"/>
  <c r="AC704" i="26" s="1"/>
  <c r="Z536" i="26"/>
  <c r="CX60" i="27"/>
  <c r="CX60" i="29" s="1"/>
  <c r="AA537" i="26"/>
  <c r="AC537" i="26" s="1"/>
  <c r="Z684" i="26"/>
  <c r="DI36" i="27"/>
  <c r="DI36" i="29" s="1"/>
  <c r="AA685" i="26"/>
  <c r="AC685" i="26" s="1"/>
  <c r="Z657" i="26"/>
  <c r="CO36" i="27"/>
  <c r="CO36" i="29" s="1"/>
  <c r="CP36" i="27"/>
  <c r="CP36" i="29" s="1"/>
  <c r="AA658" i="26"/>
  <c r="AC658" i="26" s="1"/>
  <c r="Z733" i="26"/>
  <c r="EB36" i="27"/>
  <c r="EB36" i="29" s="1"/>
  <c r="AA734" i="26"/>
  <c r="AC734" i="26" s="1"/>
  <c r="Z456" i="26"/>
  <c r="AA457" i="26"/>
  <c r="AC457" i="26" s="1"/>
  <c r="AD272" i="26"/>
  <c r="AA749" i="26"/>
  <c r="AC749" i="26" s="1"/>
  <c r="AD749" i="26" s="1"/>
  <c r="Z81" i="27"/>
  <c r="Z81" i="29" s="1"/>
  <c r="Z331" i="26"/>
  <c r="AA332" i="26"/>
  <c r="AC332" i="26" s="1"/>
  <c r="AA890" i="26"/>
  <c r="AC890" i="26" s="1"/>
  <c r="CQ19" i="29"/>
  <c r="CP19" i="29"/>
  <c r="CO19" i="29"/>
  <c r="CN19" i="29"/>
  <c r="CM19" i="29"/>
  <c r="CL19" i="29"/>
  <c r="CR19" i="29"/>
  <c r="AA864" i="26"/>
  <c r="AC864" i="26" s="1"/>
  <c r="Z863" i="26"/>
  <c r="BA38" i="29"/>
  <c r="AA591" i="26"/>
  <c r="AC591" i="26" s="1"/>
  <c r="BA37" i="27"/>
  <c r="W48" i="27"/>
  <c r="W48" i="29" s="1"/>
  <c r="Y48" i="27"/>
  <c r="Y48" i="29" s="1"/>
  <c r="X48" i="27"/>
  <c r="X48" i="29" s="1"/>
  <c r="V48" i="27"/>
  <c r="V48" i="29" s="1"/>
  <c r="AA382" i="26"/>
  <c r="AC382" i="26" s="1"/>
  <c r="AD382" i="26" s="1"/>
  <c r="Z836" i="26"/>
  <c r="AA837" i="26"/>
  <c r="AC837" i="26" s="1"/>
  <c r="DK18" i="29"/>
  <c r="DJ18" i="27"/>
  <c r="DJ18" i="29" s="1"/>
  <c r="CN18" i="27" l="1"/>
  <c r="CM18" i="27"/>
  <c r="CO18" i="27"/>
  <c r="CP18" i="27"/>
  <c r="CR18" i="27"/>
  <c r="CS18" i="27"/>
  <c r="CQ18" i="27"/>
  <c r="EM50" i="27"/>
  <c r="EM50" i="29" s="1"/>
  <c r="EN50" i="27"/>
  <c r="EN50" i="29" s="1"/>
  <c r="EO50" i="27"/>
  <c r="EO50" i="29" s="1"/>
  <c r="EP50" i="27"/>
  <c r="EP50" i="29" s="1"/>
  <c r="EQ50" i="27"/>
  <c r="EQ50" i="29" s="1"/>
  <c r="ER50" i="27"/>
  <c r="ER50" i="29" s="1"/>
  <c r="ES50" i="27"/>
  <c r="ES50" i="29" s="1"/>
  <c r="ET50" i="27"/>
  <c r="ET50" i="29" s="1"/>
  <c r="EU50" i="27"/>
  <c r="EU50" i="29" s="1"/>
  <c r="EV50" i="27"/>
  <c r="EV50" i="29" s="1"/>
  <c r="EL50" i="27"/>
  <c r="EL50" i="29" s="1"/>
  <c r="AA765" i="26"/>
  <c r="AC765" i="26" s="1"/>
  <c r="Z732" i="26"/>
  <c r="EB35" i="27"/>
  <c r="EB35" i="29" s="1"/>
  <c r="AA733" i="26"/>
  <c r="AC733" i="26" s="1"/>
  <c r="Z656" i="26"/>
  <c r="CO35" i="27"/>
  <c r="CO35" i="29" s="1"/>
  <c r="CP35" i="27"/>
  <c r="CP35" i="29" s="1"/>
  <c r="AA657" i="26"/>
  <c r="AC657" i="26" s="1"/>
  <c r="Z683" i="26"/>
  <c r="DI35" i="27"/>
  <c r="DI35" i="29" s="1"/>
  <c r="AA684" i="26"/>
  <c r="AC684" i="26" s="1"/>
  <c r="Z535" i="26"/>
  <c r="CX59" i="27"/>
  <c r="CX59" i="29" s="1"/>
  <c r="AA536" i="26"/>
  <c r="AC536" i="26" s="1"/>
  <c r="Z706" i="26"/>
  <c r="DT49" i="27"/>
  <c r="DT49" i="29" s="1"/>
  <c r="DU49" i="27"/>
  <c r="DU49" i="29" s="1"/>
  <c r="AA705" i="26"/>
  <c r="AC705" i="26" s="1"/>
  <c r="CA49" i="27"/>
  <c r="CA49" i="29" s="1"/>
  <c r="CB49" i="27"/>
  <c r="CB49" i="29" s="1"/>
  <c r="AA630" i="26"/>
  <c r="AC630" i="26" s="1"/>
  <c r="Z631" i="26"/>
  <c r="AA456" i="26"/>
  <c r="AC456" i="26" s="1"/>
  <c r="Z455" i="26"/>
  <c r="AA455" i="26" s="1"/>
  <c r="AC455" i="26" s="1"/>
  <c r="AD462" i="26" s="1"/>
  <c r="DJ17" i="27"/>
  <c r="DJ17" i="29" s="1"/>
  <c r="AA836" i="26"/>
  <c r="AC836" i="26" s="1"/>
  <c r="AD840" i="26" s="1"/>
  <c r="AA888" i="26"/>
  <c r="AC888" i="26" s="1"/>
  <c r="AA889" i="26"/>
  <c r="AC889" i="26" s="1"/>
  <c r="BA37" i="29"/>
  <c r="AA590" i="26"/>
  <c r="AC590" i="26" s="1"/>
  <c r="BA36" i="27"/>
  <c r="Z80" i="27"/>
  <c r="AA331" i="26"/>
  <c r="AC331" i="26" s="1"/>
  <c r="AD336" i="26" s="1"/>
  <c r="CP18" i="29"/>
  <c r="Z862" i="26"/>
  <c r="CS18" i="29"/>
  <c r="CR18" i="29"/>
  <c r="CQ18" i="29"/>
  <c r="CO18" i="29"/>
  <c r="CN18" i="29"/>
  <c r="CM18" i="29"/>
  <c r="AA863" i="26"/>
  <c r="AC863" i="26" s="1"/>
  <c r="AD897" i="26" l="1"/>
  <c r="CN17" i="27"/>
  <c r="CU17" i="27"/>
  <c r="CT17" i="27"/>
  <c r="CO17" i="27"/>
  <c r="CO17" i="29" s="1"/>
  <c r="CP17" i="27"/>
  <c r="CP17" i="29" s="1"/>
  <c r="CR17" i="27"/>
  <c r="CR17" i="29" s="1"/>
  <c r="CS17" i="27"/>
  <c r="CS17" i="29" s="1"/>
  <c r="CQ17" i="27"/>
  <c r="AA766" i="26"/>
  <c r="AC766" i="26" s="1"/>
  <c r="AD766" i="26" s="1"/>
  <c r="EM51" i="27"/>
  <c r="EM51" i="29" s="1"/>
  <c r="EN51" i="27"/>
  <c r="EN51" i="29" s="1"/>
  <c r="EO51" i="27"/>
  <c r="EO51" i="29" s="1"/>
  <c r="EP51" i="27"/>
  <c r="EP51" i="29" s="1"/>
  <c r="EQ51" i="27"/>
  <c r="EQ51" i="29" s="1"/>
  <c r="ER51" i="27"/>
  <c r="ER51" i="29" s="1"/>
  <c r="ES51" i="27"/>
  <c r="ES51" i="29" s="1"/>
  <c r="ET51" i="27"/>
  <c r="ET51" i="29" s="1"/>
  <c r="EU51" i="27"/>
  <c r="EU51" i="29" s="1"/>
  <c r="EV51" i="27"/>
  <c r="EV51" i="29" s="1"/>
  <c r="EL51" i="27"/>
  <c r="EL51" i="29" s="1"/>
  <c r="CA50" i="27"/>
  <c r="CA50" i="29" s="1"/>
  <c r="CB50" i="27"/>
  <c r="CB50" i="29" s="1"/>
  <c r="AA631" i="26"/>
  <c r="AC631" i="26" s="1"/>
  <c r="Z632" i="26"/>
  <c r="Z707" i="26"/>
  <c r="DT50" i="27"/>
  <c r="DT50" i="29" s="1"/>
  <c r="DU50" i="27"/>
  <c r="DU50" i="29" s="1"/>
  <c r="AA706" i="26"/>
  <c r="AC706" i="26" s="1"/>
  <c r="Z534" i="26"/>
  <c r="CX58" i="27"/>
  <c r="CX58" i="29" s="1"/>
  <c r="AA535" i="26"/>
  <c r="AC535" i="26" s="1"/>
  <c r="Z682" i="26"/>
  <c r="DI34" i="27"/>
  <c r="DI34" i="29" s="1"/>
  <c r="AA683" i="26"/>
  <c r="AC683" i="26" s="1"/>
  <c r="Z655" i="26"/>
  <c r="CO34" i="27"/>
  <c r="CO34" i="29" s="1"/>
  <c r="CP34" i="27"/>
  <c r="CP34" i="29" s="1"/>
  <c r="AA656" i="26"/>
  <c r="AC656" i="26" s="1"/>
  <c r="Z731" i="26"/>
  <c r="EB34" i="27"/>
  <c r="EB34" i="29" s="1"/>
  <c r="AA732" i="26"/>
  <c r="AC732" i="26" s="1"/>
  <c r="Z80" i="29"/>
  <c r="Z79" i="27"/>
  <c r="Z79" i="29" s="1"/>
  <c r="CU17" i="29"/>
  <c r="Z861" i="26"/>
  <c r="CT17" i="29"/>
  <c r="CN17" i="29"/>
  <c r="CQ17" i="29"/>
  <c r="AA862" i="26"/>
  <c r="AC862" i="26" s="1"/>
  <c r="BA36" i="29"/>
  <c r="AA589" i="26"/>
  <c r="AC589" i="26" s="1"/>
  <c r="BA35" i="27"/>
  <c r="CU16" i="27" l="1"/>
  <c r="CT16" i="27"/>
  <c r="CO16" i="27"/>
  <c r="CP16" i="27"/>
  <c r="CR16" i="27"/>
  <c r="CR16" i="29" s="1"/>
  <c r="CS16" i="27"/>
  <c r="CQ16" i="27"/>
  <c r="CQ16" i="29" s="1"/>
  <c r="Z730" i="26"/>
  <c r="EB33" i="27"/>
  <c r="EB33" i="29" s="1"/>
  <c r="AA731" i="26"/>
  <c r="AC731" i="26" s="1"/>
  <c r="Z654" i="26"/>
  <c r="CO33" i="27"/>
  <c r="CO33" i="29" s="1"/>
  <c r="CP33" i="27"/>
  <c r="CP33" i="29" s="1"/>
  <c r="AA655" i="26"/>
  <c r="AC655" i="26" s="1"/>
  <c r="Z681" i="26"/>
  <c r="DI33" i="27"/>
  <c r="DI33" i="29" s="1"/>
  <c r="AA682" i="26"/>
  <c r="AC682" i="26" s="1"/>
  <c r="Z533" i="26"/>
  <c r="CX57" i="27"/>
  <c r="CX57" i="29" s="1"/>
  <c r="AA534" i="26"/>
  <c r="AC534" i="26" s="1"/>
  <c r="Z708" i="26"/>
  <c r="DT51" i="27"/>
  <c r="DT51" i="29" s="1"/>
  <c r="DU51" i="27"/>
  <c r="DU51" i="29" s="1"/>
  <c r="AA707" i="26"/>
  <c r="AC707" i="26" s="1"/>
  <c r="CA51" i="27"/>
  <c r="CA51" i="29" s="1"/>
  <c r="CB51" i="27"/>
  <c r="CB51" i="29" s="1"/>
  <c r="AA632" i="26"/>
  <c r="AC632" i="26" s="1"/>
  <c r="Z633" i="26"/>
  <c r="BA35" i="29"/>
  <c r="AA588" i="26"/>
  <c r="AC588" i="26" s="1"/>
  <c r="BA34" i="27"/>
  <c r="CP16" i="29"/>
  <c r="CO16" i="29"/>
  <c r="AA861" i="26"/>
  <c r="AC861" i="26" s="1"/>
  <c r="Z860" i="26"/>
  <c r="CT16" i="29"/>
  <c r="CS16" i="29"/>
  <c r="CU16" i="29"/>
  <c r="CO15" i="27" l="1"/>
  <c r="CP15" i="27"/>
  <c r="CR15" i="27"/>
  <c r="CS15" i="27"/>
  <c r="CQ15" i="27"/>
  <c r="CA52" i="27"/>
  <c r="CA52" i="29" s="1"/>
  <c r="CB52" i="27"/>
  <c r="CB52" i="29" s="1"/>
  <c r="AA633" i="26"/>
  <c r="AC633" i="26" s="1"/>
  <c r="Z634" i="26"/>
  <c r="Z709" i="26"/>
  <c r="DT52" i="27"/>
  <c r="DT52" i="29" s="1"/>
  <c r="DU52" i="27"/>
  <c r="DU52" i="29" s="1"/>
  <c r="AA708" i="26"/>
  <c r="AC708" i="26" s="1"/>
  <c r="Z532" i="26"/>
  <c r="CX56" i="27"/>
  <c r="CX56" i="29" s="1"/>
  <c r="AA533" i="26"/>
  <c r="AC533" i="26" s="1"/>
  <c r="Z680" i="26"/>
  <c r="DI32" i="27"/>
  <c r="DI32" i="29" s="1"/>
  <c r="AA681" i="26"/>
  <c r="AC681" i="26" s="1"/>
  <c r="Z653" i="26"/>
  <c r="CO32" i="27"/>
  <c r="CO32" i="29" s="1"/>
  <c r="CP32" i="27"/>
  <c r="CP32" i="29" s="1"/>
  <c r="AA654" i="26"/>
  <c r="AC654" i="26" s="1"/>
  <c r="Z729" i="26"/>
  <c r="EB32" i="27"/>
  <c r="EB32" i="29" s="1"/>
  <c r="AA730" i="26"/>
  <c r="AC730" i="26" s="1"/>
  <c r="Z859" i="26"/>
  <c r="CS15" i="29"/>
  <c r="CR15" i="29"/>
  <c r="CQ15" i="29"/>
  <c r="CP15" i="29"/>
  <c r="AA860" i="26"/>
  <c r="AC860" i="26" s="1"/>
  <c r="CO15" i="29"/>
  <c r="BA34" i="29"/>
  <c r="AA587" i="26"/>
  <c r="AC587" i="26" s="1"/>
  <c r="BA33" i="27"/>
  <c r="Z728" i="26" l="1"/>
  <c r="EB31" i="27"/>
  <c r="EB31" i="29" s="1"/>
  <c r="AA729" i="26"/>
  <c r="AC729" i="26" s="1"/>
  <c r="Z652" i="26"/>
  <c r="CO31" i="27"/>
  <c r="CO31" i="29" s="1"/>
  <c r="CP31" i="27"/>
  <c r="CP31" i="29" s="1"/>
  <c r="AA653" i="26"/>
  <c r="AC653" i="26" s="1"/>
  <c r="Z679" i="26"/>
  <c r="DI31" i="27"/>
  <c r="DI31" i="29" s="1"/>
  <c r="AA680" i="26"/>
  <c r="AC680" i="26" s="1"/>
  <c r="Z531" i="26"/>
  <c r="CX55" i="27"/>
  <c r="CX55" i="29" s="1"/>
  <c r="AA532" i="26"/>
  <c r="AC532" i="26" s="1"/>
  <c r="Z710" i="26"/>
  <c r="Z711" i="26" s="1"/>
  <c r="DT53" i="27"/>
  <c r="DT53" i="29" s="1"/>
  <c r="DU53" i="27"/>
  <c r="DU53" i="29" s="1"/>
  <c r="AA709" i="26"/>
  <c r="AC709" i="26" s="1"/>
  <c r="CA53" i="27"/>
  <c r="CA53" i="29" s="1"/>
  <c r="CB53" i="27"/>
  <c r="CB53" i="29" s="1"/>
  <c r="AA634" i="26"/>
  <c r="AC634" i="26" s="1"/>
  <c r="Z635" i="26"/>
  <c r="BA33" i="29"/>
  <c r="AA586" i="26"/>
  <c r="AC586" i="26" s="1"/>
  <c r="BA32" i="27"/>
  <c r="AA859" i="26"/>
  <c r="AC859" i="26" s="1"/>
  <c r="AD869" i="26" s="1"/>
  <c r="Z855" i="26"/>
  <c r="CO25" i="27" l="1"/>
  <c r="CP25" i="27"/>
  <c r="CQ25" i="27"/>
  <c r="CR25" i="27"/>
  <c r="CS25" i="27"/>
  <c r="CT25" i="27"/>
  <c r="CU25" i="27"/>
  <c r="CU25" i="29" s="1"/>
  <c r="CV25" i="27"/>
  <c r="CW25" i="27"/>
  <c r="CX25" i="27"/>
  <c r="CX25" i="29" s="1"/>
  <c r="CY25" i="27"/>
  <c r="CY25" i="29" s="1"/>
  <c r="CZ25" i="27"/>
  <c r="CZ25" i="29" s="1"/>
  <c r="Z852" i="26"/>
  <c r="CA54" i="27"/>
  <c r="CA54" i="29" s="1"/>
  <c r="CB54" i="27"/>
  <c r="CB54" i="29" s="1"/>
  <c r="AA635" i="26"/>
  <c r="AC635" i="26" s="1"/>
  <c r="Z636" i="26"/>
  <c r="DT54" i="27"/>
  <c r="DT54" i="29" s="1"/>
  <c r="DU54" i="27"/>
  <c r="DU54" i="29" s="1"/>
  <c r="AA710" i="26"/>
  <c r="AC710" i="26" s="1"/>
  <c r="CX54" i="27"/>
  <c r="CX54" i="29" s="1"/>
  <c r="AA531" i="26"/>
  <c r="AC531" i="26" s="1"/>
  <c r="Z530" i="26"/>
  <c r="Z678" i="26"/>
  <c r="DI30" i="27"/>
  <c r="DI30" i="29" s="1"/>
  <c r="AA679" i="26"/>
  <c r="AC679" i="26" s="1"/>
  <c r="Z651" i="26"/>
  <c r="CO30" i="27"/>
  <c r="CO30" i="29" s="1"/>
  <c r="CP30" i="27"/>
  <c r="CP30" i="29" s="1"/>
  <c r="AA652" i="26"/>
  <c r="AC652" i="26" s="1"/>
  <c r="Z727" i="26"/>
  <c r="EB30" i="27"/>
  <c r="EB30" i="29" s="1"/>
  <c r="AA728" i="26"/>
  <c r="AC728" i="26" s="1"/>
  <c r="CQ25" i="29"/>
  <c r="CO25" i="29"/>
  <c r="DA25" i="27"/>
  <c r="DA25" i="29" s="1"/>
  <c r="AA855" i="26"/>
  <c r="AC855" i="26" s="1"/>
  <c r="AD855" i="26" s="1"/>
  <c r="CW25" i="29"/>
  <c r="CV25" i="29"/>
  <c r="CR25" i="29"/>
  <c r="CT25" i="29"/>
  <c r="CS25" i="29"/>
  <c r="CP25" i="29"/>
  <c r="BA32" i="29"/>
  <c r="BA31" i="27"/>
  <c r="AA585" i="26"/>
  <c r="AC585" i="26" s="1"/>
  <c r="DB25" i="27" l="1"/>
  <c r="DC25" i="27"/>
  <c r="DD25" i="27"/>
  <c r="DE25" i="27"/>
  <c r="DF25" i="27"/>
  <c r="DF25" i="29" s="1"/>
  <c r="DG25" i="27"/>
  <c r="DH25" i="27"/>
  <c r="DH25" i="29" s="1"/>
  <c r="Z726" i="26"/>
  <c r="EB29" i="27"/>
  <c r="EB29" i="29" s="1"/>
  <c r="AA727" i="26"/>
  <c r="AC727" i="26" s="1"/>
  <c r="Z650" i="26"/>
  <c r="CO29" i="27"/>
  <c r="CO29" i="29" s="1"/>
  <c r="CP29" i="27"/>
  <c r="CP29" i="29" s="1"/>
  <c r="AA651" i="26"/>
  <c r="AC651" i="26" s="1"/>
  <c r="Z677" i="26"/>
  <c r="DI29" i="27"/>
  <c r="DI29" i="29" s="1"/>
  <c r="AA678" i="26"/>
  <c r="AC678" i="26" s="1"/>
  <c r="CX53" i="27"/>
  <c r="CX53" i="29" s="1"/>
  <c r="AA530" i="26"/>
  <c r="AC530" i="26" s="1"/>
  <c r="Z529" i="26"/>
  <c r="DU55" i="27"/>
  <c r="DU55" i="29" s="1"/>
  <c r="DT55" i="27"/>
  <c r="DT55" i="29" s="1"/>
  <c r="AA711" i="26"/>
  <c r="AC711" i="26" s="1"/>
  <c r="AD711" i="26" s="1"/>
  <c r="CA55" i="27"/>
  <c r="CA55" i="29" s="1"/>
  <c r="CB55" i="27"/>
  <c r="CB55" i="29" s="1"/>
  <c r="AA636" i="26"/>
  <c r="AC636" i="26" s="1"/>
  <c r="Z637" i="26"/>
  <c r="DI25" i="27"/>
  <c r="DI25" i="29" s="1"/>
  <c r="DG25" i="29"/>
  <c r="Z851" i="26"/>
  <c r="DE25" i="29"/>
  <c r="DD25" i="29"/>
  <c r="DC25" i="29"/>
  <c r="DB25" i="29"/>
  <c r="AA852" i="26"/>
  <c r="AC852" i="26" s="1"/>
  <c r="BA31" i="29"/>
  <c r="AA584" i="26"/>
  <c r="AC584" i="26" s="1"/>
  <c r="BA30" i="27"/>
  <c r="DB24" i="27" l="1"/>
  <c r="DC24" i="27"/>
  <c r="DD24" i="27"/>
  <c r="DE24" i="27"/>
  <c r="DF24" i="27"/>
  <c r="DG24" i="27"/>
  <c r="DH24" i="27"/>
  <c r="DH24" i="29" s="1"/>
  <c r="DI24" i="27"/>
  <c r="DI24" i="29" s="1"/>
  <c r="CA56" i="27"/>
  <c r="CA56" i="29" s="1"/>
  <c r="CB56" i="27"/>
  <c r="CB56" i="29" s="1"/>
  <c r="AA637" i="26"/>
  <c r="AC637" i="26" s="1"/>
  <c r="Z638" i="26"/>
  <c r="Z528" i="26"/>
  <c r="CX52" i="27"/>
  <c r="CX52" i="29" s="1"/>
  <c r="AA529" i="26"/>
  <c r="AC529" i="26" s="1"/>
  <c r="Z676" i="26"/>
  <c r="DI28" i="27"/>
  <c r="DI28" i="29" s="1"/>
  <c r="AA677" i="26"/>
  <c r="AC677" i="26" s="1"/>
  <c r="Z649" i="26"/>
  <c r="CO28" i="27"/>
  <c r="CO28" i="29" s="1"/>
  <c r="CP28" i="27"/>
  <c r="CP28" i="29" s="1"/>
  <c r="AA650" i="26"/>
  <c r="AC650" i="26" s="1"/>
  <c r="Z725" i="26"/>
  <c r="EB28" i="27"/>
  <c r="EB28" i="29" s="1"/>
  <c r="AA726" i="26"/>
  <c r="AC726" i="26" s="1"/>
  <c r="BA29" i="27"/>
  <c r="BA30" i="29"/>
  <c r="AA583" i="26"/>
  <c r="AC583" i="26" s="1"/>
  <c r="DB24" i="29"/>
  <c r="DF24" i="29"/>
  <c r="DE24" i="29"/>
  <c r="DD24" i="29"/>
  <c r="AA851" i="26"/>
  <c r="AC851" i="26" s="1"/>
  <c r="DC24" i="29"/>
  <c r="Z850" i="26"/>
  <c r="DG24" i="29"/>
  <c r="DB23" i="27" l="1"/>
  <c r="DC23" i="27"/>
  <c r="DD23" i="27"/>
  <c r="DE23" i="27"/>
  <c r="DE23" i="29" s="1"/>
  <c r="DF23" i="27"/>
  <c r="DG23" i="27"/>
  <c r="DH23" i="27"/>
  <c r="DI23" i="27"/>
  <c r="DI23" i="29" s="1"/>
  <c r="Z724" i="26"/>
  <c r="EB27" i="27"/>
  <c r="EB27" i="29" s="1"/>
  <c r="AA725" i="26"/>
  <c r="AC725" i="26" s="1"/>
  <c r="Z648" i="26"/>
  <c r="CO27" i="27"/>
  <c r="CO27" i="29" s="1"/>
  <c r="CP27" i="27"/>
  <c r="CP27" i="29" s="1"/>
  <c r="AA649" i="26"/>
  <c r="AC649" i="26" s="1"/>
  <c r="Z675" i="26"/>
  <c r="DI27" i="27"/>
  <c r="DI27" i="29" s="1"/>
  <c r="AA676" i="26"/>
  <c r="AC676" i="26" s="1"/>
  <c r="Z527" i="26"/>
  <c r="CX51" i="27"/>
  <c r="CX51" i="29" s="1"/>
  <c r="AA528" i="26"/>
  <c r="AC528" i="26" s="1"/>
  <c r="CA57" i="27"/>
  <c r="CA57" i="29" s="1"/>
  <c r="CB57" i="27"/>
  <c r="CB57" i="29" s="1"/>
  <c r="AA638" i="26"/>
  <c r="AC638" i="26" s="1"/>
  <c r="Z639" i="26"/>
  <c r="AA582" i="26"/>
  <c r="AC582" i="26" s="1"/>
  <c r="BA29" i="29"/>
  <c r="BA28" i="27"/>
  <c r="DH23" i="29"/>
  <c r="DG23" i="29"/>
  <c r="DC23" i="29"/>
  <c r="DF23" i="29"/>
  <c r="DD23" i="29"/>
  <c r="DB23" i="29"/>
  <c r="AA850" i="26"/>
  <c r="AC850" i="26" s="1"/>
  <c r="Z849" i="26"/>
  <c r="DB22" i="27" l="1"/>
  <c r="DC22" i="27"/>
  <c r="DD22" i="27"/>
  <c r="DE22" i="27"/>
  <c r="DF22" i="27"/>
  <c r="DG22" i="27"/>
  <c r="DH22" i="27"/>
  <c r="DI22" i="27"/>
  <c r="DI22" i="29" s="1"/>
  <c r="CA58" i="27"/>
  <c r="CA58" i="29" s="1"/>
  <c r="CB58" i="27"/>
  <c r="CB58" i="29" s="1"/>
  <c r="AA639" i="26"/>
  <c r="AC639" i="26" s="1"/>
  <c r="AD639" i="26" s="1"/>
  <c r="Z526" i="26"/>
  <c r="CX50" i="27"/>
  <c r="CX50" i="29" s="1"/>
  <c r="AA527" i="26"/>
  <c r="AC527" i="26" s="1"/>
  <c r="DI26" i="27"/>
  <c r="DI26" i="29" s="1"/>
  <c r="AA675" i="26"/>
  <c r="AC675" i="26" s="1"/>
  <c r="AD690" i="26" s="1"/>
  <c r="CO26" i="27"/>
  <c r="CO26" i="29" s="1"/>
  <c r="CP26" i="27"/>
  <c r="CP26" i="29" s="1"/>
  <c r="AA648" i="26"/>
  <c r="AC648" i="26" s="1"/>
  <c r="AD663" i="26" s="1"/>
  <c r="Z723" i="26"/>
  <c r="EB26" i="27"/>
  <c r="EB26" i="29" s="1"/>
  <c r="AA724" i="26"/>
  <c r="AC724" i="26" s="1"/>
  <c r="DG22" i="29"/>
  <c r="DF22" i="29"/>
  <c r="DB22" i="29"/>
  <c r="Z848" i="26"/>
  <c r="DC22" i="29"/>
  <c r="DE22" i="29"/>
  <c r="DH22" i="29"/>
  <c r="DD22" i="29"/>
  <c r="AA849" i="26"/>
  <c r="AC849" i="26" s="1"/>
  <c r="BA28" i="29"/>
  <c r="AA581" i="26"/>
  <c r="AC581" i="26" s="1"/>
  <c r="BA27" i="27"/>
  <c r="DB21" i="27" l="1"/>
  <c r="DC21" i="27"/>
  <c r="DD21" i="27"/>
  <c r="DD21" i="29" s="1"/>
  <c r="DE21" i="27"/>
  <c r="DE21" i="29" s="1"/>
  <c r="DF21" i="27"/>
  <c r="DG21" i="27"/>
  <c r="DH21" i="27"/>
  <c r="DI21" i="27"/>
  <c r="DI21" i="29" s="1"/>
  <c r="Z722" i="26"/>
  <c r="EB25" i="27"/>
  <c r="EB25" i="29" s="1"/>
  <c r="AA723" i="26"/>
  <c r="AC723" i="26" s="1"/>
  <c r="Z525" i="26"/>
  <c r="CX49" i="27"/>
  <c r="CX49" i="29" s="1"/>
  <c r="AA526" i="26"/>
  <c r="AC526" i="26" s="1"/>
  <c r="AA580" i="26"/>
  <c r="AC580" i="26" s="1"/>
  <c r="AD594" i="26" s="1"/>
  <c r="BA27" i="29"/>
  <c r="DB21" i="29"/>
  <c r="DC21" i="29"/>
  <c r="Z847" i="26"/>
  <c r="DH21" i="29"/>
  <c r="DG21" i="29"/>
  <c r="DF21" i="29"/>
  <c r="AA848" i="26"/>
  <c r="AC848" i="26" s="1"/>
  <c r="DB20" i="27" l="1"/>
  <c r="DC20" i="27"/>
  <c r="DD20" i="27"/>
  <c r="DD20" i="29" s="1"/>
  <c r="DE20" i="27"/>
  <c r="DE20" i="29" s="1"/>
  <c r="DF20" i="27"/>
  <c r="DF20" i="29" s="1"/>
  <c r="DG20" i="27"/>
  <c r="DH20" i="27"/>
  <c r="DI20" i="27"/>
  <c r="DI20" i="29" s="1"/>
  <c r="Z524" i="26"/>
  <c r="CX48" i="27"/>
  <c r="CX48" i="29" s="1"/>
  <c r="AA525" i="26"/>
  <c r="AC525" i="26" s="1"/>
  <c r="Z721" i="26"/>
  <c r="EB24" i="27"/>
  <c r="EB24" i="29" s="1"/>
  <c r="AA722" i="26"/>
  <c r="AC722" i="26" s="1"/>
  <c r="DH20" i="29"/>
  <c r="DG20" i="29"/>
  <c r="AA847" i="26"/>
  <c r="AC847" i="26" s="1"/>
  <c r="DC20" i="29"/>
  <c r="DB20" i="29"/>
  <c r="Z846" i="26"/>
  <c r="DC19" i="27" l="1"/>
  <c r="DD19" i="27"/>
  <c r="DE19" i="27"/>
  <c r="DE19" i="29" s="1"/>
  <c r="DF19" i="27"/>
  <c r="DG19" i="27"/>
  <c r="DH19" i="27"/>
  <c r="DH19" i="29" s="1"/>
  <c r="DI19" i="27"/>
  <c r="Z720" i="26"/>
  <c r="EB23" i="27"/>
  <c r="EB23" i="29" s="1"/>
  <c r="AA721" i="26"/>
  <c r="AC721" i="26" s="1"/>
  <c r="Z523" i="26"/>
  <c r="CX47" i="27"/>
  <c r="CX47" i="29" s="1"/>
  <c r="AA524" i="26"/>
  <c r="AC524" i="26" s="1"/>
  <c r="DG19" i="29"/>
  <c r="DI19" i="29"/>
  <c r="AA846" i="26"/>
  <c r="AC846" i="26" s="1"/>
  <c r="DC19" i="29"/>
  <c r="Z845" i="26"/>
  <c r="DF19" i="29"/>
  <c r="DD19" i="29"/>
  <c r="DC18" i="27" l="1"/>
  <c r="DD18" i="27"/>
  <c r="DE18" i="27"/>
  <c r="DF18" i="27"/>
  <c r="DG18" i="27"/>
  <c r="DG18" i="29" s="1"/>
  <c r="DH18" i="27"/>
  <c r="DH18" i="29" s="1"/>
  <c r="DI18" i="27"/>
  <c r="DI18" i="29" s="1"/>
  <c r="Z522" i="26"/>
  <c r="CX46" i="27"/>
  <c r="CX46" i="29" s="1"/>
  <c r="AA523" i="26"/>
  <c r="AC523" i="26" s="1"/>
  <c r="EB22" i="27"/>
  <c r="AA720" i="26"/>
  <c r="AC720" i="26" s="1"/>
  <c r="AD739" i="26" s="1"/>
  <c r="DF18" i="29"/>
  <c r="DE18" i="29"/>
  <c r="DD18" i="29"/>
  <c r="DC18" i="29"/>
  <c r="Z844" i="26"/>
  <c r="AA845" i="26"/>
  <c r="AC845" i="26" s="1"/>
  <c r="DC17" i="27" l="1"/>
  <c r="DD17" i="27"/>
  <c r="DE17" i="27"/>
  <c r="DF17" i="27"/>
  <c r="DF17" i="29" s="1"/>
  <c r="DG17" i="27"/>
  <c r="DH17" i="27"/>
  <c r="DI17" i="27"/>
  <c r="EB21" i="27"/>
  <c r="EB21" i="29" s="1"/>
  <c r="EB22" i="29"/>
  <c r="Z521" i="26"/>
  <c r="CX45" i="27"/>
  <c r="CX45" i="29" s="1"/>
  <c r="AA522" i="26"/>
  <c r="AC522" i="26" s="1"/>
  <c r="DE17" i="29"/>
  <c r="DI17" i="29"/>
  <c r="DH17" i="29"/>
  <c r="DG17" i="29"/>
  <c r="DD17" i="29"/>
  <c r="DC17" i="29"/>
  <c r="Z843" i="26"/>
  <c r="AA844" i="26"/>
  <c r="AC844" i="26" s="1"/>
  <c r="DC16" i="27" l="1"/>
  <c r="DD16" i="27"/>
  <c r="DE16" i="27"/>
  <c r="DF16" i="27"/>
  <c r="DG16" i="27"/>
  <c r="DH16" i="27"/>
  <c r="DI16" i="27"/>
  <c r="CX44" i="27"/>
  <c r="CX44" i="29" s="1"/>
  <c r="AA521" i="26"/>
  <c r="AC521" i="26" s="1"/>
  <c r="AD541" i="26" s="1"/>
  <c r="AD898" i="26" s="1"/>
  <c r="DI16" i="29"/>
  <c r="DH16" i="29"/>
  <c r="DG16" i="29"/>
  <c r="DF16" i="29"/>
  <c r="AA843" i="26"/>
  <c r="AC843" i="26" s="1"/>
  <c r="AD852" i="26" s="1"/>
  <c r="DE16" i="29"/>
  <c r="DD16" i="29"/>
  <c r="DC16" i="29"/>
  <c r="FB94" i="29" l="1"/>
  <c r="FC94" i="29" s="1"/>
  <c r="FB93" i="29"/>
  <c r="FC93" i="29" s="1"/>
  <c r="FB92" i="29"/>
  <c r="FC92" i="29" s="1"/>
  <c r="AD164" i="25"/>
  <c r="AD162" i="25"/>
  <c r="AD157" i="25"/>
  <c r="AD161" i="25"/>
  <c r="AD158" i="25"/>
  <c r="J30" i="25"/>
  <c r="E30" i="25"/>
  <c r="J29" i="25"/>
  <c r="E29" i="25"/>
  <c r="J28" i="25"/>
  <c r="E28" i="25"/>
  <c r="J27" i="25"/>
  <c r="E27" i="25"/>
  <c r="J26" i="25"/>
  <c r="E26" i="25"/>
  <c r="J25" i="25"/>
  <c r="E25" i="25"/>
  <c r="J24" i="25"/>
  <c r="E24" i="25"/>
  <c r="J23" i="25"/>
  <c r="E23" i="25"/>
  <c r="J22" i="25"/>
  <c r="E22" i="25"/>
  <c r="J21" i="25"/>
  <c r="E21" i="25"/>
  <c r="J20" i="25"/>
  <c r="E20" i="25"/>
  <c r="J19" i="25"/>
  <c r="E19" i="25"/>
  <c r="J18" i="25"/>
  <c r="E18" i="25"/>
  <c r="J17" i="25"/>
  <c r="E17" i="25"/>
  <c r="J16" i="25"/>
  <c r="E16" i="25"/>
  <c r="J15" i="25"/>
  <c r="E15" i="25"/>
  <c r="J14" i="25"/>
  <c r="E14" i="25"/>
  <c r="J13" i="25"/>
  <c r="E13" i="25"/>
  <c r="J12" i="25"/>
  <c r="E12" i="25"/>
  <c r="J11" i="25"/>
  <c r="E11" i="25"/>
  <c r="J10" i="25"/>
  <c r="E10" i="25"/>
  <c r="J9" i="25"/>
  <c r="E9" i="25"/>
  <c r="J8" i="25"/>
  <c r="E8" i="25"/>
  <c r="J7" i="25"/>
  <c r="E7" i="25"/>
  <c r="J6" i="25"/>
  <c r="E6" i="25"/>
  <c r="J5" i="25"/>
  <c r="E5" i="25"/>
  <c r="K4" i="25"/>
  <c r="K5" i="25" s="1"/>
  <c r="K6" i="25" s="1"/>
  <c r="K7" i="25" s="1"/>
  <c r="J4" i="25"/>
  <c r="E4" i="25"/>
  <c r="J3" i="25"/>
  <c r="L3" i="25" s="1"/>
  <c r="E3" i="25"/>
  <c r="W155" i="25" l="1"/>
  <c r="W245" i="25" s="1"/>
  <c r="AD163" i="25"/>
  <c r="G149" i="25"/>
  <c r="S155" i="25"/>
  <c r="AD166" i="25"/>
  <c r="L5" i="25"/>
  <c r="J31" i="25"/>
  <c r="A1" i="25" s="1"/>
  <c r="L4" i="25"/>
  <c r="K8" i="25"/>
  <c r="K9" i="25" s="1"/>
  <c r="K10" i="25" s="1"/>
  <c r="L7" i="25"/>
  <c r="L6" i="25"/>
  <c r="L9" i="25" l="1"/>
  <c r="L8" i="25"/>
  <c r="K11" i="25"/>
  <c r="L10" i="25"/>
  <c r="U3" i="23"/>
  <c r="J96" i="16"/>
  <c r="C90" i="16"/>
  <c r="C91" i="16"/>
  <c r="C92" i="16"/>
  <c r="C93" i="16"/>
  <c r="C94" i="16"/>
  <c r="C95" i="16"/>
  <c r="C96" i="16"/>
  <c r="C97" i="16"/>
  <c r="C98" i="16"/>
  <c r="C99" i="16"/>
  <c r="C100" i="16"/>
  <c r="C101" i="16"/>
  <c r="C102" i="16"/>
  <c r="C103" i="16"/>
  <c r="C104" i="16"/>
  <c r="C89" i="16"/>
  <c r="Q104" i="16"/>
  <c r="Q103" i="16"/>
  <c r="Q102" i="16"/>
  <c r="Q101" i="16"/>
  <c r="Q100" i="16"/>
  <c r="Q99" i="16"/>
  <c r="Q98" i="16"/>
  <c r="Q97" i="16"/>
  <c r="Q96" i="16"/>
  <c r="Q95" i="16"/>
  <c r="Q94" i="16"/>
  <c r="Q93" i="16"/>
  <c r="Q92" i="16"/>
  <c r="Q91" i="16"/>
  <c r="Q90" i="16"/>
  <c r="Q89" i="16"/>
  <c r="L104" i="16"/>
  <c r="L103" i="16"/>
  <c r="L102" i="16"/>
  <c r="L101" i="16"/>
  <c r="L100" i="16"/>
  <c r="L99" i="16"/>
  <c r="L98" i="16"/>
  <c r="L97" i="16"/>
  <c r="L96" i="16"/>
  <c r="L95" i="16"/>
  <c r="L94" i="16"/>
  <c r="L93" i="16"/>
  <c r="L92" i="16"/>
  <c r="L91" i="16"/>
  <c r="L90" i="16"/>
  <c r="L89" i="16"/>
  <c r="O90" i="16"/>
  <c r="O91" i="16"/>
  <c r="O92" i="16"/>
  <c r="O93" i="16"/>
  <c r="O94" i="16"/>
  <c r="O95" i="16"/>
  <c r="O96" i="16"/>
  <c r="O97" i="16"/>
  <c r="O98" i="16"/>
  <c r="O99" i="16"/>
  <c r="O100" i="16"/>
  <c r="O101" i="16"/>
  <c r="O102" i="16"/>
  <c r="O103" i="16"/>
  <c r="O104" i="16"/>
  <c r="O89" i="16"/>
  <c r="J89" i="16"/>
  <c r="J90" i="16"/>
  <c r="J91" i="16"/>
  <c r="J92" i="16"/>
  <c r="J93" i="16"/>
  <c r="J94" i="16"/>
  <c r="J95" i="16"/>
  <c r="J97" i="16"/>
  <c r="J98" i="16"/>
  <c r="J99" i="16"/>
  <c r="J100" i="16"/>
  <c r="J101" i="16"/>
  <c r="J102" i="16"/>
  <c r="J103" i="16"/>
  <c r="J104" i="16"/>
  <c r="G90" i="16"/>
  <c r="G91" i="16"/>
  <c r="G92" i="16"/>
  <c r="G93" i="16"/>
  <c r="G94" i="16"/>
  <c r="G95" i="16"/>
  <c r="G96" i="16"/>
  <c r="G97" i="16"/>
  <c r="G98" i="16"/>
  <c r="G99" i="16"/>
  <c r="G100" i="16"/>
  <c r="G101" i="16"/>
  <c r="G102" i="16"/>
  <c r="G103" i="16"/>
  <c r="G104" i="16"/>
  <c r="G89" i="16"/>
  <c r="L11" i="25" l="1"/>
  <c r="K12" i="25"/>
  <c r="S4" i="23"/>
  <c r="U4" i="23"/>
  <c r="V4" i="23"/>
  <c r="U5" i="23"/>
  <c r="V5" i="23"/>
  <c r="S6" i="23"/>
  <c r="T6" i="23"/>
  <c r="U6" i="23"/>
  <c r="V6" i="23"/>
  <c r="T7" i="23"/>
  <c r="U7" i="23"/>
  <c r="V7" i="23"/>
  <c r="S8" i="23"/>
  <c r="U8" i="23"/>
  <c r="V8" i="23"/>
  <c r="U9" i="23"/>
  <c r="V9" i="23"/>
  <c r="U10" i="23"/>
  <c r="V10" i="23"/>
  <c r="U11" i="23"/>
  <c r="V11" i="23"/>
  <c r="S12" i="23"/>
  <c r="U12" i="23"/>
  <c r="V12" i="23"/>
  <c r="U13" i="23"/>
  <c r="V13" i="23"/>
  <c r="U14" i="23"/>
  <c r="V14" i="23"/>
  <c r="S15" i="23"/>
  <c r="T15" i="23"/>
  <c r="U15" i="23"/>
  <c r="V15" i="23"/>
  <c r="S16" i="23"/>
  <c r="U16" i="23"/>
  <c r="V16" i="23"/>
  <c r="U17" i="23"/>
  <c r="V17" i="23"/>
  <c r="U18" i="23"/>
  <c r="V18" i="23"/>
  <c r="T19" i="23"/>
  <c r="U19" i="23"/>
  <c r="V19" i="23"/>
  <c r="S20" i="23"/>
  <c r="U20" i="23"/>
  <c r="V20" i="23"/>
  <c r="U21" i="23"/>
  <c r="V21" i="23"/>
  <c r="S22" i="23"/>
  <c r="T22" i="23"/>
  <c r="U22" i="23"/>
  <c r="V22" i="23"/>
  <c r="T23" i="23"/>
  <c r="U23" i="23"/>
  <c r="V23" i="23"/>
  <c r="U24" i="23"/>
  <c r="V24" i="23"/>
  <c r="U25" i="23"/>
  <c r="V25" i="23"/>
  <c r="U26" i="23"/>
  <c r="V26" i="23"/>
  <c r="U27" i="23"/>
  <c r="V27" i="23"/>
  <c r="S28" i="23"/>
  <c r="U28" i="23"/>
  <c r="V28" i="23"/>
  <c r="U29" i="23"/>
  <c r="V29" i="23"/>
  <c r="U30" i="23"/>
  <c r="U31" i="23" s="1"/>
  <c r="V30" i="23"/>
  <c r="V3" i="23"/>
  <c r="V31" i="23" s="1"/>
  <c r="T3" i="23"/>
  <c r="Q30" i="23"/>
  <c r="Q29" i="23"/>
  <c r="Q28" i="23"/>
  <c r="Q27" i="23"/>
  <c r="Q26" i="23"/>
  <c r="Q25" i="23"/>
  <c r="Q24" i="23"/>
  <c r="Q23" i="23"/>
  <c r="Q22" i="23"/>
  <c r="Q21" i="23"/>
  <c r="Q20" i="23"/>
  <c r="Q19" i="23"/>
  <c r="Q18" i="23"/>
  <c r="Q17" i="23"/>
  <c r="Q16" i="23"/>
  <c r="Q15" i="23"/>
  <c r="Q31" i="23" s="1"/>
  <c r="Q14" i="23"/>
  <c r="Q13" i="23"/>
  <c r="Q12" i="23"/>
  <c r="Q11" i="23"/>
  <c r="Q10" i="23"/>
  <c r="Q9" i="23"/>
  <c r="Q8" i="23"/>
  <c r="Q7" i="23"/>
  <c r="Q6" i="23"/>
  <c r="Q5" i="23"/>
  <c r="Q4" i="23"/>
  <c r="Q3" i="23"/>
  <c r="R4" i="23"/>
  <c r="R31" i="23" s="1"/>
  <c r="R5" i="23"/>
  <c r="R6" i="23"/>
  <c r="R7" i="23"/>
  <c r="R8" i="23"/>
  <c r="R9" i="23"/>
  <c r="R10" i="23"/>
  <c r="R11" i="23"/>
  <c r="R12" i="23"/>
  <c r="R13" i="23"/>
  <c r="R14" i="23"/>
  <c r="R15" i="23"/>
  <c r="R16" i="23"/>
  <c r="R17" i="23"/>
  <c r="R18" i="23"/>
  <c r="R19" i="23"/>
  <c r="R20" i="23"/>
  <c r="R21" i="23"/>
  <c r="R22" i="23"/>
  <c r="R23" i="23"/>
  <c r="R24" i="23"/>
  <c r="R25" i="23"/>
  <c r="R26" i="23"/>
  <c r="R27" i="23"/>
  <c r="R28" i="23"/>
  <c r="R29" i="23"/>
  <c r="R30" i="23"/>
  <c r="R3" i="23"/>
  <c r="P4" i="23"/>
  <c r="T4" i="23" s="1"/>
  <c r="P5" i="23"/>
  <c r="S5" i="23" s="1"/>
  <c r="P6" i="23"/>
  <c r="P7" i="23"/>
  <c r="S7" i="23" s="1"/>
  <c r="P8" i="23"/>
  <c r="T8" i="23" s="1"/>
  <c r="P9" i="23"/>
  <c r="S9" i="23" s="1"/>
  <c r="P10" i="23"/>
  <c r="S10" i="23" s="1"/>
  <c r="P11" i="23"/>
  <c r="S11" i="23" s="1"/>
  <c r="P12" i="23"/>
  <c r="T12" i="23" s="1"/>
  <c r="P13" i="23"/>
  <c r="S13" i="23" s="1"/>
  <c r="P14" i="23"/>
  <c r="S14" i="23" s="1"/>
  <c r="P15" i="23"/>
  <c r="P16" i="23"/>
  <c r="T16" i="23" s="1"/>
  <c r="P17" i="23"/>
  <c r="S17" i="23" s="1"/>
  <c r="P18" i="23"/>
  <c r="S18" i="23" s="1"/>
  <c r="P19" i="23"/>
  <c r="S19" i="23" s="1"/>
  <c r="P20" i="23"/>
  <c r="T20" i="23" s="1"/>
  <c r="P21" i="23"/>
  <c r="S21" i="23" s="1"/>
  <c r="P22" i="23"/>
  <c r="P23" i="23"/>
  <c r="S23" i="23" s="1"/>
  <c r="P24" i="23"/>
  <c r="T24" i="23" s="1"/>
  <c r="P25" i="23"/>
  <c r="S25" i="23" s="1"/>
  <c r="P26" i="23"/>
  <c r="S26" i="23" s="1"/>
  <c r="P27" i="23"/>
  <c r="S27" i="23" s="1"/>
  <c r="P28" i="23"/>
  <c r="T28" i="23" s="1"/>
  <c r="P29" i="23"/>
  <c r="S29" i="23" s="1"/>
  <c r="P30" i="23"/>
  <c r="S30" i="23" s="1"/>
  <c r="P3" i="23"/>
  <c r="S3" i="23" s="1"/>
  <c r="L4" i="23"/>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 i="23"/>
  <c r="K4" i="23"/>
  <c r="K5" i="23"/>
  <c r="K6" i="23"/>
  <c r="K7" i="23"/>
  <c r="K8" i="23"/>
  <c r="K9" i="23"/>
  <c r="K10" i="23"/>
  <c r="K11" i="23"/>
  <c r="K12" i="23"/>
  <c r="K13" i="23"/>
  <c r="K14" i="23"/>
  <c r="K15" i="23"/>
  <c r="K16" i="23"/>
  <c r="K17" i="23"/>
  <c r="K18" i="23"/>
  <c r="K19" i="23"/>
  <c r="K20" i="23"/>
  <c r="K21" i="23"/>
  <c r="K22" i="23"/>
  <c r="K23" i="23"/>
  <c r="K24" i="23"/>
  <c r="K25" i="23"/>
  <c r="K26" i="23"/>
  <c r="K27" i="23"/>
  <c r="K28" i="23"/>
  <c r="K29" i="23"/>
  <c r="K30" i="23"/>
  <c r="K3" i="23"/>
  <c r="F30" i="23"/>
  <c r="F29" i="23"/>
  <c r="F28" i="23"/>
  <c r="F27" i="23"/>
  <c r="F26" i="23"/>
  <c r="F25" i="23"/>
  <c r="F24" i="23"/>
  <c r="F23" i="23"/>
  <c r="F22" i="23"/>
  <c r="F21" i="23"/>
  <c r="F20" i="23"/>
  <c r="F19" i="23"/>
  <c r="F18" i="23"/>
  <c r="F17" i="23"/>
  <c r="F16" i="23"/>
  <c r="F15" i="23"/>
  <c r="F14" i="23"/>
  <c r="F13" i="23"/>
  <c r="F12" i="23"/>
  <c r="F11" i="23"/>
  <c r="F10" i="23"/>
  <c r="F9" i="23"/>
  <c r="F8" i="23"/>
  <c r="F7" i="23"/>
  <c r="F6" i="23"/>
  <c r="F5" i="23"/>
  <c r="F4" i="23"/>
  <c r="F3" i="23"/>
  <c r="A3" i="12"/>
  <c r="C13" i="22"/>
  <c r="S31" i="23" l="1"/>
  <c r="T30" i="23"/>
  <c r="T26" i="23"/>
  <c r="T18" i="23"/>
  <c r="T14" i="23"/>
  <c r="T10" i="23"/>
  <c r="S24" i="23"/>
  <c r="L31" i="23"/>
  <c r="T29" i="23"/>
  <c r="T25" i="23"/>
  <c r="T21" i="23"/>
  <c r="T17" i="23"/>
  <c r="T13" i="23"/>
  <c r="T9" i="23"/>
  <c r="T5" i="23"/>
  <c r="T27" i="23"/>
  <c r="T11" i="23"/>
  <c r="T31" i="23" s="1"/>
  <c r="K13" i="25"/>
  <c r="L12" i="25"/>
  <c r="K31" i="23"/>
  <c r="A1" i="23" s="1"/>
  <c r="A4" i="20"/>
  <c r="A5" i="20" s="1"/>
  <c r="A6" i="20" s="1"/>
  <c r="A7" i="20" s="1"/>
  <c r="A8" i="20" s="1"/>
  <c r="A9" i="20" s="1"/>
  <c r="A10" i="20" s="1"/>
  <c r="A11" i="20" s="1"/>
  <c r="A12" i="20" s="1"/>
  <c r="L13" i="25" l="1"/>
  <c r="K14" i="25"/>
  <c r="K15" i="25" l="1"/>
  <c r="L14" i="25"/>
  <c r="D19" i="1"/>
  <c r="D21" i="1" s="1"/>
  <c r="E17" i="1"/>
  <c r="E16" i="1"/>
  <c r="E15" i="1"/>
  <c r="E14" i="1"/>
  <c r="E13" i="1"/>
  <c r="E12" i="1"/>
  <c r="E11" i="1"/>
  <c r="E10" i="1"/>
  <c r="E9" i="1"/>
  <c r="E8" i="1"/>
  <c r="E7" i="1"/>
  <c r="E6" i="1"/>
  <c r="E5" i="1"/>
  <c r="E4" i="1"/>
  <c r="E3" i="1"/>
  <c r="V44" i="16"/>
  <c r="U44" i="16"/>
  <c r="T44" i="16"/>
  <c r="S44" i="16"/>
  <c r="Q44" i="16"/>
  <c r="P44" i="16"/>
  <c r="M44" i="16"/>
  <c r="L44" i="16"/>
  <c r="N44" i="16" s="1"/>
  <c r="K44" i="16"/>
  <c r="J44" i="16"/>
  <c r="V43" i="16"/>
  <c r="U43" i="16"/>
  <c r="T43" i="16"/>
  <c r="S43" i="16"/>
  <c r="Q43" i="16"/>
  <c r="P43" i="16"/>
  <c r="M43" i="16"/>
  <c r="L43" i="16"/>
  <c r="K43" i="16"/>
  <c r="J43" i="16"/>
  <c r="V42" i="16"/>
  <c r="U42" i="16"/>
  <c r="T42" i="16"/>
  <c r="S42" i="16"/>
  <c r="Q42" i="16"/>
  <c r="P42" i="16"/>
  <c r="M42" i="16"/>
  <c r="L42" i="16"/>
  <c r="K42" i="16"/>
  <c r="J42" i="16"/>
  <c r="V41" i="16"/>
  <c r="U41" i="16"/>
  <c r="T41" i="16"/>
  <c r="S41" i="16"/>
  <c r="Q41" i="16"/>
  <c r="P41" i="16"/>
  <c r="M41" i="16"/>
  <c r="L41" i="16"/>
  <c r="K41" i="16"/>
  <c r="J41" i="16"/>
  <c r="V40" i="16"/>
  <c r="U40" i="16"/>
  <c r="T40" i="16"/>
  <c r="S40" i="16"/>
  <c r="Q40" i="16"/>
  <c r="P40" i="16"/>
  <c r="M40" i="16"/>
  <c r="L40" i="16"/>
  <c r="K40" i="16"/>
  <c r="J40" i="16"/>
  <c r="V39" i="16"/>
  <c r="U39" i="16"/>
  <c r="T39" i="16"/>
  <c r="S39" i="16"/>
  <c r="Q39" i="16"/>
  <c r="P39" i="16"/>
  <c r="M39" i="16"/>
  <c r="L39" i="16"/>
  <c r="K39" i="16"/>
  <c r="J39" i="16"/>
  <c r="V38" i="16"/>
  <c r="U38" i="16"/>
  <c r="T38" i="16"/>
  <c r="S38" i="16"/>
  <c r="Q38" i="16"/>
  <c r="P38" i="16"/>
  <c r="M38" i="16"/>
  <c r="L38" i="16"/>
  <c r="K38" i="16"/>
  <c r="J38" i="16"/>
  <c r="V37" i="16"/>
  <c r="U37" i="16"/>
  <c r="T37" i="16"/>
  <c r="S37" i="16"/>
  <c r="Q37" i="16"/>
  <c r="P37" i="16"/>
  <c r="M37" i="16"/>
  <c r="L37" i="16"/>
  <c r="K37" i="16"/>
  <c r="J37" i="16"/>
  <c r="V36" i="16"/>
  <c r="U36" i="16"/>
  <c r="T36" i="16"/>
  <c r="S36" i="16"/>
  <c r="Q36" i="16"/>
  <c r="P36" i="16"/>
  <c r="M36" i="16"/>
  <c r="L36" i="16"/>
  <c r="N36" i="16" s="1"/>
  <c r="K36" i="16"/>
  <c r="J36" i="16"/>
  <c r="V35" i="16"/>
  <c r="U35" i="16"/>
  <c r="T35" i="16"/>
  <c r="S35" i="16"/>
  <c r="Q35" i="16"/>
  <c r="P35" i="16"/>
  <c r="M35" i="16"/>
  <c r="L35" i="16"/>
  <c r="K35" i="16"/>
  <c r="J35" i="16"/>
  <c r="V34" i="16"/>
  <c r="U34" i="16"/>
  <c r="T34" i="16"/>
  <c r="S34" i="16"/>
  <c r="Q34" i="16"/>
  <c r="P34" i="16"/>
  <c r="M34" i="16"/>
  <c r="L34" i="16"/>
  <c r="K34" i="16"/>
  <c r="J34" i="16"/>
  <c r="V33" i="16"/>
  <c r="U33" i="16"/>
  <c r="T33" i="16"/>
  <c r="S33" i="16"/>
  <c r="Q33" i="16"/>
  <c r="P33" i="16"/>
  <c r="M33" i="16"/>
  <c r="L33" i="16"/>
  <c r="K33" i="16"/>
  <c r="J33" i="16"/>
  <c r="V32" i="16"/>
  <c r="U32" i="16"/>
  <c r="T32" i="16"/>
  <c r="S32" i="16"/>
  <c r="Q32" i="16"/>
  <c r="P32" i="16"/>
  <c r="M32" i="16"/>
  <c r="L32" i="16"/>
  <c r="K32" i="16"/>
  <c r="J32" i="16"/>
  <c r="V31" i="16"/>
  <c r="U31" i="16"/>
  <c r="T31" i="16"/>
  <c r="S31" i="16"/>
  <c r="Q31" i="16"/>
  <c r="P31" i="16"/>
  <c r="M31" i="16"/>
  <c r="L31" i="16"/>
  <c r="K31" i="16"/>
  <c r="J31" i="16"/>
  <c r="V30" i="16"/>
  <c r="U30" i="16"/>
  <c r="T30" i="16"/>
  <c r="S30" i="16"/>
  <c r="Q30" i="16"/>
  <c r="P30" i="16"/>
  <c r="M30" i="16"/>
  <c r="L30" i="16"/>
  <c r="K30" i="16"/>
  <c r="J30" i="16"/>
  <c r="V29" i="16"/>
  <c r="U29" i="16"/>
  <c r="T29" i="16"/>
  <c r="S29" i="16"/>
  <c r="Q29" i="16"/>
  <c r="P29" i="16"/>
  <c r="M29" i="16"/>
  <c r="L29" i="16"/>
  <c r="K29" i="16"/>
  <c r="J29" i="16"/>
  <c r="V28" i="16"/>
  <c r="U28" i="16"/>
  <c r="T28" i="16"/>
  <c r="S28" i="16"/>
  <c r="Q28" i="16"/>
  <c r="P28" i="16"/>
  <c r="M28" i="16"/>
  <c r="L28" i="16"/>
  <c r="K28" i="16"/>
  <c r="J28" i="16"/>
  <c r="V27" i="16"/>
  <c r="U27" i="16"/>
  <c r="T27" i="16"/>
  <c r="S27" i="16"/>
  <c r="Q27" i="16"/>
  <c r="P27" i="16"/>
  <c r="M27" i="16"/>
  <c r="L27" i="16"/>
  <c r="K27" i="16"/>
  <c r="J27" i="16"/>
  <c r="V26" i="16"/>
  <c r="U26" i="16"/>
  <c r="T26" i="16"/>
  <c r="S26" i="16"/>
  <c r="Q26" i="16"/>
  <c r="P26" i="16"/>
  <c r="M26" i="16"/>
  <c r="L26" i="16"/>
  <c r="K26" i="16"/>
  <c r="J26" i="16"/>
  <c r="V25" i="16"/>
  <c r="U25" i="16"/>
  <c r="T25" i="16"/>
  <c r="S25" i="16"/>
  <c r="Q25" i="16"/>
  <c r="P25" i="16"/>
  <c r="M25" i="16"/>
  <c r="L25" i="16"/>
  <c r="K25" i="16"/>
  <c r="J25" i="16"/>
  <c r="V24" i="16"/>
  <c r="U24" i="16"/>
  <c r="T24" i="16"/>
  <c r="S24" i="16"/>
  <c r="Q24" i="16"/>
  <c r="P24" i="16"/>
  <c r="M24" i="16"/>
  <c r="L24" i="16"/>
  <c r="K24" i="16"/>
  <c r="J24" i="16"/>
  <c r="V23" i="16"/>
  <c r="U23" i="16"/>
  <c r="T23" i="16"/>
  <c r="S23" i="16"/>
  <c r="Q23" i="16"/>
  <c r="P23" i="16"/>
  <c r="M23" i="16"/>
  <c r="L23" i="16"/>
  <c r="K23" i="16"/>
  <c r="J23" i="16"/>
  <c r="V22" i="16"/>
  <c r="U22" i="16"/>
  <c r="T22" i="16"/>
  <c r="S22" i="16"/>
  <c r="Q22" i="16"/>
  <c r="P22" i="16"/>
  <c r="M22" i="16"/>
  <c r="L22" i="16"/>
  <c r="K22" i="16"/>
  <c r="H67" i="16" s="1"/>
  <c r="J22" i="16"/>
  <c r="V21" i="16"/>
  <c r="U21" i="16"/>
  <c r="T21" i="16"/>
  <c r="S21" i="16"/>
  <c r="Q21" i="16"/>
  <c r="P21" i="16"/>
  <c r="M21" i="16"/>
  <c r="L21" i="16"/>
  <c r="N21" i="16" s="1"/>
  <c r="K21" i="16"/>
  <c r="J21" i="16"/>
  <c r="V20" i="16"/>
  <c r="U20" i="16"/>
  <c r="T20" i="16"/>
  <c r="S20" i="16"/>
  <c r="Q20" i="16"/>
  <c r="P20" i="16"/>
  <c r="M20" i="16"/>
  <c r="L20" i="16"/>
  <c r="K20" i="16"/>
  <c r="J20" i="16"/>
  <c r="E104" i="16"/>
  <c r="D44" i="16"/>
  <c r="E44" i="16" s="1"/>
  <c r="D43" i="16"/>
  <c r="E43" i="16" s="1"/>
  <c r="E103" i="16" s="1"/>
  <c r="D42" i="16"/>
  <c r="E42" i="16" s="1"/>
  <c r="D41" i="16"/>
  <c r="E41" i="16" s="1"/>
  <c r="E102" i="16" s="1"/>
  <c r="D40" i="16"/>
  <c r="E40" i="16" s="1"/>
  <c r="D39" i="16"/>
  <c r="E39" i="16" s="1"/>
  <c r="E101" i="16" s="1"/>
  <c r="D38" i="16"/>
  <c r="E38" i="16" s="1"/>
  <c r="E100" i="16" s="1"/>
  <c r="D37" i="16"/>
  <c r="E37" i="16" s="1"/>
  <c r="E99" i="16" s="1"/>
  <c r="D36" i="16"/>
  <c r="D35" i="16"/>
  <c r="E35" i="16" s="1"/>
  <c r="E98" i="16" s="1"/>
  <c r="D34" i="16"/>
  <c r="E34" i="16" s="1"/>
  <c r="D33" i="16"/>
  <c r="D32" i="16"/>
  <c r="E32" i="16" s="1"/>
  <c r="D31" i="16"/>
  <c r="E31" i="16" s="1"/>
  <c r="E96" i="16" s="1"/>
  <c r="D30" i="16"/>
  <c r="E30" i="16" s="1"/>
  <c r="D29" i="16"/>
  <c r="E29" i="16" s="1"/>
  <c r="E95" i="16" s="1"/>
  <c r="D28" i="16"/>
  <c r="E28" i="16" s="1"/>
  <c r="D27" i="16"/>
  <c r="E27" i="16" s="1"/>
  <c r="E94" i="16" s="1"/>
  <c r="D26" i="16"/>
  <c r="E26" i="16" s="1"/>
  <c r="D25" i="16"/>
  <c r="D24" i="16"/>
  <c r="D23" i="16"/>
  <c r="E23" i="16" s="1"/>
  <c r="E92" i="16" s="1"/>
  <c r="D22" i="16"/>
  <c r="E22" i="16" s="1"/>
  <c r="E91" i="16" s="1"/>
  <c r="D21" i="16"/>
  <c r="E21" i="16" s="1"/>
  <c r="D20" i="16"/>
  <c r="P19" i="16"/>
  <c r="L19" i="16"/>
  <c r="AB66" i="16" s="1"/>
  <c r="H66" i="16"/>
  <c r="J19" i="16"/>
  <c r="V19" i="16"/>
  <c r="U19" i="16"/>
  <c r="T19" i="16"/>
  <c r="S19" i="16"/>
  <c r="Q19" i="16"/>
  <c r="M19" i="16"/>
  <c r="M82" i="16"/>
  <c r="L82" i="16"/>
  <c r="K82" i="16"/>
  <c r="J82" i="16"/>
  <c r="I82" i="16"/>
  <c r="H82" i="16"/>
  <c r="E82" i="16" a="1"/>
  <c r="E82" i="16" s="1"/>
  <c r="D82" i="16" a="1"/>
  <c r="D82" i="16" s="1"/>
  <c r="C82" i="16" a="1"/>
  <c r="C82" i="16" s="1"/>
  <c r="E81" i="16" a="1"/>
  <c r="E81" i="16" s="1"/>
  <c r="D81" i="16" a="1"/>
  <c r="D81" i="16" s="1"/>
  <c r="C81" i="16" a="1"/>
  <c r="C81" i="16" s="1"/>
  <c r="E80" i="16" a="1"/>
  <c r="E80" i="16" s="1"/>
  <c r="D80" i="16" a="1"/>
  <c r="D80" i="16" s="1"/>
  <c r="C80" i="16" a="1"/>
  <c r="C80" i="16" s="1"/>
  <c r="E79" i="16" a="1"/>
  <c r="E79" i="16" s="1"/>
  <c r="D79" i="16" a="1"/>
  <c r="D79" i="16" s="1"/>
  <c r="C79" i="16" a="1"/>
  <c r="C79" i="16" s="1"/>
  <c r="D78" i="16" a="1"/>
  <c r="D78" i="16" s="1"/>
  <c r="C72" i="16"/>
  <c r="N71" i="16"/>
  <c r="L71" i="16"/>
  <c r="K71" i="16"/>
  <c r="J71" i="16"/>
  <c r="I71" i="16"/>
  <c r="H71" i="16"/>
  <c r="G71" i="16"/>
  <c r="N70" i="16"/>
  <c r="L70" i="16"/>
  <c r="K70" i="16"/>
  <c r="J70" i="16"/>
  <c r="I70" i="16"/>
  <c r="H70" i="16"/>
  <c r="G70" i="16"/>
  <c r="N69" i="16"/>
  <c r="N68" i="16"/>
  <c r="N67" i="16"/>
  <c r="N66" i="16"/>
  <c r="N65" i="16"/>
  <c r="N64" i="16"/>
  <c r="N63" i="16"/>
  <c r="N62" i="16"/>
  <c r="N61" i="16"/>
  <c r="N60" i="16"/>
  <c r="N59" i="16"/>
  <c r="N58" i="16"/>
  <c r="N57" i="16"/>
  <c r="N56" i="16"/>
  <c r="N55" i="16"/>
  <c r="N54" i="16"/>
  <c r="A20" i="16"/>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D19" i="16"/>
  <c r="AH17" i="16"/>
  <c r="AJ16" i="16" s="1"/>
  <c r="AE17" i="16"/>
  <c r="AB17" i="16"/>
  <c r="Z17" i="16"/>
  <c r="AA41" i="16" s="1"/>
  <c r="N30" i="16" l="1"/>
  <c r="O30" i="16" s="1"/>
  <c r="AB56" i="16"/>
  <c r="W41" i="16"/>
  <c r="X41" i="16" s="1"/>
  <c r="N34" i="16"/>
  <c r="R34" i="16" s="1"/>
  <c r="W42" i="16"/>
  <c r="X42" i="16" s="1"/>
  <c r="W40" i="16"/>
  <c r="X40" i="16" s="1"/>
  <c r="AB64" i="16"/>
  <c r="N20" i="16"/>
  <c r="R20" i="16" s="1"/>
  <c r="AB54" i="16"/>
  <c r="N33" i="16"/>
  <c r="I60" i="16" s="1"/>
  <c r="AB60" i="16"/>
  <c r="AB58" i="16"/>
  <c r="AB65" i="16"/>
  <c r="N37" i="16"/>
  <c r="O37" i="16" s="1"/>
  <c r="AB68" i="16"/>
  <c r="N22" i="16"/>
  <c r="O22" i="16" s="1"/>
  <c r="AB67" i="16"/>
  <c r="N38" i="16"/>
  <c r="R38" i="16" s="1"/>
  <c r="AB69" i="16"/>
  <c r="N35" i="16"/>
  <c r="I61" i="16" s="1"/>
  <c r="AB61" i="16"/>
  <c r="N41" i="16"/>
  <c r="O41" i="16" s="1"/>
  <c r="AB63" i="16"/>
  <c r="N27" i="16"/>
  <c r="O27" i="16" s="1"/>
  <c r="AB57" i="16"/>
  <c r="AB55" i="16"/>
  <c r="AB59" i="16"/>
  <c r="AB62" i="16"/>
  <c r="L47" i="16"/>
  <c r="N23" i="16"/>
  <c r="R23" i="16" s="1"/>
  <c r="N39" i="16"/>
  <c r="R39" i="16" s="1"/>
  <c r="E19" i="1"/>
  <c r="K16" i="25"/>
  <c r="L15" i="25"/>
  <c r="G66" i="16"/>
  <c r="E19" i="16"/>
  <c r="E89" i="16" s="1"/>
  <c r="W19" i="16"/>
  <c r="AA35" i="16"/>
  <c r="G56" i="16"/>
  <c r="N24" i="16"/>
  <c r="O24" i="16" s="1"/>
  <c r="N32" i="16"/>
  <c r="R32" i="16" s="1"/>
  <c r="N40" i="16"/>
  <c r="R40" i="16" s="1"/>
  <c r="AA27" i="16"/>
  <c r="AA34" i="16"/>
  <c r="AA42" i="16"/>
  <c r="N29" i="16"/>
  <c r="I58" i="16" s="1"/>
  <c r="N43" i="16"/>
  <c r="I64" i="16" s="1"/>
  <c r="N31" i="16"/>
  <c r="R31" i="16" s="1"/>
  <c r="AI16" i="16"/>
  <c r="N25" i="16"/>
  <c r="R25" i="16" s="1"/>
  <c r="N28" i="16"/>
  <c r="R28" i="16" s="1"/>
  <c r="N19" i="16"/>
  <c r="O19" i="16" s="1"/>
  <c r="AA26" i="16"/>
  <c r="AA43" i="16"/>
  <c r="H58" i="16"/>
  <c r="AA25" i="16"/>
  <c r="AA33" i="16"/>
  <c r="AC17" i="16"/>
  <c r="AD44" i="16" s="1"/>
  <c r="AA24" i="16"/>
  <c r="AA32" i="16"/>
  <c r="AA31" i="16"/>
  <c r="AA21" i="16"/>
  <c r="AA29" i="16"/>
  <c r="AA37" i="16"/>
  <c r="T52" i="16"/>
  <c r="U52" i="16" s="1"/>
  <c r="W52" i="16"/>
  <c r="Y51" i="16" s="1"/>
  <c r="AA20" i="16"/>
  <c r="AA28" i="16"/>
  <c r="AA36" i="16"/>
  <c r="AA44" i="16"/>
  <c r="H69" i="16"/>
  <c r="AA40" i="16"/>
  <c r="W38" i="16"/>
  <c r="K69" i="16" s="1"/>
  <c r="H68" i="16"/>
  <c r="AA23" i="16"/>
  <c r="AA39" i="16"/>
  <c r="W37" i="16"/>
  <c r="K68" i="16" s="1"/>
  <c r="AA22" i="16"/>
  <c r="AA30" i="16"/>
  <c r="AA38" i="16"/>
  <c r="H63" i="16"/>
  <c r="W33" i="16"/>
  <c r="X33" i="16" s="1"/>
  <c r="W32" i="16"/>
  <c r="X32" i="16" s="1"/>
  <c r="H65" i="16"/>
  <c r="O21" i="16"/>
  <c r="H61" i="16"/>
  <c r="W21" i="16"/>
  <c r="X21" i="16" s="1"/>
  <c r="W22" i="16"/>
  <c r="X22" i="16" s="1"/>
  <c r="W24" i="16"/>
  <c r="X24" i="16" s="1"/>
  <c r="N26" i="16"/>
  <c r="O26" i="16" s="1"/>
  <c r="W25" i="16"/>
  <c r="X25" i="16" s="1"/>
  <c r="W26" i="16"/>
  <c r="X26" i="16" s="1"/>
  <c r="W30" i="16"/>
  <c r="X30" i="16" s="1"/>
  <c r="W29" i="16"/>
  <c r="X29" i="16" s="1"/>
  <c r="O44" i="16"/>
  <c r="O36" i="16"/>
  <c r="R36" i="16"/>
  <c r="W23" i="16"/>
  <c r="X23" i="16" s="1"/>
  <c r="W31" i="16"/>
  <c r="X31" i="16" s="1"/>
  <c r="W36" i="16"/>
  <c r="X36" i="16" s="1"/>
  <c r="W35" i="16"/>
  <c r="X35" i="16" s="1"/>
  <c r="R44" i="16"/>
  <c r="W39" i="16"/>
  <c r="X39" i="16" s="1"/>
  <c r="W43" i="16"/>
  <c r="X43" i="16" s="1"/>
  <c r="W20" i="16"/>
  <c r="X20" i="16" s="1"/>
  <c r="W28" i="16"/>
  <c r="X28" i="16" s="1"/>
  <c r="R33" i="16"/>
  <c r="W34" i="16"/>
  <c r="X34" i="16" s="1"/>
  <c r="N42" i="16"/>
  <c r="O42" i="16" s="1"/>
  <c r="R30" i="16"/>
  <c r="W27" i="16"/>
  <c r="X27" i="16" s="1"/>
  <c r="W44" i="16"/>
  <c r="X44" i="16" s="1"/>
  <c r="R21" i="16"/>
  <c r="E25" i="16"/>
  <c r="E93" i="16" s="1"/>
  <c r="E24" i="16"/>
  <c r="E33" i="16"/>
  <c r="E97" i="16" s="1"/>
  <c r="E20" i="16"/>
  <c r="E90" i="16" s="1"/>
  <c r="E36" i="16"/>
  <c r="G58" i="16"/>
  <c r="G68" i="16"/>
  <c r="G63" i="16"/>
  <c r="G55" i="16"/>
  <c r="G60" i="16"/>
  <c r="G65" i="16"/>
  <c r="G64" i="16"/>
  <c r="H57" i="16"/>
  <c r="G54" i="16"/>
  <c r="G61" i="16"/>
  <c r="H60" i="16"/>
  <c r="AF17" i="16"/>
  <c r="AG30" i="16" s="1"/>
  <c r="H64" i="16"/>
  <c r="H62" i="16"/>
  <c r="H59" i="16"/>
  <c r="M70" i="16"/>
  <c r="H56" i="16"/>
  <c r="H55" i="16"/>
  <c r="H54" i="16"/>
  <c r="J47" i="16"/>
  <c r="K47" i="16"/>
  <c r="K48" i="16" s="1"/>
  <c r="M71" i="16"/>
  <c r="G57" i="16"/>
  <c r="O52" i="16"/>
  <c r="X51" i="16" s="1"/>
  <c r="G59" i="16"/>
  <c r="G67" i="16"/>
  <c r="AA19" i="16"/>
  <c r="Q52" i="16"/>
  <c r="G69" i="16"/>
  <c r="G62" i="16"/>
  <c r="O39" i="16" l="1"/>
  <c r="R37" i="16"/>
  <c r="J68" i="16" s="1"/>
  <c r="I68" i="16"/>
  <c r="O33" i="16"/>
  <c r="O20" i="16"/>
  <c r="R27" i="16"/>
  <c r="J57" i="16" s="1"/>
  <c r="I54" i="16"/>
  <c r="O34" i="16"/>
  <c r="Q79" i="16"/>
  <c r="Q81" i="16"/>
  <c r="R22" i="16"/>
  <c r="Y22" i="16" s="1"/>
  <c r="O23" i="16"/>
  <c r="O35" i="16"/>
  <c r="O38" i="16"/>
  <c r="R35" i="16"/>
  <c r="Y35" i="16" s="1"/>
  <c r="Q80" i="16"/>
  <c r="R41" i="16"/>
  <c r="Y41" i="16" s="1"/>
  <c r="Q78" i="16"/>
  <c r="P79" i="16"/>
  <c r="P78" i="16"/>
  <c r="R24" i="16"/>
  <c r="Y24" i="16" s="1"/>
  <c r="P80" i="16"/>
  <c r="P81" i="16"/>
  <c r="K17" i="25"/>
  <c r="L16" i="25"/>
  <c r="O40" i="16"/>
  <c r="O43" i="16"/>
  <c r="O28" i="16"/>
  <c r="X55" i="16"/>
  <c r="O31" i="16"/>
  <c r="AI42" i="16"/>
  <c r="AI26" i="16"/>
  <c r="AI39" i="16"/>
  <c r="I57" i="16"/>
  <c r="O32" i="16"/>
  <c r="V68" i="16"/>
  <c r="AI32" i="16"/>
  <c r="AI34" i="16"/>
  <c r="AI31" i="16"/>
  <c r="H81" i="16"/>
  <c r="R29" i="16"/>
  <c r="Y29" i="16" s="1"/>
  <c r="O29" i="16"/>
  <c r="X38" i="16"/>
  <c r="L69" i="16" s="1"/>
  <c r="D100" i="16" s="1"/>
  <c r="AD31" i="16"/>
  <c r="Z39" i="16"/>
  <c r="AB39" i="16" s="1"/>
  <c r="AC26" i="16"/>
  <c r="AE26" i="16" s="1"/>
  <c r="AC19" i="16"/>
  <c r="AD30" i="16"/>
  <c r="AG32" i="16"/>
  <c r="AC25" i="16"/>
  <c r="AE25" i="16" s="1"/>
  <c r="AF27" i="16"/>
  <c r="AH27" i="16" s="1"/>
  <c r="AI24" i="16"/>
  <c r="AC21" i="16"/>
  <c r="AE21" i="16" s="1"/>
  <c r="R19" i="16"/>
  <c r="J66" i="16" s="1"/>
  <c r="X58" i="16"/>
  <c r="AC34" i="16"/>
  <c r="AE34" i="16" s="1"/>
  <c r="AI29" i="16"/>
  <c r="AG39" i="16"/>
  <c r="Z42" i="16"/>
  <c r="AB42" i="16" s="1"/>
  <c r="AI43" i="16"/>
  <c r="AC37" i="16"/>
  <c r="AI23" i="16"/>
  <c r="Z36" i="16"/>
  <c r="AB36" i="16" s="1"/>
  <c r="AF33" i="16"/>
  <c r="AH33" i="16" s="1"/>
  <c r="AD22" i="16"/>
  <c r="AI41" i="16"/>
  <c r="AF20" i="16"/>
  <c r="AH20" i="16" s="1"/>
  <c r="X66" i="16"/>
  <c r="R43" i="16"/>
  <c r="Y43" i="16" s="1"/>
  <c r="AC31" i="16"/>
  <c r="AE31" i="16" s="1"/>
  <c r="AD28" i="16"/>
  <c r="AI25" i="16"/>
  <c r="AI38" i="16"/>
  <c r="AG24" i="16"/>
  <c r="AF39" i="16"/>
  <c r="AH39" i="16" s="1"/>
  <c r="AD21" i="16"/>
  <c r="AF19" i="16"/>
  <c r="AG37" i="16"/>
  <c r="AC27" i="16"/>
  <c r="AE27" i="16" s="1"/>
  <c r="AF25" i="16"/>
  <c r="AH25" i="16" s="1"/>
  <c r="AF21" i="16"/>
  <c r="AH21" i="16" s="1"/>
  <c r="AD37" i="16"/>
  <c r="AI33" i="16"/>
  <c r="AI35" i="16"/>
  <c r="AI36" i="16"/>
  <c r="AF28" i="16"/>
  <c r="AH28" i="16" s="1"/>
  <c r="AG40" i="16"/>
  <c r="AF22" i="16"/>
  <c r="AH22" i="16" s="1"/>
  <c r="O25" i="16"/>
  <c r="Z34" i="16"/>
  <c r="AB34" i="16" s="1"/>
  <c r="AD32" i="16"/>
  <c r="AI27" i="16"/>
  <c r="AI20" i="16"/>
  <c r="AI37" i="16"/>
  <c r="AF29" i="16"/>
  <c r="AH29" i="16" s="1"/>
  <c r="AI44" i="16"/>
  <c r="AF35" i="16"/>
  <c r="AH35" i="16" s="1"/>
  <c r="Z30" i="16"/>
  <c r="AB30" i="16" s="1"/>
  <c r="Z43" i="16"/>
  <c r="AB43" i="16" s="1"/>
  <c r="Z40" i="16"/>
  <c r="AB40" i="16" s="1"/>
  <c r="AD23" i="16"/>
  <c r="V66" i="16"/>
  <c r="AI21" i="16"/>
  <c r="Z44" i="16"/>
  <c r="AB44" i="16" s="1"/>
  <c r="AD20" i="16"/>
  <c r="AI40" i="16"/>
  <c r="AI30" i="16"/>
  <c r="AI19" i="16"/>
  <c r="AC42" i="16"/>
  <c r="AE42" i="16" s="1"/>
  <c r="AD29" i="16"/>
  <c r="AI28" i="16"/>
  <c r="AC35" i="16"/>
  <c r="AE35" i="16" s="1"/>
  <c r="AF24" i="16"/>
  <c r="AH24" i="16" s="1"/>
  <c r="AF42" i="16"/>
  <c r="AH42" i="16" s="1"/>
  <c r="Z37" i="16"/>
  <c r="Z21" i="16"/>
  <c r="AB21" i="16" s="1"/>
  <c r="Z41" i="16"/>
  <c r="AB41" i="16" s="1"/>
  <c r="AD36" i="16"/>
  <c r="Z38" i="16"/>
  <c r="AG19" i="16"/>
  <c r="AC39" i="16"/>
  <c r="AE39" i="16" s="1"/>
  <c r="AI22" i="16"/>
  <c r="AF36" i="16"/>
  <c r="AH36" i="16" s="1"/>
  <c r="AC40" i="16"/>
  <c r="AE40" i="16" s="1"/>
  <c r="Z26" i="16"/>
  <c r="AB26" i="16" s="1"/>
  <c r="Z35" i="16"/>
  <c r="AB35" i="16" s="1"/>
  <c r="Z20" i="16"/>
  <c r="AB20" i="16" s="1"/>
  <c r="AC38" i="16"/>
  <c r="AC20" i="16"/>
  <c r="AE20" i="16" s="1"/>
  <c r="AC30" i="16"/>
  <c r="AE30" i="16" s="1"/>
  <c r="AF34" i="16"/>
  <c r="AH34" i="16" s="1"/>
  <c r="Z31" i="16"/>
  <c r="AB31" i="16" s="1"/>
  <c r="AC23" i="16"/>
  <c r="AE23" i="16" s="1"/>
  <c r="AF43" i="16"/>
  <c r="AH43" i="16" s="1"/>
  <c r="AD19" i="16"/>
  <c r="AD40" i="16"/>
  <c r="AC32" i="16"/>
  <c r="AE32" i="16" s="1"/>
  <c r="AG33" i="16"/>
  <c r="AG25" i="16"/>
  <c r="AG20" i="16"/>
  <c r="AG41" i="16"/>
  <c r="AG42" i="16"/>
  <c r="AG34" i="16"/>
  <c r="AG26" i="16"/>
  <c r="AG43" i="16"/>
  <c r="AG35" i="16"/>
  <c r="AG27" i="16"/>
  <c r="AG44" i="16"/>
  <c r="AG36" i="16"/>
  <c r="AG28" i="16"/>
  <c r="AF40" i="16"/>
  <c r="AH40" i="16" s="1"/>
  <c r="AG29" i="16"/>
  <c r="Z32" i="16"/>
  <c r="AB32" i="16" s="1"/>
  <c r="AC36" i="16"/>
  <c r="AE36" i="16" s="1"/>
  <c r="Z28" i="16"/>
  <c r="AB28" i="16" s="1"/>
  <c r="AF23" i="16"/>
  <c r="AH23" i="16" s="1"/>
  <c r="Z19" i="16"/>
  <c r="AC22" i="16"/>
  <c r="AE22" i="16" s="1"/>
  <c r="AF32" i="16"/>
  <c r="AH32" i="16" s="1"/>
  <c r="Z27" i="16"/>
  <c r="AB27" i="16" s="1"/>
  <c r="Z23" i="16"/>
  <c r="AB23" i="16" s="1"/>
  <c r="AF44" i="16"/>
  <c r="AH44" i="16" s="1"/>
  <c r="AF38" i="16"/>
  <c r="AC24" i="16"/>
  <c r="AE24" i="16" s="1"/>
  <c r="X37" i="16"/>
  <c r="L68" i="16" s="1"/>
  <c r="D99" i="16" s="1"/>
  <c r="AG31" i="16"/>
  <c r="Z33" i="16"/>
  <c r="AB33" i="16" s="1"/>
  <c r="AG21" i="16"/>
  <c r="AC28" i="16"/>
  <c r="AE28" i="16" s="1"/>
  <c r="Z24" i="16"/>
  <c r="AB24" i="16" s="1"/>
  <c r="Z22" i="16"/>
  <c r="AB22" i="16" s="1"/>
  <c r="AG22" i="16"/>
  <c r="Z25" i="16"/>
  <c r="AB25" i="16" s="1"/>
  <c r="AC44" i="16"/>
  <c r="AE44" i="16" s="1"/>
  <c r="AF31" i="16"/>
  <c r="AH31" i="16" s="1"/>
  <c r="AC43" i="16"/>
  <c r="AE43" i="16" s="1"/>
  <c r="AG23" i="16"/>
  <c r="AD43" i="16"/>
  <c r="AD41" i="16"/>
  <c r="AD33" i="16"/>
  <c r="AD25" i="16"/>
  <c r="AD42" i="16"/>
  <c r="AD34" i="16"/>
  <c r="AD26" i="16"/>
  <c r="AD35" i="16"/>
  <c r="AD27" i="16"/>
  <c r="AC41" i="16"/>
  <c r="AE41" i="16" s="1"/>
  <c r="Z29" i="16"/>
  <c r="AB29" i="16" s="1"/>
  <c r="A15" i="16"/>
  <c r="J48" i="16"/>
  <c r="AC33" i="16"/>
  <c r="AE33" i="16" s="1"/>
  <c r="AC29" i="16"/>
  <c r="AE29" i="16" s="1"/>
  <c r="AF37" i="16"/>
  <c r="AF26" i="16"/>
  <c r="AH26" i="16" s="1"/>
  <c r="AF41" i="16"/>
  <c r="AH41" i="16" s="1"/>
  <c r="AD38" i="16"/>
  <c r="AD39" i="16"/>
  <c r="AD24" i="16"/>
  <c r="AF30" i="16"/>
  <c r="AH30" i="16" s="1"/>
  <c r="AG38" i="16"/>
  <c r="Y33" i="16"/>
  <c r="Y25" i="16"/>
  <c r="Y21" i="16"/>
  <c r="Y40" i="16"/>
  <c r="K65" i="16"/>
  <c r="K67" i="16"/>
  <c r="L67" i="16"/>
  <c r="D91" i="16" s="1"/>
  <c r="I63" i="16"/>
  <c r="Y36" i="16"/>
  <c r="R26" i="16"/>
  <c r="Y26" i="16" s="1"/>
  <c r="Y30" i="16"/>
  <c r="Y32" i="16"/>
  <c r="K58" i="16"/>
  <c r="L58" i="16"/>
  <c r="D95" i="16" s="1"/>
  <c r="Y39" i="16"/>
  <c r="Y31" i="16"/>
  <c r="I56" i="16"/>
  <c r="Y23" i="16"/>
  <c r="Y27" i="16"/>
  <c r="L60" i="16"/>
  <c r="D97" i="16" s="1"/>
  <c r="Y44" i="16"/>
  <c r="R42" i="16"/>
  <c r="Y42" i="16" s="1"/>
  <c r="Y34" i="16"/>
  <c r="Y28" i="16"/>
  <c r="K62" i="16"/>
  <c r="K61" i="16"/>
  <c r="Y20" i="16"/>
  <c r="K63" i="16"/>
  <c r="K56" i="16"/>
  <c r="K60" i="16"/>
  <c r="K57" i="16"/>
  <c r="L57" i="16"/>
  <c r="D94" i="16" s="1"/>
  <c r="I65" i="16"/>
  <c r="L56" i="16"/>
  <c r="D93" i="16" s="1"/>
  <c r="L63" i="16"/>
  <c r="D102" i="16" s="1"/>
  <c r="L61" i="16"/>
  <c r="D98" i="16" s="1"/>
  <c r="L65" i="16"/>
  <c r="D104" i="16" s="1"/>
  <c r="H79" i="16"/>
  <c r="L54" i="16"/>
  <c r="D90" i="16" s="1"/>
  <c r="H90" i="16" s="1"/>
  <c r="K54" i="16"/>
  <c r="L55" i="16"/>
  <c r="D92" i="16" s="1"/>
  <c r="H80" i="16"/>
  <c r="V70" i="16"/>
  <c r="V57" i="16"/>
  <c r="K64" i="16"/>
  <c r="L64" i="16"/>
  <c r="D103" i="16" s="1"/>
  <c r="L62" i="16"/>
  <c r="D101" i="16" s="1"/>
  <c r="L59" i="16"/>
  <c r="D96" i="16" s="1"/>
  <c r="K59" i="16"/>
  <c r="H78" i="16"/>
  <c r="H72" i="16"/>
  <c r="W47" i="16"/>
  <c r="K55" i="16"/>
  <c r="I55" i="16"/>
  <c r="I62" i="16"/>
  <c r="I59" i="16"/>
  <c r="I66" i="16"/>
  <c r="X19" i="16"/>
  <c r="L66" i="16" s="1"/>
  <c r="D89" i="16" s="1"/>
  <c r="H89" i="16" s="1"/>
  <c r="K66" i="16"/>
  <c r="I67" i="16"/>
  <c r="X70" i="16"/>
  <c r="X62" i="16"/>
  <c r="X54" i="16"/>
  <c r="X68" i="16"/>
  <c r="X60" i="16"/>
  <c r="J54" i="16"/>
  <c r="X69" i="16"/>
  <c r="X65" i="16"/>
  <c r="V64" i="16"/>
  <c r="J60" i="16"/>
  <c r="V62" i="16"/>
  <c r="J62" i="16"/>
  <c r="V58" i="16"/>
  <c r="V65" i="16"/>
  <c r="X61" i="16"/>
  <c r="I69" i="16"/>
  <c r="X57" i="16"/>
  <c r="X64" i="16"/>
  <c r="X71" i="16"/>
  <c r="V54" i="16"/>
  <c r="X67" i="16"/>
  <c r="X56" i="16"/>
  <c r="N47" i="16"/>
  <c r="V71" i="16"/>
  <c r="V63" i="16"/>
  <c r="V55" i="16"/>
  <c r="V69" i="16"/>
  <c r="V61" i="16"/>
  <c r="V67" i="16"/>
  <c r="V59" i="16"/>
  <c r="V60" i="16"/>
  <c r="X59" i="16"/>
  <c r="X63" i="16"/>
  <c r="V56" i="16"/>
  <c r="P67" i="16"/>
  <c r="P59" i="16"/>
  <c r="P66" i="16"/>
  <c r="P58" i="16"/>
  <c r="P65" i="16"/>
  <c r="P57" i="16"/>
  <c r="P64" i="16"/>
  <c r="P56" i="16"/>
  <c r="R52" i="16"/>
  <c r="U65" i="16" s="1"/>
  <c r="P71" i="16"/>
  <c r="P63" i="16"/>
  <c r="P55" i="16"/>
  <c r="P70" i="16"/>
  <c r="P62" i="16"/>
  <c r="P54" i="16"/>
  <c r="P69" i="16"/>
  <c r="P61" i="16"/>
  <c r="P68" i="16"/>
  <c r="P60" i="16"/>
  <c r="Y38" i="16" l="1"/>
  <c r="J61" i="16"/>
  <c r="M61" i="16" s="1"/>
  <c r="Q83" i="16"/>
  <c r="N80" i="16"/>
  <c r="N79" i="16"/>
  <c r="P83" i="16"/>
  <c r="N81" i="16"/>
  <c r="N78" i="16"/>
  <c r="K18" i="25"/>
  <c r="L17" i="25"/>
  <c r="M89" i="16"/>
  <c r="R89" i="16"/>
  <c r="R92" i="16"/>
  <c r="M92" i="16"/>
  <c r="H92" i="16"/>
  <c r="M98" i="16"/>
  <c r="R98" i="16"/>
  <c r="H98" i="16"/>
  <c r="M102" i="16"/>
  <c r="R102" i="16"/>
  <c r="H102" i="16"/>
  <c r="M97" i="16"/>
  <c r="R97" i="16"/>
  <c r="H97" i="16"/>
  <c r="M100" i="16"/>
  <c r="R100" i="16"/>
  <c r="H100" i="16"/>
  <c r="R90" i="16"/>
  <c r="M90" i="16"/>
  <c r="M104" i="16"/>
  <c r="R104" i="16"/>
  <c r="H104" i="16"/>
  <c r="M99" i="16"/>
  <c r="R99" i="16"/>
  <c r="H99" i="16"/>
  <c r="R94" i="16"/>
  <c r="M94" i="16"/>
  <c r="H94" i="16"/>
  <c r="M101" i="16"/>
  <c r="R101" i="16"/>
  <c r="H101" i="16"/>
  <c r="M103" i="16"/>
  <c r="R103" i="16"/>
  <c r="H103" i="16"/>
  <c r="R95" i="16"/>
  <c r="M95" i="16"/>
  <c r="H95" i="16"/>
  <c r="J58" i="16"/>
  <c r="M58" i="16" s="1"/>
  <c r="R93" i="16"/>
  <c r="M93" i="16"/>
  <c r="H93" i="16"/>
  <c r="R96" i="16"/>
  <c r="M96" i="16"/>
  <c r="H96" i="16"/>
  <c r="R91" i="16"/>
  <c r="M91" i="16"/>
  <c r="H91" i="16"/>
  <c r="R70" i="16"/>
  <c r="T70" i="16" s="1"/>
  <c r="O54" i="16"/>
  <c r="AE38" i="16"/>
  <c r="O71" i="16"/>
  <c r="Q71" i="16" s="1"/>
  <c r="O59" i="16"/>
  <c r="Q59" i="16" s="1"/>
  <c r="U60" i="16"/>
  <c r="W60" i="16" s="1"/>
  <c r="AB38" i="16"/>
  <c r="AH38" i="16"/>
  <c r="U66" i="16"/>
  <c r="W66" i="16" s="1"/>
  <c r="J64" i="16"/>
  <c r="M64" i="16" s="1"/>
  <c r="O70" i="16"/>
  <c r="Q70" i="16" s="1"/>
  <c r="U67" i="16"/>
  <c r="W67" i="16" s="1"/>
  <c r="O65" i="16"/>
  <c r="Q65" i="16" s="1"/>
  <c r="R66" i="16"/>
  <c r="T66" i="16" s="1"/>
  <c r="U58" i="16"/>
  <c r="W58" i="16" s="1"/>
  <c r="O62" i="16"/>
  <c r="Q62" i="16" s="1"/>
  <c r="R71" i="16"/>
  <c r="T71" i="16" s="1"/>
  <c r="R58" i="16"/>
  <c r="T58" i="16" s="1"/>
  <c r="R64" i="16"/>
  <c r="T64" i="16" s="1"/>
  <c r="R62" i="16"/>
  <c r="T62" i="16" s="1"/>
  <c r="R65" i="16"/>
  <c r="T65" i="16" s="1"/>
  <c r="O67" i="16"/>
  <c r="Q67" i="16" s="1"/>
  <c r="U54" i="16"/>
  <c r="W54" i="16" s="1"/>
  <c r="R63" i="16"/>
  <c r="T63" i="16" s="1"/>
  <c r="R54" i="16"/>
  <c r="T54" i="16" s="1"/>
  <c r="U71" i="16"/>
  <c r="W71" i="16" s="1"/>
  <c r="R56" i="16"/>
  <c r="T56" i="16" s="1"/>
  <c r="R61" i="16"/>
  <c r="T61" i="16" s="1"/>
  <c r="R69" i="16"/>
  <c r="T69" i="16" s="1"/>
  <c r="U55" i="16"/>
  <c r="W55" i="16" s="1"/>
  <c r="O58" i="16"/>
  <c r="Q58" i="16" s="1"/>
  <c r="U57" i="16"/>
  <c r="W57" i="16" s="1"/>
  <c r="R59" i="16"/>
  <c r="T59" i="16" s="1"/>
  <c r="U63" i="16"/>
  <c r="W63" i="16" s="1"/>
  <c r="M68" i="16"/>
  <c r="O68" i="16"/>
  <c r="Q68" i="16" s="1"/>
  <c r="AH37" i="16"/>
  <c r="O61" i="16"/>
  <c r="Q61" i="16" s="1"/>
  <c r="AE37" i="16"/>
  <c r="AB37" i="16"/>
  <c r="Y37" i="16"/>
  <c r="R47" i="16"/>
  <c r="M60" i="16"/>
  <c r="J56" i="16"/>
  <c r="M56" i="16" s="1"/>
  <c r="J63" i="16"/>
  <c r="M63" i="16" s="1"/>
  <c r="M57" i="16"/>
  <c r="J80" i="16"/>
  <c r="J78" i="16"/>
  <c r="J79" i="16"/>
  <c r="W65" i="16"/>
  <c r="I78" i="16"/>
  <c r="AB19" i="16"/>
  <c r="AE19" i="16"/>
  <c r="O60" i="16"/>
  <c r="Q60" i="16" s="1"/>
  <c r="J59" i="16"/>
  <c r="M59" i="16" s="1"/>
  <c r="Y19" i="16"/>
  <c r="I80" i="16"/>
  <c r="I79" i="16"/>
  <c r="M62" i="16"/>
  <c r="J81" i="16"/>
  <c r="M66" i="16"/>
  <c r="I81" i="16"/>
  <c r="K72" i="16"/>
  <c r="J55" i="16"/>
  <c r="M55" i="16" s="1"/>
  <c r="AH19" i="16"/>
  <c r="I72" i="16"/>
  <c r="M54" i="16"/>
  <c r="S64" i="16"/>
  <c r="S56" i="16"/>
  <c r="S67" i="16"/>
  <c r="S59" i="16"/>
  <c r="S60" i="16"/>
  <c r="S68" i="16"/>
  <c r="S54" i="16"/>
  <c r="S55" i="16"/>
  <c r="S62" i="16"/>
  <c r="S61" i="16"/>
  <c r="U62" i="16"/>
  <c r="W62" i="16" s="1"/>
  <c r="S70" i="16"/>
  <c r="S63" i="16"/>
  <c r="S57" i="16"/>
  <c r="S65" i="16"/>
  <c r="S58" i="16"/>
  <c r="S71" i="16"/>
  <c r="S66" i="16"/>
  <c r="Q54" i="16"/>
  <c r="U59" i="16"/>
  <c r="W59" i="16" s="1"/>
  <c r="S69" i="16"/>
  <c r="O66" i="16"/>
  <c r="Q66" i="16" s="1"/>
  <c r="J65" i="16"/>
  <c r="M65" i="16" s="1"/>
  <c r="O64" i="16"/>
  <c r="Q64" i="16" s="1"/>
  <c r="U56" i="16"/>
  <c r="W56" i="16" s="1"/>
  <c r="U69" i="16"/>
  <c r="W69" i="16" s="1"/>
  <c r="U68" i="16"/>
  <c r="W68" i="16" s="1"/>
  <c r="O63" i="16"/>
  <c r="Q63" i="16" s="1"/>
  <c r="U70" i="16"/>
  <c r="W70" i="16" s="1"/>
  <c r="J67" i="16"/>
  <c r="M67" i="16" s="1"/>
  <c r="O69" i="16"/>
  <c r="Q69" i="16" s="1"/>
  <c r="O56" i="16"/>
  <c r="Q56" i="16" s="1"/>
  <c r="R67" i="16"/>
  <c r="T67" i="16" s="1"/>
  <c r="R60" i="16"/>
  <c r="T60" i="16" s="1"/>
  <c r="U61" i="16"/>
  <c r="W61" i="16" s="1"/>
  <c r="R57" i="16"/>
  <c r="T57" i="16" s="1"/>
  <c r="O57" i="16"/>
  <c r="Q57" i="16" s="1"/>
  <c r="R55" i="16"/>
  <c r="T55" i="16" s="1"/>
  <c r="U64" i="16"/>
  <c r="W64" i="16" s="1"/>
  <c r="O55" i="16"/>
  <c r="Q55" i="16" s="1"/>
  <c r="J69" i="16"/>
  <c r="M69" i="16" s="1"/>
  <c r="R68" i="16"/>
  <c r="T68" i="16" s="1"/>
  <c r="K19" i="25" l="1"/>
  <c r="L18" i="25"/>
  <c r="L80" i="16"/>
  <c r="K79" i="16"/>
  <c r="M78" i="16"/>
  <c r="L78" i="16"/>
  <c r="K81" i="16"/>
  <c r="L79" i="16"/>
  <c r="L81" i="16"/>
  <c r="M81" i="16"/>
  <c r="M79" i="16"/>
  <c r="K80" i="16"/>
  <c r="K78" i="16"/>
  <c r="M80" i="16"/>
  <c r="J72" i="16"/>
  <c r="K20" i="25" l="1"/>
  <c r="L19" i="25"/>
  <c r="K21" i="25" l="1"/>
  <c r="L20" i="25"/>
  <c r="K22" i="25" l="1"/>
  <c r="L21" i="25"/>
  <c r="K23" i="25" l="1"/>
  <c r="L22" i="25"/>
  <c r="K24" i="25" l="1"/>
  <c r="L23" i="25"/>
  <c r="K25" i="25" l="1"/>
  <c r="L24" i="25"/>
  <c r="K26" i="25" l="1"/>
  <c r="L25" i="25"/>
  <c r="K27" i="25" l="1"/>
  <c r="L26" i="25"/>
  <c r="A4" i="12"/>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K28" i="25" l="1"/>
  <c r="L27" i="25"/>
  <c r="A26" i="12"/>
  <c r="A27" i="12" s="1"/>
  <c r="A28" i="12" s="1"/>
  <c r="A29" i="12" s="1"/>
  <c r="A30" i="12" s="1"/>
  <c r="A31" i="12" s="1"/>
  <c r="A32" i="12" s="1"/>
  <c r="K29" i="25" l="1"/>
  <c r="L28" i="25"/>
  <c r="K30" i="25" l="1"/>
  <c r="L30" i="25" s="1"/>
  <c r="L29" i="25"/>
  <c r="L31" i="25" l="1"/>
  <c r="B9" i="6" l="1"/>
  <c r="B6" i="6" l="1"/>
  <c r="B12" i="6" s="1"/>
  <c r="B10" i="6"/>
  <c r="B11" i="6"/>
  <c r="B13" i="6"/>
  <c r="B8" i="6"/>
  <c r="H87" i="2"/>
  <c r="H86" i="2"/>
  <c r="H85" i="2"/>
  <c r="H84" i="2"/>
  <c r="H81" i="2"/>
  <c r="H79" i="2"/>
  <c r="H78" i="2"/>
  <c r="H77" i="2"/>
  <c r="H76" i="2"/>
  <c r="H70" i="2"/>
  <c r="H69" i="2"/>
  <c r="H68" i="2"/>
  <c r="H64" i="2"/>
  <c r="H63" i="2"/>
  <c r="H62" i="2"/>
  <c r="H60" i="2"/>
  <c r="H59" i="2"/>
  <c r="M19" i="2"/>
  <c r="M18" i="2"/>
  <c r="M17" i="2"/>
  <c r="M16" i="2"/>
  <c r="M15" i="2"/>
  <c r="M14" i="2"/>
  <c r="M13" i="2"/>
  <c r="M12" i="2"/>
  <c r="M11" i="2"/>
  <c r="M10" i="2"/>
  <c r="M9" i="2"/>
  <c r="M8" i="2"/>
  <c r="M7" i="2"/>
  <c r="M6" i="2"/>
  <c r="M5" i="2"/>
  <c r="M4" i="2"/>
  <c r="M3" i="2"/>
  <c r="B14" i="6" l="1"/>
  <c r="X4" i="2" l="1"/>
  <c r="X5" i="2"/>
  <c r="X6" i="2"/>
  <c r="X7" i="2"/>
  <c r="X8" i="2"/>
  <c r="X9" i="2"/>
  <c r="X10" i="2"/>
  <c r="X11" i="2"/>
  <c r="X12" i="2"/>
  <c r="X13" i="2"/>
  <c r="X14" i="2"/>
  <c r="X15" i="2"/>
  <c r="X16" i="2"/>
  <c r="X17" i="2"/>
  <c r="X19" i="2"/>
  <c r="E21" i="2"/>
  <c r="B36" i="2"/>
  <c r="B35" i="2"/>
  <c r="B28" i="2"/>
  <c r="B30" i="2" s="1"/>
  <c r="H43" i="2"/>
  <c r="H44" i="2"/>
  <c r="H45" i="2"/>
  <c r="H46" i="2"/>
  <c r="H47" i="2"/>
  <c r="H48" i="2"/>
  <c r="H49" i="2"/>
  <c r="H50" i="2"/>
  <c r="H51" i="2"/>
  <c r="H52" i="2"/>
  <c r="H53" i="2"/>
  <c r="H42" i="2"/>
  <c r="B31" i="2" l="1"/>
  <c r="B37" i="2"/>
  <c r="I42" i="2" s="1"/>
  <c r="I52" i="2"/>
  <c r="I51" i="2"/>
  <c r="I50" i="2"/>
  <c r="I49" i="2"/>
  <c r="I53" i="2" l="1"/>
  <c r="J52" i="2"/>
  <c r="K52" i="2" s="1"/>
  <c r="J49" i="2"/>
  <c r="K49" i="2" s="1"/>
  <c r="J50" i="2"/>
  <c r="K50" i="2" s="1"/>
  <c r="J51" i="2"/>
  <c r="K51" i="2" s="1"/>
  <c r="J53" i="2"/>
  <c r="K53" i="2" s="1"/>
  <c r="J42" i="2"/>
  <c r="K42" i="2" s="1"/>
  <c r="I48" i="2"/>
  <c r="I65" i="2"/>
  <c r="I83" i="2"/>
  <c r="I63" i="2"/>
  <c r="I82" i="2"/>
  <c r="I59" i="2"/>
  <c r="I67" i="2"/>
  <c r="I66" i="2"/>
  <c r="I86" i="2"/>
  <c r="I85" i="2"/>
  <c r="I87" i="2"/>
  <c r="I68" i="2"/>
  <c r="I69" i="2"/>
  <c r="I70" i="2"/>
  <c r="I76" i="2"/>
  <c r="I77" i="2"/>
  <c r="I78" i="2"/>
  <c r="I60" i="2"/>
  <c r="I79" i="2"/>
  <c r="I80" i="2"/>
  <c r="I62" i="2"/>
  <c r="I81" i="2"/>
  <c r="I64" i="2"/>
  <c r="I84" i="2"/>
  <c r="I44" i="2"/>
  <c r="I45" i="2"/>
  <c r="I46" i="2"/>
  <c r="J46" i="2" s="1"/>
  <c r="I47" i="2"/>
  <c r="I43" i="2"/>
  <c r="J43" i="2" l="1"/>
  <c r="K43" i="2" s="1"/>
  <c r="J70" i="2"/>
  <c r="K70" i="2" s="1"/>
  <c r="M53" i="2"/>
  <c r="J47" i="2"/>
  <c r="K47" i="2" s="1"/>
  <c r="J69" i="2"/>
  <c r="K69" i="2" s="1"/>
  <c r="M52" i="2"/>
  <c r="K46" i="2"/>
  <c r="T46" i="2"/>
  <c r="U46" i="2" s="1"/>
  <c r="J68" i="2"/>
  <c r="K68" i="2" s="1"/>
  <c r="M51" i="2"/>
  <c r="J45" i="2"/>
  <c r="K45" i="2" s="1"/>
  <c r="J87" i="2"/>
  <c r="K87" i="2" s="1"/>
  <c r="R53" i="2"/>
  <c r="J44" i="2"/>
  <c r="K44" i="2" s="1"/>
  <c r="J85" i="2"/>
  <c r="K85" i="2" s="1"/>
  <c r="R51" i="2"/>
  <c r="J84" i="2"/>
  <c r="K84" i="2" s="1"/>
  <c r="R50" i="2"/>
  <c r="J86" i="2"/>
  <c r="K86" i="2" s="1"/>
  <c r="R52" i="2"/>
  <c r="J64" i="2"/>
  <c r="K64" i="2" s="1"/>
  <c r="M47" i="2"/>
  <c r="N47" i="2" s="1"/>
  <c r="J66" i="2"/>
  <c r="K66" i="2" s="1"/>
  <c r="M49" i="2"/>
  <c r="J81" i="2"/>
  <c r="K81" i="2" s="1"/>
  <c r="R47" i="2"/>
  <c r="S47" i="2" s="1"/>
  <c r="J67" i="2"/>
  <c r="K67" i="2" s="1"/>
  <c r="M50" i="2"/>
  <c r="J62" i="2"/>
  <c r="K62" i="2" s="1"/>
  <c r="M45" i="2"/>
  <c r="N45" i="2" s="1"/>
  <c r="J59" i="2"/>
  <c r="K59" i="2" s="1"/>
  <c r="J80" i="2"/>
  <c r="K80" i="2" s="1"/>
  <c r="R46" i="2"/>
  <c r="S46" i="2" s="1"/>
  <c r="J82" i="2"/>
  <c r="K82" i="2" s="1"/>
  <c r="R48" i="2"/>
  <c r="S48" i="2" s="1"/>
  <c r="J61" i="2"/>
  <c r="K61" i="2" s="1"/>
  <c r="M44" i="2"/>
  <c r="N44" i="2" s="1"/>
  <c r="J63" i="2"/>
  <c r="K63" i="2" s="1"/>
  <c r="M46" i="2"/>
  <c r="N46" i="2" s="1"/>
  <c r="J79" i="2"/>
  <c r="K79" i="2" s="1"/>
  <c r="R45" i="2"/>
  <c r="S45" i="2" s="1"/>
  <c r="J83" i="2"/>
  <c r="K83" i="2" s="1"/>
  <c r="R49" i="2"/>
  <c r="J60" i="2"/>
  <c r="K60" i="2" s="1"/>
  <c r="M43" i="2"/>
  <c r="N43" i="2" s="1"/>
  <c r="J65" i="2"/>
  <c r="K65" i="2" s="1"/>
  <c r="M48" i="2"/>
  <c r="N48" i="2" s="1"/>
  <c r="J78" i="2"/>
  <c r="K78" i="2" s="1"/>
  <c r="R44" i="2"/>
  <c r="S44" i="2" s="1"/>
  <c r="J48" i="2"/>
  <c r="K48" i="2" s="1"/>
  <c r="J77" i="2"/>
  <c r="K77" i="2" s="1"/>
  <c r="R43" i="2"/>
  <c r="S43" i="2" s="1"/>
  <c r="J76" i="2"/>
  <c r="K76" i="2" s="1"/>
  <c r="L4" i="2"/>
  <c r="W4" i="2" s="1"/>
  <c r="L5" i="2"/>
  <c r="W5" i="2" s="1"/>
  <c r="L6" i="2"/>
  <c r="W6" i="2" s="1"/>
  <c r="L7" i="2"/>
  <c r="W7" i="2" s="1"/>
  <c r="L8" i="2"/>
  <c r="W8" i="2" s="1"/>
  <c r="L9" i="2"/>
  <c r="W9" i="2" s="1"/>
  <c r="L10" i="2"/>
  <c r="W10" i="2" s="1"/>
  <c r="L11" i="2"/>
  <c r="W11" i="2" s="1"/>
  <c r="L12" i="2"/>
  <c r="W12" i="2" s="1"/>
  <c r="L13" i="2"/>
  <c r="W13" i="2" s="1"/>
  <c r="L14" i="2"/>
  <c r="W14" i="2" s="1"/>
  <c r="L15" i="2"/>
  <c r="W15" i="2" s="1"/>
  <c r="L16" i="2"/>
  <c r="W16" i="2" s="1"/>
  <c r="L17" i="2"/>
  <c r="W17" i="2" s="1"/>
  <c r="L18" i="2"/>
  <c r="L19" i="2"/>
  <c r="W19" i="2" s="1"/>
  <c r="L3" i="2"/>
  <c r="N4" i="2"/>
  <c r="N5" i="2"/>
  <c r="N6" i="2"/>
  <c r="N7" i="2"/>
  <c r="N8" i="2"/>
  <c r="N9" i="2"/>
  <c r="N10" i="2"/>
  <c r="N11" i="2"/>
  <c r="N12" i="2"/>
  <c r="N13" i="2"/>
  <c r="N14" i="2"/>
  <c r="N15" i="2"/>
  <c r="N16" i="2"/>
  <c r="N17" i="2"/>
  <c r="N18" i="2"/>
  <c r="N19" i="2"/>
  <c r="N3" i="2"/>
  <c r="J4" i="2"/>
  <c r="J5" i="2"/>
  <c r="J6" i="2"/>
  <c r="J7" i="2"/>
  <c r="J8" i="2"/>
  <c r="J9" i="2"/>
  <c r="J10" i="2"/>
  <c r="J11" i="2"/>
  <c r="J12" i="2"/>
  <c r="J13" i="2"/>
  <c r="J14" i="2"/>
  <c r="J15" i="2"/>
  <c r="J16" i="2"/>
  <c r="J17" i="2"/>
  <c r="J18" i="2"/>
  <c r="J19" i="2"/>
  <c r="J3" i="2"/>
  <c r="K4" i="2"/>
  <c r="O4" i="2" s="1"/>
  <c r="K5" i="2"/>
  <c r="K6" i="2"/>
  <c r="K7" i="2"/>
  <c r="K8" i="2"/>
  <c r="K9" i="2"/>
  <c r="K10" i="2"/>
  <c r="K11" i="2"/>
  <c r="K12" i="2"/>
  <c r="K13" i="2"/>
  <c r="K14" i="2"/>
  <c r="K15" i="2"/>
  <c r="O15" i="2" s="1"/>
  <c r="K16" i="2"/>
  <c r="K17" i="2"/>
  <c r="K18" i="2"/>
  <c r="K19" i="2"/>
  <c r="O19" i="2" s="1"/>
  <c r="K3" i="2"/>
  <c r="O3" i="2" s="1"/>
  <c r="D20" i="2"/>
  <c r="D22" i="2" s="1"/>
  <c r="E19" i="2"/>
  <c r="E18" i="2"/>
  <c r="E17" i="2"/>
  <c r="E16" i="2"/>
  <c r="E15" i="2"/>
  <c r="E14" i="2"/>
  <c r="E13" i="2"/>
  <c r="E12" i="2"/>
  <c r="E11" i="2"/>
  <c r="E10" i="2"/>
  <c r="E9" i="2"/>
  <c r="E8" i="2"/>
  <c r="E7" i="2"/>
  <c r="E6" i="2"/>
  <c r="E5" i="2"/>
  <c r="E4" i="2"/>
  <c r="E3" i="2"/>
  <c r="T48" i="2" l="1"/>
  <c r="U48" i="2" s="1"/>
  <c r="J20" i="2"/>
  <c r="X3" i="2"/>
  <c r="W3" i="2"/>
  <c r="W18" i="2"/>
  <c r="X18" i="2"/>
  <c r="O48" i="2"/>
  <c r="P48" i="2" s="1"/>
  <c r="O46" i="2"/>
  <c r="P46" i="2" s="1"/>
  <c r="T47" i="2"/>
  <c r="U47" i="2" s="1"/>
  <c r="N51" i="2"/>
  <c r="O51" i="2"/>
  <c r="P51" i="2" s="1"/>
  <c r="S50" i="2"/>
  <c r="T50" i="2"/>
  <c r="U50" i="2" s="1"/>
  <c r="S52" i="2"/>
  <c r="T52" i="2"/>
  <c r="U52" i="2" s="1"/>
  <c r="N52" i="2"/>
  <c r="O52" i="2"/>
  <c r="P52" i="2" s="1"/>
  <c r="O42" i="2"/>
  <c r="S51" i="2"/>
  <c r="T51" i="2"/>
  <c r="U51" i="2" s="1"/>
  <c r="O47" i="2"/>
  <c r="P47" i="2" s="1"/>
  <c r="O44" i="2"/>
  <c r="P44" i="2" s="1"/>
  <c r="T44" i="2"/>
  <c r="U44" i="2" s="1"/>
  <c r="S49" i="2"/>
  <c r="T49" i="2"/>
  <c r="U49" i="2" s="1"/>
  <c r="N50" i="2"/>
  <c r="O50" i="2"/>
  <c r="P50" i="2" s="1"/>
  <c r="N53" i="2"/>
  <c r="O53" i="2"/>
  <c r="P53" i="2" s="1"/>
  <c r="S53" i="2"/>
  <c r="T53" i="2"/>
  <c r="U53" i="2" s="1"/>
  <c r="O43" i="2"/>
  <c r="P43" i="2" s="1"/>
  <c r="S42" i="2"/>
  <c r="T42" i="2"/>
  <c r="U42" i="2" s="1"/>
  <c r="O45" i="2"/>
  <c r="P45" i="2" s="1"/>
  <c r="T43" i="2"/>
  <c r="U43" i="2" s="1"/>
  <c r="N49" i="2"/>
  <c r="O49" i="2"/>
  <c r="P49" i="2" s="1"/>
  <c r="T45" i="2"/>
  <c r="U45" i="2" s="1"/>
  <c r="O17" i="2"/>
  <c r="T17" i="2" s="1"/>
  <c r="O5" i="2"/>
  <c r="T5" i="2" s="1"/>
  <c r="U4" i="2"/>
  <c r="O6" i="2"/>
  <c r="T6" i="2" s="1"/>
  <c r="O7" i="2"/>
  <c r="Q7" i="2" s="1"/>
  <c r="Q19" i="2"/>
  <c r="O18" i="2"/>
  <c r="T18" i="2" s="1"/>
  <c r="Q18" i="2"/>
  <c r="O10" i="2"/>
  <c r="Q10" i="2" s="1"/>
  <c r="O9" i="2"/>
  <c r="Q9" i="2" s="1"/>
  <c r="O8" i="2"/>
  <c r="Q8" i="2" s="1"/>
  <c r="T15" i="2"/>
  <c r="U15" i="2"/>
  <c r="Q15" i="2"/>
  <c r="O12" i="2"/>
  <c r="O14" i="2"/>
  <c r="O11" i="2"/>
  <c r="O13" i="2"/>
  <c r="K20" i="2"/>
  <c r="N20" i="2"/>
  <c r="O16" i="2"/>
  <c r="M20" i="2"/>
  <c r="E20" i="2"/>
  <c r="T4" i="2" l="1"/>
  <c r="U5" i="2"/>
  <c r="U17" i="2"/>
  <c r="Q5" i="2"/>
  <c r="Q6" i="2"/>
  <c r="Q17" i="2"/>
  <c r="U6" i="2"/>
  <c r="Q4" i="2"/>
  <c r="U7" i="2"/>
  <c r="U18" i="2"/>
  <c r="U19" i="2"/>
  <c r="T7" i="2"/>
  <c r="T19" i="2"/>
  <c r="U9" i="2"/>
  <c r="U10" i="2"/>
  <c r="T8" i="2"/>
  <c r="U8" i="2"/>
  <c r="T9" i="2"/>
  <c r="T10" i="2"/>
  <c r="T3" i="2"/>
  <c r="Q3" i="2"/>
  <c r="U3" i="2"/>
  <c r="Q11" i="2"/>
  <c r="T11" i="2"/>
  <c r="U11" i="2"/>
  <c r="T13" i="2"/>
  <c r="U13" i="2"/>
  <c r="Q13" i="2"/>
  <c r="T14" i="2"/>
  <c r="U14" i="2"/>
  <c r="Q14" i="2"/>
  <c r="T12" i="2"/>
  <c r="U12" i="2"/>
  <c r="Q12" i="2"/>
  <c r="T16" i="2"/>
  <c r="U16" i="2"/>
  <c r="Q16" i="2"/>
  <c r="O20" i="2"/>
  <c r="U20" i="2" l="1"/>
  <c r="Q20" i="2"/>
  <c r="T20" i="2"/>
  <c r="AD165" i="25" l="1"/>
  <c r="AD167" i="25" l="1"/>
  <c r="T155" i="25" l="1"/>
  <c r="V155" i="25" l="1"/>
  <c r="Z155" i="25" s="1"/>
  <c r="R155" i="25" l="1"/>
  <c r="X155" i="25"/>
  <c r="U156" i="25" l="1"/>
  <c r="Y155" i="25"/>
  <c r="AA155" i="25"/>
  <c r="AE155" i="25" s="1"/>
  <c r="R156" i="25" l="1"/>
  <c r="V156" i="25"/>
  <c r="Z156" i="25" s="1"/>
  <c r="U157" i="25" l="1"/>
  <c r="AA156" i="25"/>
  <c r="AE156" i="25" s="1"/>
  <c r="Y156" i="25"/>
  <c r="X156" i="25"/>
  <c r="V157" i="25" l="1"/>
  <c r="Z157" i="25" s="1"/>
  <c r="R157" i="25"/>
  <c r="U158" i="25" l="1"/>
  <c r="Y157" i="25"/>
  <c r="AA157" i="25"/>
  <c r="AE157" i="25" s="1"/>
  <c r="X157" i="25"/>
  <c r="V158" i="25" l="1"/>
  <c r="X158" i="25" s="1"/>
  <c r="R158" i="25"/>
  <c r="Y158" i="25" l="1"/>
  <c r="AA158" i="25"/>
  <c r="AE158" i="25" s="1"/>
  <c r="Z158" i="25"/>
  <c r="U162" i="25"/>
  <c r="V162" i="25" l="1"/>
  <c r="AA162" i="25" s="1"/>
  <c r="R162" i="25"/>
  <c r="AA245" i="25" l="1"/>
  <c r="AE162" i="25"/>
  <c r="X162" i="25"/>
  <c r="Y162" i="25"/>
  <c r="Z162" i="25"/>
  <c r="Z245" i="25" s="1"/>
  <c r="AV4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tc={25163B7B-B220-4829-9B49-853E54928262}</author>
  </authors>
  <commentList>
    <comment ref="AN2" authorId="0" shapeId="0" xr:uid="{25163B7B-B220-4829-9B49-853E54928262}">
      <text>
        <t xml:space="preserve">[Threaded comment]
Your version of Excel allows you to read this threaded comment; however, any edits to it will get removed if the file is opened in a newer version of Excel. Learn more: https://go.microsoft.com/fwlink/?linkid=870924
Comment:
    This is Growing length not the count of Growing chambers. 
Number of growing chamber will be counted on the spacing between them.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tc={BD8EE60A-44A9-4C8C-ADB6-347DA0831714}</author>
  </authors>
  <commentList>
    <comment ref="E120" authorId="0" shapeId="0" xr:uid="{BD8EE60A-44A9-4C8C-ADB6-347DA0831714}">
      <text>
        <t xml:space="preserve">[Threaded comment]
Your version of Excel allows you to read this threaded comment; however, any edits to it will get removed if the file is opened in a newer version of Excel. Learn more: https://go.microsoft.com/fwlink/?linkid=870924
Comment:
    Ye final hai amit sir ki taraf se
Reply:
    Ab nahi hai final, Tank ki capacity kam karni hai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tc={71BE635E-3034-4D0A-897F-76E9A6DCC2D5}</author>
  </authors>
  <commentList>
    <comment ref="B15" authorId="0" shapeId="0" xr:uid="{71BE635E-3034-4D0A-897F-76E9A6DCC2D5}">
      <text>
        <t xml:space="preserve">[Threaded comment]
Your version of Excel allows you to read this threaded comment; however, any edits to it will get removed if the file is opened in a newer version of Excel. Learn more: https://go.microsoft.com/fwlink/?linkid=870924
Comment:
    these are yet to be put up here.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tc={6839EB78-933F-4DD5-B55E-D71D015693EB}</author>
  </authors>
  <commentList>
    <comment ref="C58" authorId="0" shapeId="0" xr:uid="{6839EB78-933F-4DD5-B55E-D71D015693EB}">
      <text>
        <t xml:space="preserve">[Threaded comment]
Your version of Excel allows you to read this threaded comment; however, any edits to it will get removed if the file is opened in a newer version of Excel. Learn more: https://go.microsoft.com/fwlink/?linkid=870924
Comment:
    @priyam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<sst xmlns="http://schemas.openxmlformats.org/spreadsheetml/2006/main" count="9206" uniqueCount="1687">
  <si>
    <t xml:space="preserve">Land </t>
  </si>
  <si>
    <t>SN</t>
  </si>
  <si>
    <t>Unit</t>
  </si>
  <si>
    <t>V6</t>
  </si>
  <si>
    <t xml:space="preserve">Land Optimisation </t>
  </si>
  <si>
    <t>Area in SqM</t>
  </si>
  <si>
    <t>Area in Acre</t>
  </si>
  <si>
    <t xml:space="preserve">Sr No. </t>
  </si>
  <si>
    <t>Entity</t>
  </si>
  <si>
    <t xml:space="preserve">Area </t>
  </si>
  <si>
    <t xml:space="preserve">Percentage of Total Area </t>
  </si>
  <si>
    <t>North</t>
  </si>
  <si>
    <t>A</t>
  </si>
  <si>
    <t>PH-A</t>
  </si>
  <si>
    <t>B</t>
  </si>
  <si>
    <t>PH-B</t>
  </si>
  <si>
    <t>C</t>
  </si>
  <si>
    <t>PH-C</t>
  </si>
  <si>
    <t>D</t>
  </si>
  <si>
    <t>PH-D</t>
  </si>
  <si>
    <t>E</t>
  </si>
  <si>
    <t>PH-E</t>
  </si>
  <si>
    <t>F</t>
  </si>
  <si>
    <t>PH-F</t>
  </si>
  <si>
    <t>G</t>
  </si>
  <si>
    <t>PH-G</t>
  </si>
  <si>
    <t xml:space="preserve">South </t>
  </si>
  <si>
    <t>H</t>
  </si>
  <si>
    <t>PH-H</t>
  </si>
  <si>
    <t>I</t>
  </si>
  <si>
    <t>PH-I</t>
  </si>
  <si>
    <t>J</t>
  </si>
  <si>
    <t>PH-J</t>
  </si>
  <si>
    <t>K</t>
  </si>
  <si>
    <t>PH-K</t>
  </si>
  <si>
    <t>L</t>
  </si>
  <si>
    <t>PH-L</t>
  </si>
  <si>
    <t>M</t>
  </si>
  <si>
    <t>PH-M</t>
  </si>
  <si>
    <t>N</t>
  </si>
  <si>
    <t>PH-N</t>
  </si>
  <si>
    <t xml:space="preserve">Additional </t>
  </si>
  <si>
    <t>O</t>
  </si>
  <si>
    <t>PH-O</t>
  </si>
  <si>
    <t>Total</t>
  </si>
  <si>
    <t>Rest Area-1</t>
  </si>
  <si>
    <t>Total Land</t>
  </si>
  <si>
    <t>Rest Area-2</t>
  </si>
  <si>
    <t xml:space="preserve">Effieciency </t>
  </si>
  <si>
    <t>Rest Area-3</t>
  </si>
  <si>
    <t xml:space="preserve">Canteen </t>
  </si>
  <si>
    <t>Toilet-1</t>
  </si>
  <si>
    <t>Toilet-2</t>
  </si>
  <si>
    <t>Toilet-3</t>
  </si>
  <si>
    <t>Toilet-4</t>
  </si>
  <si>
    <t xml:space="preserve">Fertiliser Store + Fertigation Room </t>
  </si>
  <si>
    <t xml:space="preserve">RO System </t>
  </si>
  <si>
    <t>Zinc Tank-1</t>
  </si>
  <si>
    <t>Zinc Tank-2</t>
  </si>
  <si>
    <t>Zinc Tank-3</t>
  </si>
  <si>
    <t>Zinc Tank-4</t>
  </si>
  <si>
    <t>Zinc Tank-5</t>
  </si>
  <si>
    <t>Zinc Tank-6</t>
  </si>
  <si>
    <t>Zinc Tank-7</t>
  </si>
  <si>
    <t>Zinc Tank-8</t>
  </si>
  <si>
    <t>Zinc Tank-9</t>
  </si>
  <si>
    <t>Zinc Tank-10</t>
  </si>
  <si>
    <t xml:space="preserve">Warehouse </t>
  </si>
  <si>
    <t xml:space="preserve">Office Space </t>
  </si>
  <si>
    <t>Pond-1</t>
  </si>
  <si>
    <t>Pond-2</t>
  </si>
  <si>
    <t>Pond-3</t>
  </si>
  <si>
    <t>Pond-4</t>
  </si>
  <si>
    <t xml:space="preserve">Cemented Tanks </t>
  </si>
  <si>
    <t xml:space="preserve">Area for Switch Yard </t>
  </si>
  <si>
    <t>Area for TF, MP and DG</t>
  </si>
  <si>
    <t xml:space="preserve">IoT room </t>
  </si>
  <si>
    <t xml:space="preserve">Guard Room </t>
  </si>
  <si>
    <t xml:space="preserve">Loading Unloading Zone </t>
  </si>
  <si>
    <t xml:space="preserve">Total Area </t>
  </si>
  <si>
    <t xml:space="preserve">Polyhouse Area </t>
  </si>
  <si>
    <t xml:space="preserve">Area Used in Amnities </t>
  </si>
  <si>
    <t xml:space="preserve">Open Area </t>
  </si>
  <si>
    <t xml:space="preserve">Note: Road and Drainage area is not considered here. </t>
  </si>
  <si>
    <t xml:space="preserve">Sr. No. </t>
  </si>
  <si>
    <t xml:space="preserve">Unit </t>
  </si>
  <si>
    <t>Total No. of Domes</t>
  </si>
  <si>
    <t xml:space="preserve">Hockey Space </t>
  </si>
  <si>
    <t>Total length (E-W)</t>
  </si>
  <si>
    <t xml:space="preserve">Domes in Longer Width </t>
  </si>
  <si>
    <t xml:space="preserve">Domes in Shorter Width </t>
  </si>
  <si>
    <t>Longer Width (N-S)</t>
  </si>
  <si>
    <t>Shorter Width (N-S)</t>
  </si>
  <si>
    <t>Polyhouse Area</t>
  </si>
  <si>
    <t>Growing Area</t>
  </si>
  <si>
    <t xml:space="preserve">Gutter Foundations </t>
  </si>
  <si>
    <t>Internal Foundation</t>
  </si>
  <si>
    <t xml:space="preserve">Total Foundation </t>
  </si>
  <si>
    <t>Hockey Foundations</t>
  </si>
  <si>
    <t>ACF</t>
  </si>
  <si>
    <t>Weedmat 4M</t>
  </si>
  <si>
    <t>Weemat 2.5M</t>
  </si>
  <si>
    <t xml:space="preserve">4.2 M Rolls </t>
  </si>
  <si>
    <t xml:space="preserve">2.6 M Rolls </t>
  </si>
  <si>
    <t xml:space="preserve">Length of 4.4 Mtr Wide Aluminate </t>
  </si>
  <si>
    <t xml:space="preserve">Qty </t>
  </si>
  <si>
    <t xml:space="preserve">Growing length </t>
  </si>
  <si>
    <t>Downtake pipe (5.5M)</t>
  </si>
  <si>
    <t xml:space="preserve">Elbow 45 Degree </t>
  </si>
  <si>
    <t>Elbow 90 Degree</t>
  </si>
  <si>
    <t xml:space="preserve">Required Data </t>
  </si>
  <si>
    <t>Pipe Sizes</t>
  </si>
  <si>
    <t>Sr. No</t>
  </si>
  <si>
    <t xml:space="preserve">Dataset </t>
  </si>
  <si>
    <t xml:space="preserve">Value </t>
  </si>
  <si>
    <t xml:space="preserve">Plants in 1 Coco Slab </t>
  </si>
  <si>
    <t xml:space="preserve">Water Requirement Per Plant </t>
  </si>
  <si>
    <t xml:space="preserve">Dripper Flow </t>
  </si>
  <si>
    <t xml:space="preserve">No of Dripper in 1 Mtr Length </t>
  </si>
  <si>
    <t xml:space="preserve">Extra Dripper per Slab in N-S Direction </t>
  </si>
  <si>
    <t xml:space="preserve">Extra Dripper per Slab in E-W Direction </t>
  </si>
  <si>
    <t xml:space="preserve">Irrigation Start Time </t>
  </si>
  <si>
    <t xml:space="preserve">Peak Irrigation Start Time </t>
  </si>
  <si>
    <t xml:space="preserve">Peak Irrigation End Time </t>
  </si>
  <si>
    <t xml:space="preserve">Irrigation End Time </t>
  </si>
  <si>
    <t>Hockey space</t>
  </si>
  <si>
    <t>Irrigation Zones</t>
  </si>
  <si>
    <t>No of Coco Slabs (1 Mtr Length) in unit</t>
  </si>
  <si>
    <t>Plants in 1 coco-slab</t>
  </si>
  <si>
    <t xml:space="preserve">No of Plants </t>
  </si>
  <si>
    <t>Plants in 1 Sqm Area</t>
  </si>
  <si>
    <t>Water Requirement (Per Plant)</t>
  </si>
  <si>
    <t>Water Requirement (Per Day)</t>
  </si>
  <si>
    <t>Dripper Flow</t>
  </si>
  <si>
    <t>Drippers in 1 Mtr Length</t>
  </si>
  <si>
    <t xml:space="preserve">Extra Dripper in N-S Direction / Slab </t>
  </si>
  <si>
    <t>Extra Dripper in E-W Direction/ Slab</t>
  </si>
  <si>
    <t>No of drippers per unit</t>
  </si>
  <si>
    <t>Total Dripper Flow</t>
  </si>
  <si>
    <t xml:space="preserve">Time Required to fulfil the water requirement </t>
  </si>
  <si>
    <t>Period-1</t>
  </si>
  <si>
    <t>Period-2</t>
  </si>
  <si>
    <t>Period-3</t>
  </si>
  <si>
    <t>Main Line Length If in Centre</t>
  </si>
  <si>
    <t>Main Line Length If opposite to Entry room</t>
  </si>
  <si>
    <t xml:space="preserve">to </t>
  </si>
  <si>
    <t>Water Requirement Per Plant</t>
  </si>
  <si>
    <t xml:space="preserve">Running Hours </t>
  </si>
  <si>
    <t xml:space="preserve">Cycle Time </t>
  </si>
  <si>
    <t>Total Irrigation Cycles Per Day</t>
  </si>
  <si>
    <t>Length of lateral</t>
  </si>
  <si>
    <t>A1</t>
  </si>
  <si>
    <t>B1</t>
  </si>
  <si>
    <t>B2</t>
  </si>
  <si>
    <t>C1</t>
  </si>
  <si>
    <t>D1</t>
  </si>
  <si>
    <t>D2</t>
  </si>
  <si>
    <t>E1</t>
  </si>
  <si>
    <t>E2</t>
  </si>
  <si>
    <t>F1</t>
  </si>
  <si>
    <t>F2</t>
  </si>
  <si>
    <t>G1</t>
  </si>
  <si>
    <t>G2</t>
  </si>
  <si>
    <t>H1</t>
  </si>
  <si>
    <t>H2</t>
  </si>
  <si>
    <t>I1</t>
  </si>
  <si>
    <t>I2</t>
  </si>
  <si>
    <t>J1</t>
  </si>
  <si>
    <t>J2</t>
  </si>
  <si>
    <t>K1</t>
  </si>
  <si>
    <t>L1</t>
  </si>
  <si>
    <t>M1</t>
  </si>
  <si>
    <t>M2</t>
  </si>
  <si>
    <t>N1</t>
  </si>
  <si>
    <t>N2</t>
  </si>
  <si>
    <t>O1</t>
  </si>
  <si>
    <t>O2</t>
  </si>
  <si>
    <t>Valve Configuration</t>
  </si>
  <si>
    <t xml:space="preserve">Machine </t>
  </si>
  <si>
    <t>Valve</t>
  </si>
  <si>
    <t>Irrigation Zone-1</t>
  </si>
  <si>
    <t>Irrigation Zone-2</t>
  </si>
  <si>
    <t>Irrigation Zone-3</t>
  </si>
  <si>
    <t>Irrigation Zone-4</t>
  </si>
  <si>
    <t>No of drippers per Valve</t>
  </si>
  <si>
    <t xml:space="preserve">CocoSlab </t>
  </si>
  <si>
    <t>V2</t>
  </si>
  <si>
    <t>V4</t>
  </si>
  <si>
    <t>V5</t>
  </si>
  <si>
    <t>V7</t>
  </si>
  <si>
    <t>V8</t>
  </si>
  <si>
    <t>V9</t>
  </si>
  <si>
    <t>V10</t>
  </si>
  <si>
    <t>V13</t>
  </si>
  <si>
    <t>V14</t>
  </si>
  <si>
    <t>V15</t>
  </si>
  <si>
    <t>V16</t>
  </si>
  <si>
    <t>P1</t>
  </si>
  <si>
    <t>P2</t>
  </si>
  <si>
    <t>V1</t>
  </si>
  <si>
    <t>V3</t>
  </si>
  <si>
    <t>V11</t>
  </si>
  <si>
    <t>V12</t>
  </si>
  <si>
    <t>Machine Configuration</t>
  </si>
  <si>
    <t xml:space="preserve">No of irri. Units </t>
  </si>
  <si>
    <t xml:space="preserve">No of Valves </t>
  </si>
  <si>
    <t>Units Covered</t>
  </si>
  <si>
    <t>Area Covered</t>
  </si>
  <si>
    <t>Maximum Flow</t>
  </si>
  <si>
    <t>Minimum Flow</t>
  </si>
  <si>
    <t xml:space="preserve">Continuous Cycle time </t>
  </si>
  <si>
    <t xml:space="preserve">Period-1 </t>
  </si>
  <si>
    <t>Drippers</t>
  </si>
  <si>
    <t xml:space="preserve">Length </t>
  </si>
  <si>
    <t>Dripline</t>
  </si>
  <si>
    <t>Cocoslab</t>
  </si>
  <si>
    <t xml:space="preserve">If Line is at centre or near to entry gate </t>
  </si>
  <si>
    <t>If Line is not at centre or near to entry gate</t>
  </si>
  <si>
    <t>Valve  No</t>
  </si>
  <si>
    <t>Flow</t>
  </si>
  <si>
    <t>Submain length</t>
  </si>
  <si>
    <t>OD</t>
  </si>
  <si>
    <t>ID</t>
  </si>
  <si>
    <t>Head Loss</t>
  </si>
  <si>
    <t xml:space="preserve">Main Line Length </t>
  </si>
  <si>
    <t>Plants in 1 Netcup</t>
  </si>
  <si>
    <t xml:space="preserve">Fogger Flow </t>
  </si>
  <si>
    <t xml:space="preserve">No of Fogger per netcup </t>
  </si>
  <si>
    <t xml:space="preserve">Extra fogger at ends </t>
  </si>
  <si>
    <t xml:space="preserve">Fogger On time </t>
  </si>
  <si>
    <t xml:space="preserve">Fogger Off time </t>
  </si>
  <si>
    <t>Cycle Time</t>
  </si>
  <si>
    <t>No of Netcups</t>
  </si>
  <si>
    <t>Fogger Flow</t>
  </si>
  <si>
    <t>No of fogger per Netcup</t>
  </si>
  <si>
    <t xml:space="preserve">Extra Foggers at ends </t>
  </si>
  <si>
    <t>No of Foggers per unit</t>
  </si>
  <si>
    <t xml:space="preserve">Total Fogger Flow </t>
  </si>
  <si>
    <t xml:space="preserve">Cycles in 1 Hr </t>
  </si>
  <si>
    <t xml:space="preserve">Water requirement </t>
  </si>
  <si>
    <t xml:space="preserve">Drainage </t>
  </si>
  <si>
    <t xml:space="preserve">Recollection Tank </t>
  </si>
  <si>
    <t xml:space="preserve">Water Qty 1 cycle </t>
  </si>
  <si>
    <t xml:space="preserve">Water Qty 1 Hr </t>
  </si>
  <si>
    <t>Drain Percent</t>
  </si>
  <si>
    <t>Water Qty 1 hr</t>
  </si>
  <si>
    <t>Water Qty 6 Hr</t>
  </si>
  <si>
    <t xml:space="preserve">Tank Size </t>
  </si>
  <si>
    <t xml:space="preserve">Required Volume </t>
  </si>
  <si>
    <t>Freeboard from GL</t>
  </si>
  <si>
    <t>Total Depth (inlcuding Freeboard)</t>
  </si>
  <si>
    <t>Width</t>
  </si>
  <si>
    <t>Length of Pipe</t>
  </si>
  <si>
    <t>Total Drainage in 1 day</t>
  </si>
  <si>
    <t>Tank Capcity</t>
  </si>
  <si>
    <t xml:space="preserve">Volume </t>
  </si>
  <si>
    <t xml:space="preserve">Effective Depth </t>
  </si>
  <si>
    <t>Calculated Length</t>
  </si>
  <si>
    <t>Length</t>
  </si>
  <si>
    <t>Type</t>
  </si>
  <si>
    <t>Excavation</t>
  </si>
  <si>
    <t>Type-2</t>
  </si>
  <si>
    <t>Type-4</t>
  </si>
  <si>
    <t>Type-1</t>
  </si>
  <si>
    <t>Type-3</t>
  </si>
  <si>
    <t>Type-5</t>
  </si>
  <si>
    <t>No of Foggers per Valve</t>
  </si>
  <si>
    <t>Total Fogger Flow</t>
  </si>
  <si>
    <t>Drain in 1 Hr</t>
  </si>
  <si>
    <t>Drain in 6 Hr</t>
  </si>
  <si>
    <t>V17</t>
  </si>
  <si>
    <t>V18</t>
  </si>
  <si>
    <t>V19</t>
  </si>
  <si>
    <t>V20</t>
  </si>
  <si>
    <t>V21</t>
  </si>
  <si>
    <t>V22</t>
  </si>
  <si>
    <t>V23</t>
  </si>
  <si>
    <t>V24</t>
  </si>
  <si>
    <t>V25</t>
  </si>
  <si>
    <t>V26</t>
  </si>
  <si>
    <t xml:space="preserve">Cycle time </t>
  </si>
  <si>
    <t>No. of cycles per Hr</t>
  </si>
  <si>
    <t xml:space="preserve">Run Time in 1 Cycle </t>
  </si>
  <si>
    <t xml:space="preserve">Off time in 1 cycle </t>
  </si>
  <si>
    <t>Total on Time in 1 hr</t>
  </si>
  <si>
    <t xml:space="preserve">Total off time </t>
  </si>
  <si>
    <t>Drain Qty 1 Hr</t>
  </si>
  <si>
    <t>Drain Qty 6 Hr</t>
  </si>
  <si>
    <t xml:space="preserve"> </t>
  </si>
  <si>
    <t xml:space="preserve">Tank Volume </t>
  </si>
  <si>
    <t>Tank Width</t>
  </si>
  <si>
    <t xml:space="preserve">Actual Depth </t>
  </si>
  <si>
    <t>Surface Area</t>
  </si>
  <si>
    <t>Volume</t>
  </si>
  <si>
    <t xml:space="preserve">Excavation Depth </t>
  </si>
  <si>
    <t>P</t>
  </si>
  <si>
    <t xml:space="preserve">Flow Required </t>
  </si>
  <si>
    <t>Volume in 1 Hr</t>
  </si>
  <si>
    <t>Tank Size</t>
  </si>
  <si>
    <t>Pump Flow Required</t>
  </si>
  <si>
    <t>Flow in LPS</t>
  </si>
  <si>
    <t xml:space="preserve">Pump Model </t>
  </si>
  <si>
    <t>Pump Power</t>
  </si>
  <si>
    <t>KDS-1065</t>
  </si>
  <si>
    <t>KDS-3068</t>
  </si>
  <si>
    <t>KDS-1360</t>
  </si>
  <si>
    <t>KDS-2560</t>
  </si>
  <si>
    <t>KDS-1570</t>
  </si>
  <si>
    <t xml:space="preserve">Main Pump </t>
  </si>
  <si>
    <t>KDS-2050</t>
  </si>
  <si>
    <t xml:space="preserve">Supply Pump </t>
  </si>
  <si>
    <t>KS-810</t>
  </si>
  <si>
    <t xml:space="preserve">Water Requirement </t>
  </si>
  <si>
    <t>Phase</t>
  </si>
  <si>
    <t>Type of Structure</t>
  </si>
  <si>
    <t>Number of Plants</t>
  </si>
  <si>
    <t>Irri. Water Per Plant</t>
  </si>
  <si>
    <t xml:space="preserve">Irri. Water Per Day </t>
  </si>
  <si>
    <t>Fogger</t>
  </si>
  <si>
    <t xml:space="preserve">Sprinkler </t>
  </si>
  <si>
    <t xml:space="preserve">Cooling Pad </t>
  </si>
  <si>
    <t>NVPH</t>
  </si>
  <si>
    <t>-</t>
  </si>
  <si>
    <t>Dripjets</t>
  </si>
  <si>
    <t>2 Tank 800KL</t>
  </si>
  <si>
    <t xml:space="preserve">Irrigation Tank </t>
  </si>
  <si>
    <t>RO Flow</t>
  </si>
  <si>
    <t>Running Hours</t>
  </si>
  <si>
    <t>*1 Tank 800 KL</t>
  </si>
  <si>
    <t>Primary Ro Irri.</t>
  </si>
  <si>
    <t>Refuse from Irrigation</t>
  </si>
  <si>
    <t xml:space="preserve">Secondary Ro Irri. </t>
  </si>
  <si>
    <t>RO</t>
  </si>
  <si>
    <t>Qty</t>
  </si>
  <si>
    <t xml:space="preserve">Raw  Water </t>
  </si>
  <si>
    <t>Primary Irri.</t>
  </si>
  <si>
    <t>*400 KL x 1Tank</t>
  </si>
  <si>
    <t xml:space="preserve">Primary Refuse Tank </t>
  </si>
  <si>
    <t xml:space="preserve">Secondary Refuse Tank </t>
  </si>
  <si>
    <t>1 Tank 400 KL</t>
  </si>
  <si>
    <t xml:space="preserve">Sprinkler in units </t>
  </si>
  <si>
    <t>Secondary Irri.</t>
  </si>
  <si>
    <t xml:space="preserve">Primary Fogger </t>
  </si>
  <si>
    <t>Primary Ro Fogger</t>
  </si>
  <si>
    <t xml:space="preserve">Refuse from Fogger </t>
  </si>
  <si>
    <t>Secondary Ro Fogger</t>
  </si>
  <si>
    <t xml:space="preserve">Secondary Fogger </t>
  </si>
  <si>
    <t xml:space="preserve">Annual Water Calcuation </t>
  </si>
  <si>
    <t xml:space="preserve">Fogger Tank </t>
  </si>
  <si>
    <t>1 Tank 800 KL</t>
  </si>
  <si>
    <t xml:space="preserve">Fogger Tank @ Units </t>
  </si>
  <si>
    <t>e</t>
  </si>
  <si>
    <t>Category</t>
  </si>
  <si>
    <t>Size</t>
  </si>
  <si>
    <t>Quantity</t>
  </si>
  <si>
    <t>Description/ Requirement</t>
  </si>
  <si>
    <t xml:space="preserve">Space Consideration </t>
  </si>
  <si>
    <t xml:space="preserve">Remark </t>
  </si>
  <si>
    <t>Land</t>
  </si>
  <si>
    <t xml:space="preserve">▪ Land boundry is considered using DGPS survey data. 
▪ Levels are considered using the Drone Survey Data. 
▪ No obstcales (Tree, Hutment, Building etc.) will be there inside farm boundry. </t>
  </si>
  <si>
    <t xml:space="preserve">▪ Existing Canal or drain that is crossing through the farm has to be re-routed.
▪Trees which are there inside farm boundry will have to be removed. 
▪ Existing hutment or any building present inside farm boundry will be removed.
▪  Electical line passing through the farm has to be rerouted. </t>
  </si>
  <si>
    <t xml:space="preserve">Polyhouse </t>
  </si>
  <si>
    <t>Varies</t>
  </si>
  <si>
    <t xml:space="preserve">▪ Polyhouse Gutter Height 5.5M and Top Height 8M, Top vent 1.2 M (minimum). 
▪ Grid size 8M x 4M.
▪ Gutter Slope: A 1% slope is required. If a polyhouse length (N-S, Parallel to the gutter) exceeds 56 meters, slopes will be on the north and south on both sides; otherwise, the slope can be on one side, either north or south depending on the drainage. 
▪ If a polyhouse length (N-S, Parallel to the gutter) exceeds 56 meters, 2 Entry doors will be provided on the East and West sides of the polyhouse facing each other and there will be the provision of a 3-meter wide road for the tractor, connecting both gates else Normal Entry doors will be provided for Human entry. 
▪ Trellising Height 3 Meters, Fogger Height 5.3 Meters and Aluminate Height 5.4 Meters. 
▪ Hockey/ Balcony: 3 M on each sides. </t>
  </si>
  <si>
    <t>▪ Maximum length and width of polyhouse is 102 M.
▪ Spacing between 2 Polyhouse is 11 M. 
▪ Minimum space between polyhouse and bund is 6 M.
▪ Minimum Space Between the road and Polyhouse is 2 M.</t>
  </si>
  <si>
    <t xml:space="preserve">Polyhouse Levels </t>
  </si>
  <si>
    <t xml:space="preserve">▪  1 % of slope is considered in North-South direction.
▪ No slope is considered inside unit in East-West Direction. </t>
  </si>
  <si>
    <t>▪ Gutter Slope: A 1% slope is Considered. If a polyhouse length (N-S, Parallel to the gutter) exceeds 56 meters, slopes will be on the north and south on both sides; otherwise, the slope can be on one side, either north or south depending on the drainage availablity.</t>
  </si>
  <si>
    <t>20KL</t>
  </si>
  <si>
    <r>
      <t>▪ Peak Water Requirement ~20,00,000 Ltr (17.7 ltr/sqm/day x 27 acre )
▪ Operating Time in peak days 20hrs x 6nos x 20kLpH 
▪ Primary RO System: 4</t>
    </r>
    <r>
      <rPr>
        <b/>
        <sz val="11"/>
        <color theme="1"/>
        <rFont val="Aptos Narrow"/>
        <family val="2"/>
        <scheme val="minor"/>
      </rPr>
      <t xml:space="preserve"> </t>
    </r>
    <r>
      <rPr>
        <sz val="11"/>
        <color theme="1"/>
        <rFont val="Aptos Narrow"/>
        <family val="2"/>
        <scheme val="minor"/>
      </rPr>
      <t>Nos, 20KLpH
▪ Secondary RO System: 2 Nos, 20KLpH
▪ 0 EC RO System for Fogging System (2 Primary + 0 Secondary)
▪ 150 EC RO System for Irrigation System (2 Primary + 2 Secondary)</t>
    </r>
  </si>
  <si>
    <r>
      <rPr>
        <sz val="11"/>
        <color theme="1"/>
        <rFont val="Aptos Narrow"/>
        <family val="2"/>
      </rPr>
      <t>▪</t>
    </r>
    <r>
      <rPr>
        <sz val="11"/>
        <color theme="1"/>
        <rFont val="Aptos Narrow"/>
        <family val="2"/>
        <scheme val="minor"/>
      </rPr>
      <t xml:space="preserve">The space of 1 RO System is considered 6.5x3.5 SqM.
▪ A total of 6 RO System is required. Extra 4 RO Space is Left.
 </t>
    </r>
  </si>
  <si>
    <t>UV System</t>
  </si>
  <si>
    <t>▪ UV System required to treat water drained from irrigation.
▪ Currently 3 UV system is considered. 
▪For which 3 Pre UV Tanks and Post UV Tanks are Required. 
▪ There will be 3 Pre UV tanks with a capacity of 45 M3. (Half Day Capacity of 1 Zone considering 1 Ltr/ Plant Drainage per Day. )
▪ There will be 3 Post UV tanks with a capacity of 80 M3. (Full day drainage capacity of 1 Zone considering 1 Ltr/ Plant Drainage per Day.)</t>
  </si>
  <si>
    <t xml:space="preserve">▪ The Pre UV tank will be of 5 Mtr x 4 Mtr Dimension with a Height of 2.5 Mtr (1 Mtr below ground and 1.5 Mtr above ground). Tanks will be covered.  Effective depth is considered 2.25 Mtrs. 
▪UV system will be placed over Pre UV tanks. 
▪The Pre UV tank will be of 6 Mtr x 6 Mtr Dimension with a Height of 2.5 Mtr (1 Mtr below ground and 1.5 Mtr above ground). Tanks will be covered. Effective depth is considered 2.25 Mtrs. </t>
  </si>
  <si>
    <t>RAW Water Storage Tank</t>
  </si>
  <si>
    <t>800 KL</t>
  </si>
  <si>
    <t>▪ 5 Hr capacity of Primary RO is Considered for RAW Water Tank. (40KL x 4 RO x 5Hr = 4,00,000 Ltr )
▪ 1 Galvalume Tanks of 800KL is considered. 
▪ The diameter of the Tank considered is 14.77 M and the Height of Tank is 4.95 M.</t>
  </si>
  <si>
    <t>▪ Space Considered for RAW Tank is 16x16 Sqm 
▪ A Minimum of 0.5 Mtr space is left vacant around each Tank 
▪ Minimum 2 Outlets are required.</t>
  </si>
  <si>
    <t xml:space="preserve">2.5 Hr to 6 Hrs </t>
  </si>
  <si>
    <t xml:space="preserve">RO Water Storage Tank </t>
  </si>
  <si>
    <t xml:space="preserve">▪ Capacity of 1 day of Peak requirement is considered.
▪ 3 Galvalume Tanks of 800KL are considered. (~20,00,000 Ltr)
▪ The diameter of the Tank Considered is 14.77 M and the Height of the Tank is 4.95 M
▪ A total of 2 Tanks are reserved for the Irrigation System (150 EC Water), Interconnected with each other.
▪ A total of 4 Tanks are reserved for the Fogging System (0 EC Water), interconnected with each other. </t>
  </si>
  <si>
    <t>▪Space Considered for RO Water Storage Tank is 16x16 SqM
▪A Minimum of 0.5 Mtr Space is left vacant around each tank. 
▪ Minimum 2 Outlets are required. (8" size)</t>
  </si>
  <si>
    <t xml:space="preserve">1-1.2x of per day capacity  for fogger and Irrigation </t>
  </si>
  <si>
    <t>400 KL</t>
  </si>
  <si>
    <t>▪Capacity of Storage tank is 5 hrs feed of secondary RO System. (2 S. RO x 40KL x 5 Hr = 4,00,000 Ltr)
▪This can hold the refuse of 2.75 hrs. (4 P. RO x 20KL x  5hr = 4,00,000 Ltr)
▪1 Galvalume Tank of 400 KL is Considered.
▪ The diameter of the Tank considered is 12.00 M and the Height of Tanks is 4.95 M.</t>
  </si>
  <si>
    <t xml:space="preserve">▪ Space Considered for Primary Refuse Tank is 13x13 Sqm 
▪ A Minimum of 0.5 Mtr space is left vacant around Tank </t>
  </si>
  <si>
    <t xml:space="preserve">4-6 Hr capcity </t>
  </si>
  <si>
    <t>▪This can hold the refuse of 10 hrs. (2 S. RO x 20KL x 10hr = 4,00,000 Ltr)
▪1 Galvalume Tank of 400 KL is Considered.
▪ The diameter of the Tank considered is 12.00 M and the Height of Tanks is 4.95 M.</t>
  </si>
  <si>
    <t xml:space="preserve">1 day storage of sprinkler requirement </t>
  </si>
  <si>
    <t xml:space="preserve">Re Circulation Tank </t>
  </si>
  <si>
    <t xml:space="preserve">▪One tank in each unit is considered to collect the Drain water of the corresponding unit. 
▪Capacity of tank is considered for half day drainage. Comnsidering 1 Ltr/ Plant per day Drainage. 
▪A Openwell Pump will be installed in this tank to trasfer drain water to Pre-UV tank. </t>
  </si>
  <si>
    <t xml:space="preserve">▪ Space Considered for the Re-circulation Tank Varies based on the number of plants in each unit.  (15 Sqm to 43 SqM).
▪ Total Depth 1.21 Mtr, effective depth 1.1 Mtr.
▪Covering of tanks is required with the provision of Manhole to allow the entry of workmen to clean the tank. 
</t>
  </si>
  <si>
    <t xml:space="preserve">Fertigation System </t>
  </si>
  <si>
    <t xml:space="preserve">▪ A total of 3 fertigation systems are required
a. M1- 45,000 LpH- Unit: A+C, B, D, E.
b. M2- 45,000 LpH- Unit: F, G, H, I.
c. M3- 45,000 LpH- Unit: J, K+L, M, N.
▪ 8 venturi system-
a. 6 Venturi for Fertiliser: 600 LpH for M1, M2, M3.
b. 1 Venturi for Acid: 300 LpH for M1, M2, M3.
c. 1 Venturi for Drenching: 600 LpH for M1, M2, M3.
▪ Common Storage Tanks-
a. 6 Tanks for Fertiliser: 3000 Ltr.
b. 1 Tanks for Acid: 500 Ltr.
c. 1 Tanks for Drenching: 20-50 Ltr.
▪ Common Mixing Tanks-
a. 6 Tanks for Fertiliser mixing: 500 Ltr.
▪ Dripper Flow 2.0 LPH (Netafim), 4 Drippers in a slab and 1 additional dripper in slabs placed on the boundary of polyhouse, Water requirement 4.5 Ltr/Plant/Day, Total running time 11 hrs/day.
▪In the case of Aeroponics- Fogger flow of 4 LpH is considered. (1 Nozzle for 2 plants). </t>
  </si>
  <si>
    <t xml:space="preserve">▪ Space considered for Complete Fertgation Room is 20.3Mtr x 16.1Mtr.
▪ Space considered for 1 Machine of 45-65 M3/Hr is 4Mtr x 2.5Mtr.
▪Walking space of 1.5Mtr is considered around each side of Machine. 
▪Space consideration for 3KL tank is 1.5 Mtr and for Pump is 1Mtr x 1 Mtr. 
▪There will be 12 Break Tanks of 3KL capacity. Each break tank will be connected to Pump (capacity depends upon the unit flow requirement). Dripjet will supply nurient mixed water to the break tanks then it will be supplied to units thereafter. </t>
  </si>
  <si>
    <t>Ferigation Store</t>
  </si>
  <si>
    <t xml:space="preserve">▪ Peak Fertiliser Requirement (Considering Water requirement 5 Ltr/ Plant)
a. Calcium Nitrate: 1650 Bags
b. 13-0-45: 150 Bags
c. 12-61-0: 50 Bags
d. 52-34: 350 Bags
e. 0-0-50: 1000 Bags 
f. Magnesium Sulphate: 1100 Bags
▪ Bag Size considered is 600mm x400mm x 250mm.
▪ Staking up to 8 levels is considered. 
▪ To implement First in First out rule in ferliser 2Mtr walking space is considered between palates. </t>
  </si>
  <si>
    <t xml:space="preserve">▪A total of 20.3x14.90 SqM area left for the Fertiliser store. 
▪7 Different compartments are made 6 for major fertilisers and 1 for liquid fertilisers, micro and others.
▪ 3 gates of 1.8 meters in width are provided for smooth movement, one opens towards the 4-meter wide road facing North, second opens towards 3-meter wide road facing East and the other connects to the fertigation unit. </t>
  </si>
  <si>
    <t xml:space="preserve">Fogging System </t>
  </si>
  <si>
    <t xml:space="preserve">To be considered </t>
  </si>
  <si>
    <t>Work in progress</t>
  </si>
  <si>
    <t xml:space="preserve">Sprinkler System </t>
  </si>
  <si>
    <t>Rest Area</t>
  </si>
  <si>
    <t xml:space="preserve">▪4 Persons per Acre of Growing area is considered. 
▪ Per Person space requirement is 1.5 Square Meters. </t>
  </si>
  <si>
    <t xml:space="preserve">▪ A total of 4 Rest areas are considered. 
a. East side of O unit - for Unit N, O and P. (8Mtr x 5Mtr)
b. North Side of L Unit - for Unit K,L and M. (5Mtr x 4Mtr)
c. North-West Side of J Unit - for Unit E, F, G, I and J. (7Mtr x 7Mtr)
d. Main Canteen- East side of C unit - for Unit A, B, C, D and H. 
</t>
  </si>
  <si>
    <t xml:space="preserve">▪ A Main Canteen with the seating capacity of 48 Person. 
▪ Canteen Must consists
a. Kitchen Area 
b. Handwash Area
c. Drinking water facility 
d. Washing area for dishes and other kitchen utensils. 
e. Dining Area 
▪ Canteen Must have 2 gates for smooth movments. </t>
  </si>
  <si>
    <t xml:space="preserve">▪ A space of 19Mtr x 16Mtr for centralised canteen is considered at the east side of C unit. 
▪ Paved road will be there connecting canteen to main road for foot movement. </t>
  </si>
  <si>
    <t>Main Toilet</t>
  </si>
  <si>
    <t>Detailed Layout Pending</t>
  </si>
  <si>
    <t xml:space="preserve">▪ Space Left for Main toilet Male 9.5Mtr x 4Mtr at the east side of Canteen.
▪ Space left for Main toilet Female is 9.5Mtr x 4Mtr at the east side of Canteen. </t>
  </si>
  <si>
    <t xml:space="preserve">Secondary Toilets </t>
  </si>
  <si>
    <t>▪ Three Secondary Toilets are considered 
a. East side of O unit - for Unit N, O and P. (8Mtr x 5Mtr)
b. South Side of L Unit - for Unit K,L and M. (7.5Mtr x 4Mtr)
c. North-West Side of J Unit - for Unit E, F, G, I and J. (7Mtr x 6.5Mtr)</t>
  </si>
  <si>
    <t>Parking Area</t>
  </si>
  <si>
    <t xml:space="preserve">Detailed Layout Pending. </t>
  </si>
  <si>
    <t xml:space="preserve">Main Store </t>
  </si>
  <si>
    <t xml:space="preserve">Detailed Layout Pending </t>
  </si>
  <si>
    <t xml:space="preserve">▪ A Space of 48Mtr x 38Mtr  left at the east side of K Unit. </t>
  </si>
  <si>
    <t>Loading Unloading Area</t>
  </si>
  <si>
    <t>▪ Daily Peak Harvest considered is 1.2 Tonn/Acre/Day. (32.42 Ton)
▪ Crates required per day are 1800 Crates. (18 Kg/ Crate)
▪ 4 Levels of Staking is considered. 
▪ Dimensions of crate considered are 0.6Mtr x 0.4Mtr x 0.3Mtr</t>
  </si>
  <si>
    <t xml:space="preserve">▪ A space of 21.5Mtr x 6 Mtr is considered for Loading Unloading Area. 
▪ 4 Vehicles can be placed at one time for Loading and Unloading purpose. </t>
  </si>
  <si>
    <t xml:space="preserve">▪ A space of 14Mtr x 8Mtr is considered near Switch Yard. </t>
  </si>
  <si>
    <t xml:space="preserve">▪CC lined draines with the trapezoidal section are considered. (3" thick Lining)
▪ Angle of walls will be 45°. 
▪ Standard Slope considered is 1/750.  
▪ Drain will connect to the 'Dhora' at the North sideand South side of the land. </t>
  </si>
  <si>
    <t>▪12 Major Oulets are considered. 
1. West Side of P Unit. 
2. West Side of O Unit. 
3. South East side of P Unit. 
4. South East side of N unit 
5. South East side of M unit. 
6. South East side of L unit.
7. South East side of K unit.
8. North West side of B unit. 
9. South East Side of A unit. 
10. North Side of E unit.  
11. North Side of F Unit. 
12. North Side of G unit.</t>
  </si>
  <si>
    <t xml:space="preserve">Scrap Yard </t>
  </si>
  <si>
    <t xml:space="preserve">Pending </t>
  </si>
  <si>
    <t xml:space="preserve">Labour Quarter </t>
  </si>
  <si>
    <t xml:space="preserve">IOT Space </t>
  </si>
  <si>
    <t xml:space="preserve">▪ Contaioner having Space for networking rack and 1 person sitting. </t>
  </si>
  <si>
    <t xml:space="preserve">▪ A Space of 4x4 SqM is left for IoT Contaioner near Fertigation Machine Area. </t>
  </si>
  <si>
    <t xml:space="preserve">Electrical Space </t>
  </si>
  <si>
    <t xml:space="preserve">▪ Switch yard
a. Space required for 1 Assembly is 10 Mtr x 5 Mtr. 
b. Main road (4 metres) access is required for Hydra movement. 
c. Safety radius is 15 meters from the centre. 
d. Switch yard should be near the entrance of the land. 
▪ Transformer
a. Space required for Tranformer is 2.5Mtr x1.5 Mtr.
b. Road is required for Tranformer for Hydra Movement. 
▪ Main Panel
a. Space required for 1 Mainpanel is 2.5Mtr x 1 Mtr along with 0.5Mtr platform for work on both sides. 
▪ DG
a. Space required for 1 DG set is 6.2Mtr x 3.2Mtr,
b. Road Connectivity till DG platform is must for hydra movement. </t>
  </si>
  <si>
    <t xml:space="preserve">▪ For switch yard a space of 150 SqM is left at the farm entrance. 
▪ For Tranformer, DG set and Mainpanel, collectively called as Eelectrical Units, 12.8Mtr x 6.2 Mtr space is allocated at 2 places. One is near Switch Yard and Second is near Fertigation Store. </t>
  </si>
  <si>
    <t>Roads</t>
  </si>
  <si>
    <t xml:space="preserve">▪ Road Width is 4 M in heavy vehicle movement zones.
▪ Road width is 3 M in other than heavy vehicle movement zones.
▪ Type of road: CC with reinforcement.
▪ The Minimum Thickness of the Road is 150MM. 
▪ Shoulders of 1000MM on both sides of the road.
▪ Trench will be created where Electrical cables and Plumbing lines are crossing the road. </t>
  </si>
  <si>
    <t xml:space="preserve">▪ Currently 1 road is considered. Road-1 That connects the South-East corner to Main Road. 
▪  4 Meter wide road from main road till fertigation unit. 
▪ 3 Meter wide road rest of the area. </t>
  </si>
  <si>
    <t>Bund</t>
  </si>
  <si>
    <t>▪ Top Safe level considered 264.5 
▪ Bund width = 2x Bund Height, considering 30° angle. (h/2+h+h/2)</t>
  </si>
  <si>
    <t>▪ Bund Width Varies from 0.5 M to 5 Mtr. 
▪ A minimum 0.5 M wide bund is considered even if the existing level of boundary is greater than 264.500</t>
  </si>
  <si>
    <t>Borewell</t>
  </si>
  <si>
    <t>▪ A total of 10 Borewells are considered. 
▪ Radius of Influenece considered is 75 Mtr (reference from Namana Water Survery Report)
▪ A water survey is required at the south part of land consisting L, M, N, O and P units. 
▪ 20 Hrs of runtime is considered. (refer to Water survey report.)</t>
  </si>
  <si>
    <t xml:space="preserve">Locations of Borewells are:
a. S-1 (17.3 m3/hr @150Mtr) At the Entry Gate.
b. S-2 (15.9 m3/hr @150Mtr) At the North-East Corner of B Unit.
c.  S-3 (18.8 m3/hr @150Mtr) At the North of D unit.
d.  S-4 (16.2 m3/hr @150Mtr) Between C and H unit.
e. S-5 (22.1 m3/hr @150Mtr) At the South east corner of Store space. 
f. S-6 (18.8 m3/hr @150Mtr) At the South east corner of K Unit. 
g. S-7 (16.2 m3/hr @150Mtr) Between I and H unit.
h. S-8 (16.2 m3/hr @150Mtr) At the North Side of H unit. 
i. S-9 (11.9 m3/hr @150Mtr) At North West Corner of F unit. 
j. S-10 (17.3 m3/hr @150Mtr) Between G and J unit. </t>
  </si>
  <si>
    <t>Openwell</t>
  </si>
  <si>
    <t xml:space="preserve">▪  A total of 3 Openwells are present at site, 
▪  No openwell is considered for water extraction for now. </t>
  </si>
  <si>
    <t xml:space="preserve">Locations of openwell present at site are:
a. At the North of Unit J.
b. At the South of Unit J
c. Inside unit P at the North side. </t>
  </si>
  <si>
    <t>Pre Mixing Tanks</t>
  </si>
  <si>
    <t xml:space="preserve">▪ 30% Drain water from units that is UV treated water will be mixed with RO water before feeding to Dripjet, to ensure the recirculation of drain water. 
▪ There will be 3 Pre Mixing tanks with a capacity of 60 M3. (45 M3 Dripjet capacity + 30% Extra)
▪ Dripjet supply pumps will be installed here. </t>
  </si>
  <si>
    <t xml:space="preserve">▪The Pre UV tank will be of 5 Mtr x 5 Mtr Dimension with a Height of 2.5 Mtr (1 Mtr below ground and 1.5 Mtr above ground). Tanks will be covered.  Effective depth is considered 2.25 Mtrs. </t>
  </si>
  <si>
    <t xml:space="preserve">Plumbing </t>
  </si>
  <si>
    <t xml:space="preserve">Average Length- </t>
  </si>
  <si>
    <t>Stages of Planning</t>
  </si>
  <si>
    <t>Sl. No.</t>
  </si>
  <si>
    <t>Levels</t>
  </si>
  <si>
    <t>Activities</t>
  </si>
  <si>
    <t>Implication</t>
  </si>
  <si>
    <t>Completion Status</t>
  </si>
  <si>
    <t>Level 0</t>
  </si>
  <si>
    <t>1. Finalization of the actual plot boundaries
2. Finalization of approach roads to the plot from the nearest main road</t>
  </si>
  <si>
    <t>1. Ascertaining the entry/exit points of the plot
2. In principle Location finalization of the main switch yard based on the electrical regulations for hotline &amp; cost effectiveness</t>
  </si>
  <si>
    <t xml:space="preserve">Complete </t>
  </si>
  <si>
    <t>Considering V3.5</t>
  </si>
  <si>
    <t>Level 1</t>
  </si>
  <si>
    <t>1. Peipheral bund planning
2. Switch yard position
3. Polyhouse positions i/c dimensions</t>
  </si>
  <si>
    <t>1. Flood protection based on natural flow of water based on area topography (Water entry from neighbouring lands or features)
2. Actual space required for placing of the switchyard, with sufficient space for approach road to site
3. Polyhouse dimensioning as decided is required for all further calculations (refer further levels)</t>
  </si>
  <si>
    <t>Level 2</t>
  </si>
  <si>
    <t>Water &amp; Utility Calculations</t>
  </si>
  <si>
    <t>1. water requirements for all activities (fertigation, climate control, sprinklers etc.) per PH unit
2. Deciding number of irrigation valves
3. Ascertaining the total water storage tanks, filtration systems
4. No. of fertigation machines as required based on irrigation valves
5. Electrical load calculations of each PH units</t>
  </si>
  <si>
    <t>Considering 2.2 LPH Drippers</t>
  </si>
  <si>
    <t>Level 3</t>
  </si>
  <si>
    <t>Deciding on the land levels</t>
  </si>
  <si>
    <t>1. Internal levels of the polyhouses
2. Outside polyhouse grading requirements</t>
  </si>
  <si>
    <t>Inernal levels complete
For external levels need data from Sunil/Amit.</t>
  </si>
  <si>
    <t xml:space="preserve">As discussed, make into zones considering </t>
  </si>
  <si>
    <t>Level 4</t>
  </si>
  <si>
    <t>Storm water management (internal to farm)</t>
  </si>
  <si>
    <t>1. Storm water runoff from the roof
2. Actual flow quantity of storm water in open area of the plot
3. Deciding the locations of main drains &amp; secondary drains required at farm based on possible outflow points 
4. Actual design of the drains (width, slopes, depths etc. in sync with main &amp; secondary drain positions</t>
  </si>
  <si>
    <t xml:space="preserve">Calculations done </t>
  </si>
  <si>
    <t>requires a discussion for finalisation</t>
  </si>
  <si>
    <t>Level 5</t>
  </si>
  <si>
    <t>Internal Roads &amp; Electrical circuits</t>
  </si>
  <si>
    <t>1. Finalizing the most optimized road layout internal to farms (width, length, approch till entry gates of the PH)
2. Positioning of the transformers considering safety in event of electrical related fires/blasts</t>
  </si>
  <si>
    <t>Roads Done. 
Electrical Cuircits remaining</t>
  </si>
  <si>
    <t>Level 6</t>
  </si>
  <si>
    <t>Detailed Amenities (facilities) design</t>
  </si>
  <si>
    <t>1. Location &amp; detailing of the water management units (Fertigation, filtration, raw/refuse water ponds, RO tanks etc.)
2. Location &amp; detailing of the site infrastructure buildings such as guard rooms, toilets, warehouses, repair areas, offices, rest areas etc.</t>
  </si>
  <si>
    <t>Level 7</t>
  </si>
  <si>
    <t>Utility Routings</t>
  </si>
  <si>
    <t>1. Pipe &amp; cable rack/trench routing till unit in most economical designs
2. Actual detailing of the required dia of pipes, pumping locations etc.
3. Detailed electrical designs for cable capacities, panles, distribution infrastructure etc.</t>
  </si>
  <si>
    <t>Level 8</t>
  </si>
  <si>
    <t>Syncing &amp; Fine Tuning</t>
  </si>
  <si>
    <t>All the above levels are then synced for errors or improvements, followed by minor design iterations before releasing the drawing for final execution &amp; further in-depth detailing</t>
  </si>
  <si>
    <t>Level 9</t>
  </si>
  <si>
    <t>BOM Calculation &amp; ordering</t>
  </si>
  <si>
    <t>Post Level 8 detailed designing, BOM is calculated and further execution is taken up</t>
  </si>
  <si>
    <t xml:space="preserve">Bay </t>
  </si>
  <si>
    <t xml:space="preserve">No of Drippers </t>
  </si>
  <si>
    <t xml:space="preserve">Max Dripline Length </t>
  </si>
  <si>
    <t>Min Dripline Length</t>
  </si>
  <si>
    <t>Arrow Drippers</t>
  </si>
  <si>
    <t xml:space="preserve">Micro Pipe </t>
  </si>
  <si>
    <t xml:space="preserve">Lateral Pipe </t>
  </si>
  <si>
    <t>Take-off</t>
  </si>
  <si>
    <t>Sr. No.</t>
  </si>
  <si>
    <t>Material</t>
  </si>
  <si>
    <t xml:space="preserve">Purpose </t>
  </si>
  <si>
    <t>UoM</t>
  </si>
  <si>
    <t>Remark</t>
  </si>
  <si>
    <t>Galvalume Tank- 847 KL</t>
  </si>
  <si>
    <t>RO Water Storage (4 Fogging +2 Irrigation)</t>
  </si>
  <si>
    <t>Nos</t>
  </si>
  <si>
    <t xml:space="preserve">1. 2 Outlets for each tank with a Minimum outlet size of 8".
2. Tank Dia. 14.77 Mtr and Height 4.95 Mtr. </t>
  </si>
  <si>
    <t>Galvalume Tank- 500 KL</t>
  </si>
  <si>
    <t xml:space="preserve">Raw Water Storage </t>
  </si>
  <si>
    <t xml:space="preserve">1. 2 Outlets for each tank with a Minimum outlet size of 8".
2. Tank Dia. 12 Mtr and Height 4.95 Mtr. </t>
  </si>
  <si>
    <t xml:space="preserve">Primary Refuse </t>
  </si>
  <si>
    <t xml:space="preserve">Secondary Refuse </t>
  </si>
  <si>
    <t>RO System 20KLpH</t>
  </si>
  <si>
    <t>Primary RO</t>
  </si>
  <si>
    <t xml:space="preserve">1. There Must be 3 Dosing Points 
a. antiscalant 
b. Acid
c. sodium metabisulfite
2. There should be an EC Control Valve
3. The CIP System should be centralised. For CIP, a High-pressure pump should not be used. There should be a Valve and inlet point for CIP after the HI-pressure pump, to avoid the corrosive/ abrasive effect on the High-pressure pump Impeller.
4. High Quality Valves should be there in the RO assembly line preferably Globe Valve. 
5. The Plumbing System used in the RO system should be CPVC or Stainless Steel. No u-PVC will be accepted. 
6. Dry Run prevention and Hi-pressure and Low-pressure Prevention Required. </t>
  </si>
  <si>
    <t>Secondary RO</t>
  </si>
  <si>
    <t>Fencing Material</t>
  </si>
  <si>
    <t>MS Angle 50x50x5</t>
  </si>
  <si>
    <t xml:space="preserve">Fencing Pole 2 Mtr </t>
  </si>
  <si>
    <t xml:space="preserve">Nos </t>
  </si>
  <si>
    <t xml:space="preserve">- Length- 2 Mtr Each. 
- 300MM below ground and 1700MM above ground. 
- 3 Holes in each fence pole for clamp.
- Bottom 200MM long MS piece weld for anchoring purpose. </t>
  </si>
  <si>
    <t>Barbed Wire</t>
  </si>
  <si>
    <t xml:space="preserve">Fence Wire </t>
  </si>
  <si>
    <t>Mtr</t>
  </si>
  <si>
    <t xml:space="preserve">3 Horizontal Lines and 2 Diagonal Lines </t>
  </si>
  <si>
    <t xml:space="preserve">Chainlink Fencing 4" </t>
  </si>
  <si>
    <t>Fence</t>
  </si>
  <si>
    <t xml:space="preserve">Mtr </t>
  </si>
  <si>
    <t>For pheripheral fencing</t>
  </si>
  <si>
    <t>Chainlink Fencing 1.5"</t>
  </si>
  <si>
    <t xml:space="preserve">Fence </t>
  </si>
  <si>
    <t xml:space="preserve">For internal fencing i.e. Transformer yard, Switch yard. </t>
  </si>
  <si>
    <t xml:space="preserve">Clamps </t>
  </si>
  <si>
    <t xml:space="preserve">To tighten Barbed wire </t>
  </si>
  <si>
    <t>Irrigation Material for (E,F,G,H,I,J,K,L)</t>
  </si>
  <si>
    <t xml:space="preserve">Specification </t>
  </si>
  <si>
    <t>Brand</t>
  </si>
  <si>
    <t xml:space="preserve">Online Dripper </t>
  </si>
  <si>
    <t xml:space="preserve">PCJ LCNL 2.0 LPH Barb End </t>
  </si>
  <si>
    <t xml:space="preserve">Netafim </t>
  </si>
  <si>
    <t xml:space="preserve">Arrow Dripper </t>
  </si>
  <si>
    <t>Short Length 'Costumised'</t>
  </si>
  <si>
    <t>IBP Corp</t>
  </si>
  <si>
    <r>
      <t xml:space="preserve">Micro Tube 3*5 , </t>
    </r>
    <r>
      <rPr>
        <b/>
        <sz val="11"/>
        <color theme="1"/>
        <rFont val="Aptos Narrow"/>
        <family val="2"/>
        <scheme val="minor"/>
      </rPr>
      <t>White and Black</t>
    </r>
  </si>
  <si>
    <t>Rivulis</t>
  </si>
  <si>
    <r>
      <t xml:space="preserve">16MM OD, 2.5 Kg/cm2 Pressure rating, </t>
    </r>
    <r>
      <rPr>
        <b/>
        <sz val="11"/>
        <color theme="1"/>
        <rFont val="Aptos Narrow"/>
        <family val="2"/>
        <scheme val="minor"/>
      </rPr>
      <t xml:space="preserve">White and Black </t>
    </r>
  </si>
  <si>
    <t>Socket/ Copupler</t>
  </si>
  <si>
    <t xml:space="preserve">16MM Coupler </t>
  </si>
  <si>
    <t>Netafim / Rivulis/ Jain</t>
  </si>
  <si>
    <t xml:space="preserve">Starting Nipple (Threaded Oneside) </t>
  </si>
  <si>
    <t>1/2 BSP threaded with 16MM Connector</t>
  </si>
  <si>
    <t xml:space="preserve">Rivulis </t>
  </si>
  <si>
    <t>RO Systems</t>
  </si>
  <si>
    <t xml:space="preserve">20KLPH RO Primary '0 TDS' </t>
  </si>
  <si>
    <t xml:space="preserve">20KLPH RO Primary '150 TDS' </t>
  </si>
  <si>
    <t>20KLPH RO Secondary '0 TDS'</t>
  </si>
  <si>
    <t>Tag</t>
  </si>
  <si>
    <t>Max Yeild</t>
  </si>
  <si>
    <t>Total Depth</t>
  </si>
  <si>
    <t>Lattitue</t>
  </si>
  <si>
    <t>Longitude</t>
  </si>
  <si>
    <t>Duration</t>
  </si>
  <si>
    <t>S-1</t>
  </si>
  <si>
    <t>25.37442 , 75.54433</t>
  </si>
  <si>
    <t>S-2</t>
  </si>
  <si>
    <t>25.37563 , 75.54433</t>
  </si>
  <si>
    <t>S-3</t>
  </si>
  <si>
    <t>25.37585 , 75.54291</t>
  </si>
  <si>
    <t>S-4</t>
  </si>
  <si>
    <t>25.37436 , 75.54278</t>
  </si>
  <si>
    <t>S-5</t>
  </si>
  <si>
    <t>25.37329 , 75.54313</t>
  </si>
  <si>
    <t>S-6</t>
  </si>
  <si>
    <t>25.37331 , 75.54221</t>
  </si>
  <si>
    <t>S-7</t>
  </si>
  <si>
    <t>25.37418 , 75.5421</t>
  </si>
  <si>
    <t>S-8</t>
  </si>
  <si>
    <t>25.3756 , 75.54195</t>
  </si>
  <si>
    <t>S-9</t>
  </si>
  <si>
    <t>25.37547 , 75.54064</t>
  </si>
  <si>
    <t>S-10</t>
  </si>
  <si>
    <t>25.37482 , 75.54014</t>
  </si>
  <si>
    <t>Polyhouse Detailed Specification Sheet</t>
  </si>
  <si>
    <t>Project Name:</t>
  </si>
  <si>
    <t>Project Partners:</t>
  </si>
  <si>
    <t>Location:</t>
  </si>
  <si>
    <t>Item</t>
  </si>
  <si>
    <t xml:space="preserve">NHB Guideline </t>
  </si>
  <si>
    <t>Current Specification</t>
  </si>
  <si>
    <t xml:space="preserve">Required Specification </t>
  </si>
  <si>
    <t>a</t>
  </si>
  <si>
    <t xml:space="preserve">Type of Structure </t>
  </si>
  <si>
    <t xml:space="preserve">NVPH </t>
  </si>
  <si>
    <t>b</t>
  </si>
  <si>
    <t>Shape</t>
  </si>
  <si>
    <t>Fixed Vent Israeli Type/ Saw Tooth Design</t>
  </si>
  <si>
    <t>Fixed Vent Israeli Type</t>
  </si>
  <si>
    <t>c</t>
  </si>
  <si>
    <t>As per Requirement</t>
  </si>
  <si>
    <t xml:space="preserve">As Per Requirement </t>
  </si>
  <si>
    <t>d</t>
  </si>
  <si>
    <t>Hockey</t>
  </si>
  <si>
    <t>2 Meters Corridors along all four sides.</t>
  </si>
  <si>
    <t>2 Meters Corridors Along All Four Sides.</t>
  </si>
  <si>
    <t xml:space="preserve">Grid </t>
  </si>
  <si>
    <t xml:space="preserve">8M x 4M </t>
  </si>
  <si>
    <t>8M X 4M</t>
  </si>
  <si>
    <t>f</t>
  </si>
  <si>
    <t xml:space="preserve">Design Criteria </t>
  </si>
  <si>
    <t>1. Wind Load: 130 Km/hr (low Wind zone) 150 Km/hr (High Wind Zone)
2. Trellising Load: 25-30 Kg/sqm
3. Dead Load :</t>
  </si>
  <si>
    <t>1. Wind Load: 130 Km/hr
2. Trellising Load: 25-30 Kg/sqm
3. Dead Load :</t>
  </si>
  <si>
    <t>Wind Load Km hr Trellising Load Kg sqm Dead 5530 Km/hr
2. Trellising Load: 25-30 Kg/sqm
3. Dead Load :</t>
  </si>
  <si>
    <t>g</t>
  </si>
  <si>
    <t xml:space="preserve">Gutter Height </t>
  </si>
  <si>
    <t>4-4.5 Mtr</t>
  </si>
  <si>
    <t>Clear Height 4000 MM</t>
  </si>
  <si>
    <t>Clear Height 5500 MM</t>
  </si>
  <si>
    <t>h</t>
  </si>
  <si>
    <t xml:space="preserve">Top Height </t>
  </si>
  <si>
    <t>6-6.5 Mtr</t>
  </si>
  <si>
    <t xml:space="preserve">6.8 Mtr </t>
  </si>
  <si>
    <t xml:space="preserve">8 Mtr </t>
  </si>
  <si>
    <t>i</t>
  </si>
  <si>
    <t xml:space="preserve">Top Vent Opening </t>
  </si>
  <si>
    <t>Information Required</t>
  </si>
  <si>
    <t>j</t>
  </si>
  <si>
    <t>Top Arch Overlapping</t>
  </si>
  <si>
    <t>Min. 600 MM</t>
  </si>
  <si>
    <t xml:space="preserve">1.2 Mtr </t>
  </si>
  <si>
    <t>k</t>
  </si>
  <si>
    <t xml:space="preserve">Top Vent Closing Mechanism </t>
  </si>
  <si>
    <t xml:space="preserve">Open </t>
  </si>
  <si>
    <t>Open</t>
  </si>
  <si>
    <t xml:space="preserve">Structural Members </t>
  </si>
  <si>
    <t>Hot Dip Galvanized Tubular Structure.
Coating Thickness:Min. 300 GSM</t>
  </si>
  <si>
    <t>Hot Dip Galvanized Tubular Structure.
Coating Thickness: 350 GSM</t>
  </si>
  <si>
    <t>Foundation - Peripheral/Gutter</t>
  </si>
  <si>
    <t>Φ60 MM, 3 MM Thickness, GI Pipe
Crimping Length: 120 mm
Length: 1200-1300 MM</t>
  </si>
  <si>
    <t>Φ76 MM, 2 MM Thickness
Crimping Length: 120 mm
Length : 1000 MM &amp; 1200 MM</t>
  </si>
  <si>
    <t>Foundation - Intermediate column</t>
  </si>
  <si>
    <t>Φ60 MM, 3 MM Thickness, GI Pipe
Crimping Length: 120 mm
Length : 1200-1300 MM</t>
  </si>
  <si>
    <t>Φ76 MM , 2 MM Thickness 
Crimping Length : 120 mm</t>
  </si>
  <si>
    <t xml:space="preserve">Columns - Gutter/ Peripheral </t>
  </si>
  <si>
    <t>Min. Φ74 MM , 2 MM Thickness</t>
  </si>
  <si>
    <t>Φ76 MM , 2 MM Thickness</t>
  </si>
  <si>
    <t>Column - Intermediate</t>
  </si>
  <si>
    <t xml:space="preserve">Bottom Cord </t>
  </si>
  <si>
    <t>Min. Φ58 MM , 2 MM Thickness</t>
  </si>
  <si>
    <t>Φ60 MM , 2 MM Thickness</t>
  </si>
  <si>
    <t xml:space="preserve">Arch </t>
  </si>
  <si>
    <t>Φ42 MM , 2 MM Thickness</t>
  </si>
  <si>
    <t>Top Purlin / Truss</t>
  </si>
  <si>
    <t>Min. Φ47 MM , 2 MM Thickness</t>
  </si>
  <si>
    <t>Φ48 MM , 2 MM Thickness</t>
  </si>
  <si>
    <t>Bottom Purlin</t>
  </si>
  <si>
    <t>Corner Purlin / Truss</t>
  </si>
  <si>
    <t>Compound Pheripheral Purlin</t>
  </si>
  <si>
    <t>SHS 30x30 , 2 MM Thickness</t>
  </si>
  <si>
    <t>l</t>
  </si>
  <si>
    <t xml:space="preserve">Arch to Bottom Cord Connector </t>
  </si>
  <si>
    <t>Φ33 MM , 2 MM Thickness</t>
  </si>
  <si>
    <t>Φ34 MM , 2 MM Thickness
Φ48 MM , 2 MM Thickness (Internal Bottom Cord to Top Arch Connector)</t>
  </si>
  <si>
    <t>m</t>
  </si>
  <si>
    <t>Wind Breakers</t>
  </si>
  <si>
    <t>n</t>
  </si>
  <si>
    <t xml:space="preserve">Hockey </t>
  </si>
  <si>
    <t>RHS 60x40 , 2 MM Thickness</t>
  </si>
  <si>
    <t>o</t>
  </si>
  <si>
    <t xml:space="preserve">Hockey Column Support </t>
  </si>
  <si>
    <t xml:space="preserve">Φ34 MM , 2 MM Thickness
Should be at 2.4 Mtr Height from bottom. </t>
  </si>
  <si>
    <t>p</t>
  </si>
  <si>
    <t>Gutter Purlin</t>
  </si>
  <si>
    <t xml:space="preserve">Gutter </t>
  </si>
  <si>
    <t xml:space="preserve">Material </t>
  </si>
  <si>
    <t>Galvanized Sheet 
Coating Thickness: 120 GSM</t>
  </si>
  <si>
    <t>Galvanized Sheet 
Coating Thickness: _________</t>
  </si>
  <si>
    <t xml:space="preserve">Thickness </t>
  </si>
  <si>
    <t>2 MM</t>
  </si>
  <si>
    <t xml:space="preserve">2 MM </t>
  </si>
  <si>
    <t xml:space="preserve">Cross-section </t>
  </si>
  <si>
    <t>Shape: Trapezoidal 
Perimeter: Min 500 MM</t>
  </si>
  <si>
    <t xml:space="preserve">Shape: Trapezoidal 
Perimeter: </t>
  </si>
  <si>
    <t>Preferably Single Length Without Joints</t>
  </si>
  <si>
    <t xml:space="preserve">As per Grid Size </t>
  </si>
  <si>
    <t>Slope</t>
  </si>
  <si>
    <t>Min 1%</t>
  </si>
  <si>
    <t>1.1%
400MM in 36 Mtr</t>
  </si>
  <si>
    <t xml:space="preserve">Side Gutters </t>
  </si>
  <si>
    <t>Yes</t>
  </si>
  <si>
    <t>Orientation</t>
  </si>
  <si>
    <t xml:space="preserve">North South </t>
  </si>
  <si>
    <t xml:space="preserve">North-South </t>
  </si>
  <si>
    <t xml:space="preserve">Leak proofing </t>
  </si>
  <si>
    <t>With Bitumin Tape and PU-25</t>
  </si>
  <si>
    <t xml:space="preserve">Locking Profile </t>
  </si>
  <si>
    <t xml:space="preserve">Make </t>
  </si>
  <si>
    <t xml:space="preserve">Agriplast </t>
  </si>
  <si>
    <t xml:space="preserve">Alloy Aluminium </t>
  </si>
  <si>
    <t xml:space="preserve">Aluminium </t>
  </si>
  <si>
    <t>0.9 MM</t>
  </si>
  <si>
    <t>Weight</t>
  </si>
  <si>
    <t>220-250 Grams per Running Meter</t>
  </si>
  <si>
    <t>186 Grams</t>
  </si>
  <si>
    <t>-Minimum Corners to avoid damage to polythene
-Should have space for a minimum 2 profile wire installation</t>
  </si>
  <si>
    <t xml:space="preserve">Torsional Strength </t>
  </si>
  <si>
    <t xml:space="preserve">Tensile Strength </t>
  </si>
  <si>
    <t xml:space="preserve">Locking Profile Wire </t>
  </si>
  <si>
    <t>Plastic coated GI Wire</t>
  </si>
  <si>
    <t xml:space="preserve">Plastic Coated GI Wire </t>
  </si>
  <si>
    <t xml:space="preserve">Diameter of GI Wire </t>
  </si>
  <si>
    <t>2.2 MM</t>
  </si>
  <si>
    <t>Coating Thickness</t>
  </si>
  <si>
    <t xml:space="preserve">Life of Coating </t>
  </si>
  <si>
    <t>Curtain Rolling</t>
  </si>
  <si>
    <t xml:space="preserve">Rolling Mechanism </t>
  </si>
  <si>
    <t xml:space="preserve">- Minimum 1.5 Mtr clear side curtain opening is required. 
- Minimum 200 MM overlap with bottom Apron. 
- Curtain Runner 42MM OD
- Curtain Pipe 27 MM OD </t>
  </si>
  <si>
    <t xml:space="preserve">FLC </t>
  </si>
  <si>
    <t xml:space="preserve">FLC Support Pipe </t>
  </si>
  <si>
    <t>Φ27 MM , 2 MM Thickness</t>
  </si>
  <si>
    <t xml:space="preserve">Rolling Guard </t>
  </si>
  <si>
    <t xml:space="preserve">Spacing between Rolling Guards </t>
  </si>
  <si>
    <t xml:space="preserve">Polythene Locking Mechanism </t>
  </si>
  <si>
    <t xml:space="preserve">Plastic Clamps C-type </t>
  </si>
  <si>
    <t xml:space="preserve">Method to install Profile below Rolling </t>
  </si>
  <si>
    <t xml:space="preserve">Entry Room </t>
  </si>
  <si>
    <t xml:space="preserve">Size </t>
  </si>
  <si>
    <t xml:space="preserve">2.5 Mtr x 4 Mtr </t>
  </si>
  <si>
    <t xml:space="preserve">No of Doors </t>
  </si>
  <si>
    <t>Minimum 2 Doors</t>
  </si>
  <si>
    <t xml:space="preserve">Triple (2 Solid and 1 PVC Curtain) </t>
  </si>
  <si>
    <t xml:space="preserve">Type of Door </t>
  </si>
  <si>
    <t xml:space="preserve">Sliding or Hinged </t>
  </si>
  <si>
    <t xml:space="preserve">1 Sliding and 1 Hinged </t>
  </si>
  <si>
    <t xml:space="preserve">Width of Door </t>
  </si>
  <si>
    <t xml:space="preserve">1 Mtr </t>
  </si>
  <si>
    <t xml:space="preserve">Height of Door </t>
  </si>
  <si>
    <t xml:space="preserve">2 Mtr </t>
  </si>
  <si>
    <t xml:space="preserve">More than 2 Mtr </t>
  </si>
  <si>
    <t xml:space="preserve">Flooring </t>
  </si>
  <si>
    <t xml:space="preserve">Min 50 MM PCC Flooring </t>
  </si>
  <si>
    <t>Polythene</t>
  </si>
  <si>
    <t xml:space="preserve">Ginegar </t>
  </si>
  <si>
    <t xml:space="preserve">Type </t>
  </si>
  <si>
    <t xml:space="preserve">Driplock Cool </t>
  </si>
  <si>
    <t xml:space="preserve">200 Micron </t>
  </si>
  <si>
    <t>Layers</t>
  </si>
  <si>
    <t xml:space="preserve">3 Layer or 5 Layer </t>
  </si>
  <si>
    <t xml:space="preserve">UV Stablisation </t>
  </si>
  <si>
    <t xml:space="preserve">Light Transmission </t>
  </si>
  <si>
    <t xml:space="preserve">Diffusion </t>
  </si>
  <si>
    <t>Maximum 75% Minimum 50%</t>
  </si>
  <si>
    <t>MD- 22 Mpa
TD- 22.5 Mpa</t>
  </si>
  <si>
    <t xml:space="preserve">Protective Coating (Solar Guard) </t>
  </si>
  <si>
    <t>Yes (Applied while installing polythene)</t>
  </si>
  <si>
    <t>Anti Drip</t>
  </si>
  <si>
    <t xml:space="preserve">Optional </t>
  </si>
  <si>
    <t>Anti Mist</t>
  </si>
  <si>
    <t>Anti Dust</t>
  </si>
  <si>
    <t xml:space="preserve">Apron </t>
  </si>
  <si>
    <t xml:space="preserve">Height of Apron should be between 0.6 Mtr to 1.5 Mtr </t>
  </si>
  <si>
    <t>Palring</t>
  </si>
  <si>
    <t>Laminated Woven Fabric</t>
  </si>
  <si>
    <t xml:space="preserve">Colour </t>
  </si>
  <si>
    <t xml:space="preserve">White </t>
  </si>
  <si>
    <t xml:space="preserve">Weight </t>
  </si>
  <si>
    <t>140 GSM</t>
  </si>
  <si>
    <t xml:space="preserve">Width </t>
  </si>
  <si>
    <t xml:space="preserve">1.5 Mtr and 2.1 Mtr </t>
  </si>
  <si>
    <t>Shed Net</t>
  </si>
  <si>
    <t>Aluminate or Shed Net</t>
  </si>
  <si>
    <t xml:space="preserve">Aluminate </t>
  </si>
  <si>
    <t>Polysack</t>
  </si>
  <si>
    <t xml:space="preserve">HDPE with hot dip aluminium coating for Aluminate </t>
  </si>
  <si>
    <t>High quality metallized knitted screen with a special anti-oxidation and UV-resistant coating</t>
  </si>
  <si>
    <t xml:space="preserve">Shed Percentage </t>
  </si>
  <si>
    <t>50% or 80%</t>
  </si>
  <si>
    <t xml:space="preserve">Minimum 100 GSM and Coating should be Minimum 25 Micron </t>
  </si>
  <si>
    <t xml:space="preserve">Clear Height from Ground </t>
  </si>
  <si>
    <t xml:space="preserve">3300 MM </t>
  </si>
  <si>
    <t xml:space="preserve">Side Shade Net Requirement </t>
  </si>
  <si>
    <t xml:space="preserve">Shed Net Mechanism </t>
  </si>
  <si>
    <t xml:space="preserve">Operating Mechanism </t>
  </si>
  <si>
    <t>Manual with Rope</t>
  </si>
  <si>
    <t>Maximum operating length in one go</t>
  </si>
  <si>
    <t xml:space="preserve">Steel Wire </t>
  </si>
  <si>
    <t>(i)</t>
  </si>
  <si>
    <t>(ii)</t>
  </si>
  <si>
    <t>GI / SS</t>
  </si>
  <si>
    <t>(iii)</t>
  </si>
  <si>
    <t>Diameter / Thickness</t>
  </si>
  <si>
    <t xml:space="preserve">3 MM Clutch wire &amp; 4 MM Twisted Wire </t>
  </si>
  <si>
    <t>(iv)</t>
  </si>
  <si>
    <t>Number of Wire lines in 1 dome</t>
  </si>
  <si>
    <t>3 MM wire in N-S Direction- 2 in 1 Dome 
4 MM Twisted wire in E-W direction (Front and Back Only)</t>
  </si>
  <si>
    <t>(v)</t>
  </si>
  <si>
    <t xml:space="preserve">Wire Locking arrangement with Column </t>
  </si>
  <si>
    <t xml:space="preserve">Small Clamps </t>
  </si>
  <si>
    <t xml:space="preserve">Plastic Wire </t>
  </si>
  <si>
    <t>Plastic</t>
  </si>
  <si>
    <t xml:space="preserve">2.2 MM </t>
  </si>
  <si>
    <t xml:space="preserve">10 (N-S orientation) </t>
  </si>
  <si>
    <t>(vi)</t>
  </si>
  <si>
    <t xml:space="preserve">Pulley Material </t>
  </si>
  <si>
    <t>Hook</t>
  </si>
  <si>
    <t xml:space="preserve">Locking Clip Material </t>
  </si>
  <si>
    <t>Plastic Clip</t>
  </si>
  <si>
    <t xml:space="preserve">Plant Support Wire (Trellising) </t>
  </si>
  <si>
    <t xml:space="preserve">3 Mtr </t>
  </si>
  <si>
    <t>Number of PSW in 1 Dome</t>
  </si>
  <si>
    <t xml:space="preserve">10 Nos. 
9 in East Most dome 
11 in West Most dome </t>
  </si>
  <si>
    <t>North - South</t>
  </si>
  <si>
    <t xml:space="preserve">Wire Make </t>
  </si>
  <si>
    <t xml:space="preserve">Wire Material </t>
  </si>
  <si>
    <t>Wire Diameter / Thickness</t>
  </si>
  <si>
    <t xml:space="preserve">4MM </t>
  </si>
  <si>
    <t xml:space="preserve">Wire Tensile Strength </t>
  </si>
  <si>
    <t xml:space="preserve">Insect Net </t>
  </si>
  <si>
    <t xml:space="preserve">HDPE Monofilament Yarn </t>
  </si>
  <si>
    <t>Mesh Type (Rectangular / Square)</t>
  </si>
  <si>
    <t xml:space="preserve">Mesh Size </t>
  </si>
  <si>
    <t>40 Mesh</t>
  </si>
  <si>
    <t xml:space="preserve">40 Mesh </t>
  </si>
  <si>
    <t xml:space="preserve">Transparent </t>
  </si>
  <si>
    <t xml:space="preserve">Minimum 100 GSM </t>
  </si>
  <si>
    <t xml:space="preserve">120 GSM </t>
  </si>
  <si>
    <t xml:space="preserve">Light Diffusion </t>
  </si>
  <si>
    <t>990N (Warp) 657N (Weft)</t>
  </si>
  <si>
    <t>Bird Net</t>
  </si>
  <si>
    <t>Thread Thickness</t>
  </si>
  <si>
    <t xml:space="preserve">Weed Mat </t>
  </si>
  <si>
    <t>PP</t>
  </si>
  <si>
    <t xml:space="preserve">White-White </t>
  </si>
  <si>
    <t xml:space="preserve">130 GSM </t>
  </si>
  <si>
    <t>4.1 Mtr</t>
  </si>
  <si>
    <t xml:space="preserve">Locking Mechanism </t>
  </si>
  <si>
    <t xml:space="preserve">8" SS/GI nails </t>
  </si>
  <si>
    <t xml:space="preserve">Air Circulation Fan </t>
  </si>
  <si>
    <t xml:space="preserve">- Fan should have flow rate (CFM) of 1/4 of Polyhouse Volume.
- Placement of Fan is digonally opposite corners but from ends and sides to develop circular pattern of air movement. </t>
  </si>
  <si>
    <t xml:space="preserve">SS </t>
  </si>
  <si>
    <t>N-S</t>
  </si>
  <si>
    <t xml:space="preserve">Installation Height </t>
  </si>
  <si>
    <t xml:space="preserve">3.3 Mtr </t>
  </si>
  <si>
    <t xml:space="preserve">Location </t>
  </si>
  <si>
    <t>Near Column Pipe</t>
  </si>
  <si>
    <t xml:space="preserve">Voltage </t>
  </si>
  <si>
    <t xml:space="preserve">220 V </t>
  </si>
  <si>
    <t xml:space="preserve">Power </t>
  </si>
  <si>
    <t xml:space="preserve">250 Watt </t>
  </si>
  <si>
    <t xml:space="preserve">Phase </t>
  </si>
  <si>
    <t>Single</t>
  </si>
  <si>
    <t xml:space="preserve">Air Volume </t>
  </si>
  <si>
    <t>6300 CMH</t>
  </si>
  <si>
    <t xml:space="preserve">Air Flow </t>
  </si>
  <si>
    <t>18 - 22 Mtr</t>
  </si>
  <si>
    <t xml:space="preserve">560 MM x 560 MM x 380 MM </t>
  </si>
  <si>
    <t xml:space="preserve">Number of Blades </t>
  </si>
  <si>
    <t xml:space="preserve">Blade Speed </t>
  </si>
  <si>
    <t>935 RPM</t>
  </si>
  <si>
    <t xml:space="preserve">Fogger </t>
  </si>
  <si>
    <t>Make</t>
  </si>
  <si>
    <t xml:space="preserve">Netafim - Coolnet Pro 'C' </t>
  </si>
  <si>
    <t xml:space="preserve">Flow </t>
  </si>
  <si>
    <t>22 LPH (5.5 LPH per Nozzle)</t>
  </si>
  <si>
    <t xml:space="preserve">Four Way (Cross) </t>
  </si>
  <si>
    <t>Leakage Prevention Device (AD Valve)</t>
  </si>
  <si>
    <t xml:space="preserve">AD30 </t>
  </si>
  <si>
    <t>Spacing between 2 Foggers</t>
  </si>
  <si>
    <t>2.5 Mtr</t>
  </si>
  <si>
    <t>Spacing between 2 Lateral lines</t>
  </si>
  <si>
    <t xml:space="preserve">2.67 Mtr </t>
  </si>
  <si>
    <t xml:space="preserve">Lateral Pipe Dia </t>
  </si>
  <si>
    <t>16 MM</t>
  </si>
  <si>
    <t xml:space="preserve">Black </t>
  </si>
  <si>
    <t xml:space="preserve">Pressure rating </t>
  </si>
  <si>
    <t>4 Kg/cm2</t>
  </si>
  <si>
    <t>Netafim - Gyronet LR 070</t>
  </si>
  <si>
    <t xml:space="preserve">70 LPH </t>
  </si>
  <si>
    <t xml:space="preserve">Spacing between 2 Sprinkler </t>
  </si>
  <si>
    <t xml:space="preserve">4 Mtr </t>
  </si>
  <si>
    <t xml:space="preserve">Irrigation </t>
  </si>
  <si>
    <t>Lateral Pipe</t>
  </si>
  <si>
    <t>12MM / 16MM / 20MM</t>
  </si>
  <si>
    <t xml:space="preserve">Single </t>
  </si>
  <si>
    <t xml:space="preserve">Double </t>
  </si>
  <si>
    <t xml:space="preserve">Outer - White
Inner - Black </t>
  </si>
  <si>
    <t>2.5 Kg/cm2</t>
  </si>
  <si>
    <t>Netafim</t>
  </si>
  <si>
    <t xml:space="preserve">Dripper </t>
  </si>
  <si>
    <t>PCJ (Shold be of Pressure Comensated type)</t>
  </si>
  <si>
    <t xml:space="preserve">1.2 LPH (Can be changed as per requirement) </t>
  </si>
  <si>
    <t xml:space="preserve">3x5 MM </t>
  </si>
  <si>
    <t xml:space="preserve">White, if available </t>
  </si>
  <si>
    <t xml:space="preserve">Model </t>
  </si>
  <si>
    <t xml:space="preserve">Angle 1.6 LPH </t>
  </si>
  <si>
    <t xml:space="preserve">Snapeg 30 Degree Short </t>
  </si>
  <si>
    <t>Clamps and Nut Bolts</t>
  </si>
  <si>
    <t>Clamps</t>
  </si>
  <si>
    <t xml:space="preserve">Nut &amp; Bolts </t>
  </si>
  <si>
    <t xml:space="preserve">Grade </t>
  </si>
  <si>
    <t>V3.1</t>
  </si>
  <si>
    <t xml:space="preserve">Water Requirement / Sqm </t>
  </si>
  <si>
    <t>Water Requirement</t>
  </si>
  <si>
    <t>Dripper Configuration</t>
  </si>
  <si>
    <t xml:space="preserve">Length 1 </t>
  </si>
  <si>
    <t>Length 2</t>
  </si>
  <si>
    <t xml:space="preserve">Width 1 </t>
  </si>
  <si>
    <t>Width 2</t>
  </si>
  <si>
    <t xml:space="preserve">Total Domes </t>
  </si>
  <si>
    <t>PH Area</t>
  </si>
  <si>
    <t xml:space="preserve">Road @ Centre </t>
  </si>
  <si>
    <t>Inside Road Area</t>
  </si>
  <si>
    <t xml:space="preserve">Hockey Area </t>
  </si>
  <si>
    <t xml:space="preserve">Plants per SqM </t>
  </si>
  <si>
    <t xml:space="preserve">Growing </t>
  </si>
  <si>
    <t xml:space="preserve">Fogging </t>
  </si>
  <si>
    <t xml:space="preserve">Slab Length 1 </t>
  </si>
  <si>
    <t>Slab Length 2</t>
  </si>
  <si>
    <t>SC Land</t>
  </si>
  <si>
    <t>Q</t>
  </si>
  <si>
    <t>Polyhouse Dimensions</t>
  </si>
  <si>
    <t xml:space="preserve">Dome </t>
  </si>
  <si>
    <t>Width (E-W)</t>
  </si>
  <si>
    <t>Length (n-s)</t>
  </si>
  <si>
    <t>Area of PH</t>
  </si>
  <si>
    <t xml:space="preserve">Temp and RH Data </t>
  </si>
  <si>
    <t>Mangal Temp RH data .xlsx</t>
  </si>
  <si>
    <t>Psychometric Chart Calculator</t>
  </si>
  <si>
    <t>Lets grow calculator- Psychometric chart calculations.xlsx</t>
  </si>
  <si>
    <t xml:space="preserve">Area of arc (1 Dome) </t>
  </si>
  <si>
    <t>Area upto gutter height (1 Dome)</t>
  </si>
  <si>
    <t>Area of Hockey</t>
  </si>
  <si>
    <t xml:space="preserve">volume of Polyhouse </t>
  </si>
  <si>
    <t xml:space="preserve">Air Exchange Required per Minute </t>
  </si>
  <si>
    <t xml:space="preserve">Monthly Consumption Breakdown </t>
  </si>
  <si>
    <t xml:space="preserve">Month </t>
  </si>
  <si>
    <t xml:space="preserve">Days </t>
  </si>
  <si>
    <t>Avg. RH</t>
  </si>
  <si>
    <t>Avg. Temp</t>
  </si>
  <si>
    <t>Absolute Humidity (gm/m3)</t>
  </si>
  <si>
    <t>Achivable Temp @ 80% RH</t>
  </si>
  <si>
    <t>Ab Rh @ Achivable Temp &amp; 80% Rh (gm/m3)</t>
  </si>
  <si>
    <t>Moisture to add (ml/m3)</t>
  </si>
  <si>
    <t xml:space="preserve">Water Required </t>
  </si>
  <si>
    <t>Requirement Ltr/SqM/Day</t>
  </si>
  <si>
    <t>Fogger @ 50% Rh</t>
  </si>
  <si>
    <t>Fogger Requirement Ltr/SqM/Day</t>
  </si>
  <si>
    <t xml:space="preserve">Plant </t>
  </si>
  <si>
    <t>Plant Requirement Ltr/SqM/Day</t>
  </si>
  <si>
    <t>Fogger @ 60% Rh</t>
  </si>
  <si>
    <t xml:space="preserve">Jan </t>
  </si>
  <si>
    <t>Feb</t>
  </si>
  <si>
    <t>Mar</t>
  </si>
  <si>
    <t>Apr</t>
  </si>
  <si>
    <t>May</t>
  </si>
  <si>
    <t>Jun</t>
  </si>
  <si>
    <t>Jul</t>
  </si>
  <si>
    <t>Aug</t>
  </si>
  <si>
    <t>Sep</t>
  </si>
  <si>
    <t>Oct</t>
  </si>
  <si>
    <t>Nov</t>
  </si>
  <si>
    <t>Dec</t>
  </si>
  <si>
    <t>Achivable Temp @ 50% RH</t>
  </si>
  <si>
    <t>Ab Rh @ Achivable Temp &amp; 50% Rh (gm/m3)</t>
  </si>
  <si>
    <t>Achivable Temp @ 60% RH</t>
  </si>
  <si>
    <t>Ab Rh @ Achivable Temp @ 60% Rh (gm/m3)</t>
  </si>
  <si>
    <t xml:space="preserve">Trapazoidal Drain Calculator </t>
  </si>
  <si>
    <t>H:W</t>
  </si>
  <si>
    <t>1:1</t>
  </si>
  <si>
    <t xml:space="preserve">Mannings Coffiecient </t>
  </si>
  <si>
    <t xml:space="preserve">Top Width </t>
  </si>
  <si>
    <t xml:space="preserve">Slope </t>
  </si>
  <si>
    <t xml:space="preserve">Height </t>
  </si>
  <si>
    <t xml:space="preserve">Bottom Width </t>
  </si>
  <si>
    <t xml:space="preserve">Water flow Depth </t>
  </si>
  <si>
    <t xml:space="preserve">Hydraulic Radius </t>
  </si>
  <si>
    <t xml:space="preserve">Wetted Perimeter </t>
  </si>
  <si>
    <t xml:space="preserve">Freeboard </t>
  </si>
  <si>
    <t xml:space="preserve">Velocity </t>
  </si>
  <si>
    <t xml:space="preserve">Rain Intensity </t>
  </si>
  <si>
    <t xml:space="preserve">Bay-1 </t>
  </si>
  <si>
    <t xml:space="preserve">North Side of the unit </t>
  </si>
  <si>
    <t>Bay-2</t>
  </si>
  <si>
    <t xml:space="preserve">South Side of the unit </t>
  </si>
  <si>
    <t xml:space="preserve">If a unit has only 1 bay that means it has no internal road. </t>
  </si>
  <si>
    <t>Plot</t>
  </si>
  <si>
    <t>Location</t>
  </si>
  <si>
    <t>Rainfall</t>
  </si>
  <si>
    <t xml:space="preserve">Catchment Factor </t>
  </si>
  <si>
    <t>Node Start</t>
  </si>
  <si>
    <t xml:space="preserve">Node End </t>
  </si>
  <si>
    <t>West</t>
  </si>
  <si>
    <t>North_West</t>
  </si>
  <si>
    <t xml:space="preserve">North </t>
  </si>
  <si>
    <t>North_East</t>
  </si>
  <si>
    <t>3A</t>
  </si>
  <si>
    <t>8B</t>
  </si>
  <si>
    <t>11B</t>
  </si>
  <si>
    <t>8A</t>
  </si>
  <si>
    <t>8C</t>
  </si>
  <si>
    <t>South</t>
  </si>
  <si>
    <t>7A</t>
  </si>
  <si>
    <t>4A</t>
  </si>
  <si>
    <t>9A</t>
  </si>
  <si>
    <t>4B</t>
  </si>
  <si>
    <t>South_West</t>
  </si>
  <si>
    <t>South_East</t>
  </si>
  <si>
    <t>11A</t>
  </si>
  <si>
    <t>7B</t>
  </si>
  <si>
    <t>13A</t>
  </si>
  <si>
    <t>15A</t>
  </si>
  <si>
    <t>Tank</t>
  </si>
  <si>
    <t xml:space="preserve">RO Tank </t>
  </si>
  <si>
    <t xml:space="preserve">Refuse North </t>
  </si>
  <si>
    <t>35B</t>
  </si>
  <si>
    <t>35A</t>
  </si>
  <si>
    <t>East</t>
  </si>
  <si>
    <t>South_west</t>
  </si>
  <si>
    <t>36A</t>
  </si>
  <si>
    <t xml:space="preserve">Fertigation </t>
  </si>
  <si>
    <t>Fertigation Zone</t>
  </si>
  <si>
    <t>Road Area</t>
  </si>
  <si>
    <t>26B</t>
  </si>
  <si>
    <t>26A</t>
  </si>
  <si>
    <t>Switch Yard</t>
  </si>
  <si>
    <t xml:space="preserve">S_Y_South </t>
  </si>
  <si>
    <t>Office</t>
  </si>
  <si>
    <t>Office Area</t>
  </si>
  <si>
    <t>44A</t>
  </si>
  <si>
    <t>44B</t>
  </si>
  <si>
    <t>51B</t>
  </si>
  <si>
    <t>51A</t>
  </si>
  <si>
    <t>Stream</t>
  </si>
  <si>
    <t xml:space="preserve">Starting Node Point </t>
  </si>
  <si>
    <t xml:space="preserve">End Node Point </t>
  </si>
  <si>
    <t>Height</t>
  </si>
  <si>
    <t xml:space="preserve">Water Flow Depth </t>
  </si>
  <si>
    <t>Actual Top Level at Start</t>
  </si>
  <si>
    <t>Start Invert Level</t>
  </si>
  <si>
    <t>End Invert Level</t>
  </si>
  <si>
    <t xml:space="preserve">Required Top Level at End </t>
  </si>
  <si>
    <t xml:space="preserve">Actual Top Level at End </t>
  </si>
  <si>
    <t>Extra Height at ends</t>
  </si>
  <si>
    <t xml:space="preserve">Actual TW at ends </t>
  </si>
  <si>
    <t xml:space="preserve">Actual Flow of Drain </t>
  </si>
  <si>
    <t xml:space="preserve">Additional Flow </t>
  </si>
  <si>
    <t>Height at Start</t>
  </si>
  <si>
    <t>Height at End</t>
  </si>
  <si>
    <t>TW Min</t>
  </si>
  <si>
    <t>TW Avg</t>
  </si>
  <si>
    <t>Volume @ Min TW</t>
  </si>
  <si>
    <t>Volume @ Avg TW</t>
  </si>
  <si>
    <t>Perimeter</t>
  </si>
  <si>
    <t>H:V</t>
  </si>
  <si>
    <t>49A</t>
  </si>
  <si>
    <t>58A</t>
  </si>
  <si>
    <t>84A</t>
  </si>
  <si>
    <t>87A</t>
  </si>
  <si>
    <t>70A</t>
  </si>
  <si>
    <t>Max Flow</t>
  </si>
  <si>
    <t>Node</t>
  </si>
  <si>
    <t>Level</t>
  </si>
  <si>
    <t>Zone</t>
  </si>
  <si>
    <t>AP</t>
  </si>
  <si>
    <t>Dripper</t>
  </si>
  <si>
    <t xml:space="preserve">Distance </t>
  </si>
  <si>
    <t>Average Level</t>
  </si>
  <si>
    <t xml:space="preserve">Required Level </t>
  </si>
  <si>
    <t>C(-)/F(+)</t>
  </si>
  <si>
    <t xml:space="preserve">Net Volume </t>
  </si>
  <si>
    <t>Existing Levels</t>
  </si>
  <si>
    <t>Required levels</t>
  </si>
  <si>
    <t xml:space="preserve">Bund Levels </t>
  </si>
  <si>
    <t>S.N.</t>
  </si>
  <si>
    <t xml:space="preserve">Actual Level </t>
  </si>
  <si>
    <t xml:space="preserve">Level to Raise </t>
  </si>
  <si>
    <t xml:space="preserve">Cross Section Area </t>
  </si>
  <si>
    <t>Cutting</t>
  </si>
  <si>
    <t>Filling</t>
  </si>
  <si>
    <t xml:space="preserve">DWG Name </t>
  </si>
  <si>
    <t>Description</t>
  </si>
  <si>
    <t xml:space="preserve">Status </t>
  </si>
  <si>
    <t xml:space="preserve">Complete Layout </t>
  </si>
  <si>
    <t xml:space="preserve">Complete Layout integrating all the sub drawings </t>
  </si>
  <si>
    <t>ok</t>
  </si>
  <si>
    <t xml:space="preserve">Polyhouse Positions with dimensions </t>
  </si>
  <si>
    <t xml:space="preserve">Bund </t>
  </si>
  <si>
    <t xml:space="preserve">Bund Overall with boundary </t>
  </si>
  <si>
    <t xml:space="preserve">Cross-sections at different locations with level difference  </t>
  </si>
  <si>
    <t>Common Section</t>
  </si>
  <si>
    <t xml:space="preserve">Road </t>
  </si>
  <si>
    <t xml:space="preserve">Road connections with units and amnities </t>
  </si>
  <si>
    <t>Cross-sections (cutting road perpendicularly) at every open segment</t>
  </si>
  <si>
    <t xml:space="preserve">Complete cross-section (parallelly)   </t>
  </si>
  <si>
    <t>Drain</t>
  </si>
  <si>
    <t xml:space="preserve">Drainage Drawing Complete </t>
  </si>
  <si>
    <t xml:space="preserve">Section drawing at every junction </t>
  </si>
  <si>
    <t xml:space="preserve">Position and cross section of hume pipes </t>
  </si>
  <si>
    <t xml:space="preserve">Position and cross section of trench and hume pipe crossings </t>
  </si>
  <si>
    <t>Raw Ponds</t>
  </si>
  <si>
    <t xml:space="preserve">Location with reference to units </t>
  </si>
  <si>
    <t xml:space="preserve">Section drawing </t>
  </si>
  <si>
    <t>Section Drawing</t>
  </si>
  <si>
    <t xml:space="preserve">Zinc Tank </t>
  </si>
  <si>
    <t xml:space="preserve">Foundation </t>
  </si>
  <si>
    <t xml:space="preserve">EE </t>
  </si>
  <si>
    <t>Switch Yard Sections and Layout</t>
  </si>
  <si>
    <t xml:space="preserve">Main Panel section and layout </t>
  </si>
  <si>
    <t xml:space="preserve">Sub Panel Section and layout </t>
  </si>
  <si>
    <t>=</t>
  </si>
  <si>
    <t xml:space="preserve">DG Section and Layout </t>
  </si>
  <si>
    <t>EE single line diagram</t>
  </si>
  <si>
    <t xml:space="preserve">Cable Routing </t>
  </si>
  <si>
    <t xml:space="preserve">Transformer Section and Layout </t>
  </si>
  <si>
    <t xml:space="preserve">IOT </t>
  </si>
  <si>
    <t xml:space="preserve">Contaioner Foundation Section and Layout </t>
  </si>
  <si>
    <t xml:space="preserve">Ethernet Cable Routing </t>
  </si>
  <si>
    <t xml:space="preserve">Single Line Diagram for Cables IOT </t>
  </si>
  <si>
    <t xml:space="preserve">Pump foundations sections and layout </t>
  </si>
  <si>
    <t xml:space="preserve">Filtration system foundation and layout </t>
  </si>
  <si>
    <t xml:space="preserve">Plumbing Single line diagram </t>
  </si>
  <si>
    <t xml:space="preserve">Plumbing Layout </t>
  </si>
  <si>
    <t xml:space="preserve">Borewell Positioning layout </t>
  </si>
  <si>
    <t xml:space="preserve">Fogging system Layout - Unit Specific </t>
  </si>
  <si>
    <t>Sprinkler System- Unit Specific</t>
  </si>
  <si>
    <t xml:space="preserve">Irrigation System- Centralised as well as unit specific </t>
  </si>
  <si>
    <t xml:space="preserve">Spray system- Unit Specific </t>
  </si>
  <si>
    <t xml:space="preserve">Ro outlet, RAW outlet, Plumbing till Amnities </t>
  </si>
  <si>
    <t xml:space="preserve">Misc </t>
  </si>
  <si>
    <t>Amnities</t>
  </si>
  <si>
    <t xml:space="preserve">Toilets -Position and cross-sections </t>
  </si>
  <si>
    <t>Toilet Soak pit- Position and cross-sections</t>
  </si>
  <si>
    <t xml:space="preserve">Rest Area- Position and Cross sections </t>
  </si>
  <si>
    <t xml:space="preserve">Drinking water facility- Position and cross sections </t>
  </si>
  <si>
    <t xml:space="preserve">Canteen- Layout and Cross sections </t>
  </si>
  <si>
    <t xml:space="preserve">Loading/ Unloading Zone- Position and cross sections </t>
  </si>
  <si>
    <t>Store/Fert. Store/Fert. Room- Layout, Position and cross section</t>
  </si>
  <si>
    <t>Office- Layout and cross sections</t>
  </si>
  <si>
    <t>Parking- Layput and cross sections</t>
  </si>
  <si>
    <t xml:space="preserve">Trench </t>
  </si>
  <si>
    <t xml:space="preserve">Position and detailed drawing of Trench </t>
  </si>
  <si>
    <t xml:space="preserve">Levels </t>
  </si>
  <si>
    <t xml:space="preserve">Unit Levels </t>
  </si>
  <si>
    <t xml:space="preserve">Outside Levels </t>
  </si>
  <si>
    <t xml:space="preserve">Fencing </t>
  </si>
  <si>
    <t>Typical  Layout and cross section</t>
  </si>
  <si>
    <t xml:space="preserve">Sprinkler ponds </t>
  </si>
  <si>
    <t xml:space="preserve">Position and cross sections </t>
  </si>
  <si>
    <t xml:space="preserve">Recirculation tank </t>
  </si>
  <si>
    <t xml:space="preserve">Position and cross section- Unit specific </t>
  </si>
  <si>
    <t xml:space="preserve">Position and cross section of foundation- Unit specific </t>
  </si>
  <si>
    <t>Plot &amp; Unit</t>
  </si>
  <si>
    <t>Cutting/Filling</t>
  </si>
  <si>
    <t>Qty in CUM</t>
  </si>
  <si>
    <t>Filling Into/Cutting From</t>
  </si>
  <si>
    <t>Unit &amp; Segment That Are Fill &amp; Cutting</t>
  </si>
  <si>
    <t>Filling Into</t>
  </si>
  <si>
    <t>B, D Unit &amp; 44, 49, 50 Plot</t>
  </si>
  <si>
    <t>Total Cutting</t>
  </si>
  <si>
    <t>Required</t>
  </si>
  <si>
    <t>Remaining</t>
  </si>
  <si>
    <t>47 Plot</t>
  </si>
  <si>
    <t>C, H Unit &amp; 48 Plot</t>
  </si>
  <si>
    <t>I, J Unit</t>
  </si>
  <si>
    <t>O Unit &amp; 9 Segment</t>
  </si>
  <si>
    <t>8b, 8c</t>
  </si>
  <si>
    <t>8a</t>
  </si>
  <si>
    <t>P Unit</t>
  </si>
  <si>
    <t>N, M Unit &amp; 11 &amp; 13 Plot</t>
  </si>
  <si>
    <t>K, L Unit &amp; 17, 19, 22, 23 Plot</t>
  </si>
  <si>
    <t>26, 35, 40, 42, 46 Plot</t>
  </si>
  <si>
    <t>All Road</t>
  </si>
  <si>
    <t>*</t>
  </si>
  <si>
    <t>All Pond</t>
  </si>
  <si>
    <t xml:space="preserve">Issue </t>
  </si>
  <si>
    <t>Comment-1</t>
  </si>
  <si>
    <t>Comment-2</t>
  </si>
  <si>
    <t xml:space="preserve">Drawing </t>
  </si>
  <si>
    <t>Boundary</t>
  </si>
  <si>
    <t>Ok</t>
  </si>
  <si>
    <t xml:space="preserve">Ok </t>
  </si>
  <si>
    <t>264.5 M</t>
  </si>
  <si>
    <t>Fencing</t>
  </si>
  <si>
    <t>Outside boundary. If the most and west boundaries are found to be smaller than expected then the height should be increased</t>
  </si>
  <si>
    <t>Unit Levels</t>
  </si>
  <si>
    <t>Unit Markings</t>
  </si>
  <si>
    <t xml:space="preserve">To be shifted 0.5m/ 1m inside as per design requirements. Leveling to be done as per origional. </t>
  </si>
  <si>
    <t>Finalised</t>
  </si>
  <si>
    <t>Road Levels</t>
  </si>
  <si>
    <t>Initial levels finalised. Final level depends on the type of road.</t>
  </si>
  <si>
    <t xml:space="preserve">Gates to be kept at the end of drain. Internal Levels Okay. </t>
  </si>
  <si>
    <t>Ponds</t>
  </si>
  <si>
    <t xml:space="preserve">Depth-3M min. or upto purge water. Pumps to be installed to drain the water. KS-1012+. In monsoon season ponds to be kept empty. </t>
  </si>
  <si>
    <t xml:space="preserve">Lined Drain will be there near 4 Mtr Road. </t>
  </si>
  <si>
    <t>Lining Finalisation Pending</t>
  </si>
  <si>
    <t xml:space="preserve">RO shed </t>
  </si>
  <si>
    <t>Foundation Okay</t>
  </si>
  <si>
    <t xml:space="preserve">Shed Pending </t>
  </si>
  <si>
    <t>Zinc Tank Foundations</t>
  </si>
  <si>
    <t xml:space="preserve">Depends on Vendor requirement </t>
  </si>
  <si>
    <t>Fertigation Room+store</t>
  </si>
  <si>
    <t>Okay</t>
  </si>
  <si>
    <t xml:space="preserve">Size to be reduced. Shaded area approx 500 Sqm and open area 760 Sqm. Allotted area should be same incase future extension required. </t>
  </si>
  <si>
    <t>Loading and Unloading Zone</t>
  </si>
  <si>
    <t>To be made at the end of project. See the possiblity to shift near the warehouse</t>
  </si>
  <si>
    <t>Pump Foundation + Shed</t>
  </si>
  <si>
    <t>Pending</t>
  </si>
  <si>
    <t xml:space="preserve">Panel Foundation + Shed </t>
  </si>
  <si>
    <t>DG Foundation</t>
  </si>
  <si>
    <t>Guard Room</t>
  </si>
  <si>
    <t xml:space="preserve">1 Mtr pavement and shed </t>
  </si>
  <si>
    <t xml:space="preserve">Toilets </t>
  </si>
  <si>
    <t>OK</t>
  </si>
  <si>
    <t xml:space="preserve">Transformer </t>
  </si>
  <si>
    <t xml:space="preserve">Drainage Tanks </t>
  </si>
  <si>
    <t xml:space="preserve">One Tank Per unit </t>
  </si>
  <si>
    <t xml:space="preserve">UV Tanks </t>
  </si>
  <si>
    <t xml:space="preserve">75KL tanks X8 Pending </t>
  </si>
  <si>
    <t>Cement Tanks for ro supports</t>
  </si>
  <si>
    <t xml:space="preserve">Dimensions final </t>
  </si>
  <si>
    <t xml:space="preserve">BOM Pending </t>
  </si>
  <si>
    <t>Trench and Hume pipe</t>
  </si>
  <si>
    <t>Drain Connection</t>
  </si>
  <si>
    <t xml:space="preserve">Polyhouse Foundation </t>
  </si>
  <si>
    <t xml:space="preserve">Entry Room Flooring </t>
  </si>
  <si>
    <t xml:space="preserve">Parking </t>
  </si>
  <si>
    <t xml:space="preserve">Site Gate </t>
  </si>
  <si>
    <t xml:space="preserve">UV System </t>
  </si>
  <si>
    <t xml:space="preserve">Cooling Tower </t>
  </si>
  <si>
    <t xml:space="preserve">DO System </t>
  </si>
  <si>
    <t xml:space="preserve">Well Covering </t>
  </si>
  <si>
    <t xml:space="preserve">Spray Tank Foundations near site </t>
  </si>
  <si>
    <t>Labour Quarters</t>
  </si>
  <si>
    <t>Permanent - Pending</t>
  </si>
  <si>
    <t xml:space="preserve">Land not finalised </t>
  </si>
  <si>
    <t xml:space="preserve">Structure </t>
  </si>
  <si>
    <t>Outsource</t>
  </si>
  <si>
    <t xml:space="preserve">Design Pending </t>
  </si>
  <si>
    <t xml:space="preserve">Entry Gates </t>
  </si>
  <si>
    <t>Boring</t>
  </si>
  <si>
    <t xml:space="preserve">50% part Survey Pending </t>
  </si>
  <si>
    <t>Boring Header</t>
  </si>
  <si>
    <t xml:space="preserve">Done </t>
  </si>
  <si>
    <t xml:space="preserve">Centralised Control System- Automation  (Automatic tank filling, Boring recovery period, Dry run protection, pressure monitoring system).  Data representation near ro shed. </t>
  </si>
  <si>
    <t xml:space="preserve">Boring Break tank Pump </t>
  </si>
  <si>
    <t>Automation (Pump dry run protecion. Float switch)</t>
  </si>
  <si>
    <t>Dry run Protection  in both Primary and secondary RO systems</t>
  </si>
  <si>
    <t>Sprinkler Plumbing</t>
  </si>
  <si>
    <t>Pressure Protection in case all valves gets off</t>
  </si>
  <si>
    <t>Pressure Switch System</t>
  </si>
  <si>
    <t xml:space="preserve">Fogger and Spray Tank Filling </t>
  </si>
  <si>
    <t>Pressure boosting system and Diskfilter</t>
  </si>
  <si>
    <t xml:space="preserve">Irrigation Drainage </t>
  </si>
  <si>
    <t>Dripjet</t>
  </si>
  <si>
    <t>Max Drain water usage-30% Min Drain water usage-0%. EC PH stabilisation need to be done before 4 Seconds.</t>
  </si>
  <si>
    <t>Drenching option required. Maximum switching time for irrigation valve can be 3Sec. Solenoid placed near the unit. Distance- 50 M to 500 M. Tank size should be lesser then the previous models</t>
  </si>
  <si>
    <t xml:space="preserve">Pressure differece after solenoid should be max 5 m. from 1 lateral to last lateral. </t>
  </si>
  <si>
    <t>apron crossing for irrigation line, network, electrical cable</t>
  </si>
  <si>
    <t xml:space="preserve">Weed mat in Open Area </t>
  </si>
  <si>
    <t>37000 Sqm Area, deployment depends on the budget</t>
  </si>
  <si>
    <t xml:space="preserve">drain crossings are still pending. </t>
  </si>
  <si>
    <t>you have made only cable and pipe crossings</t>
  </si>
  <si>
    <t xml:space="preserve">all plumbings going underground need to be below the drain invert level at each crossing. </t>
  </si>
  <si>
    <t>sprinkler and fogger line for A could have gone directly instead of taking 90˚turns</t>
  </si>
  <si>
    <t>and sprinkler valve for A unit can be closer to D unit and C unit can be closer to B unit</t>
  </si>
  <si>
    <t>unit B entry rrom has an crossing on just outside</t>
  </si>
  <si>
    <t xml:space="preserve">B,D ka common spray tank dedo. </t>
  </si>
  <si>
    <t>irrigation valves can be broken insdie the unit</t>
  </si>
  <si>
    <t>#4 crossing ko upar shift kardo</t>
  </si>
  <si>
    <t>#12 crossing can be removed by re routing the pipes through #11 crossing</t>
  </si>
  <si>
    <t>#17 crossing delete</t>
  </si>
  <si>
    <t xml:space="preserve">Leader </t>
  </si>
  <si>
    <t xml:space="preserve">Pump </t>
  </si>
  <si>
    <t xml:space="preserve">Requirement </t>
  </si>
  <si>
    <t>KS6-180-1024</t>
  </si>
  <si>
    <t xml:space="preserve">Submersible </t>
  </si>
  <si>
    <t>10 Hp</t>
  </si>
  <si>
    <t xml:space="preserve">Borewell </t>
  </si>
  <si>
    <t xml:space="preserve">S1 to S10 </t>
  </si>
  <si>
    <t xml:space="preserve">- There will be 2 Borewell header consisting 5 Pumps each.
-  Centralised Control System
- Automation  (Automatic tank filling, Boring recovery period, Dry run protection, pressure monitoring system). 
- Data representation required near ro shed. </t>
  </si>
  <si>
    <t xml:space="preserve">10 Points are finalised yet. Can be increased in future. </t>
  </si>
  <si>
    <t>GMC-134</t>
  </si>
  <si>
    <t>Monoblock</t>
  </si>
  <si>
    <t>1 Hp</t>
  </si>
  <si>
    <t xml:space="preserve">Secondary Refuse to Toilets </t>
  </si>
  <si>
    <t xml:space="preserve">Zinc Tank Secondary Refuse </t>
  </si>
  <si>
    <t xml:space="preserve">- Pressure Boosting/ Switch System </t>
  </si>
  <si>
    <t>RO Drinking Water to Rest Area</t>
  </si>
  <si>
    <t>Near Zinc Tank Irrigation</t>
  </si>
  <si>
    <t>KDI-1030</t>
  </si>
  <si>
    <t xml:space="preserve">Ro Product Irrigation Cement Tank to Zink Tank </t>
  </si>
  <si>
    <t>Cement Tank- RO Product irrigation</t>
  </si>
  <si>
    <t>-Automation: Pump dry run protection. Float switch</t>
  </si>
  <si>
    <t>Secondary Refuse Cement Tank to Secondary Refuse Zinc Tank</t>
  </si>
  <si>
    <t xml:space="preserve">Cement Tank- Secondary Refuse Tank </t>
  </si>
  <si>
    <t xml:space="preserve">Raw Water Cement Tank to Raw Water Zinc Tank </t>
  </si>
  <si>
    <t xml:space="preserve">Cement Tank- Raw Water Cement Tank </t>
  </si>
  <si>
    <t>KDS-538+</t>
  </si>
  <si>
    <t>5 Hp</t>
  </si>
  <si>
    <t>Zinc tank Fogger to Fogger tanks near unit and RO outlet near unit</t>
  </si>
  <si>
    <t xml:space="preserve">Zinc Tank Fogger </t>
  </si>
  <si>
    <t>KDT-864</t>
  </si>
  <si>
    <t>7.5 Hp</t>
  </si>
  <si>
    <t>To operate Sprinklers</t>
  </si>
  <si>
    <t>-Pressure Protection in case all valves gets off</t>
  </si>
  <si>
    <t>KOS-235</t>
  </si>
  <si>
    <t>2 Hp</t>
  </si>
  <si>
    <t>From drain collection tank to Untreated tank near UV</t>
  </si>
  <si>
    <t xml:space="preserve">Inside Unit recollection Tanks </t>
  </si>
  <si>
    <t>KS-1012</t>
  </si>
  <si>
    <t xml:space="preserve">RO Primary Refuse Cement Tank to Zinc Tank Primary Refuse </t>
  </si>
  <si>
    <t xml:space="preserve">Cement Tank- RO Primary Refuse </t>
  </si>
  <si>
    <t xml:space="preserve">RO product Fogger to Zinc Tank Fogger </t>
  </si>
  <si>
    <t>Cement Tank- RO Product Fogger</t>
  </si>
  <si>
    <t xml:space="preserve">Exit Point </t>
  </si>
  <si>
    <t>Plumbing list</t>
  </si>
  <si>
    <t>Growing</t>
  </si>
  <si>
    <t>Irrigation</t>
  </si>
  <si>
    <t>Recollection</t>
  </si>
  <si>
    <t>Supply line/ tank filling</t>
  </si>
  <si>
    <t>Fogger line-Internal</t>
  </si>
  <si>
    <t>Sprinkler</t>
  </si>
  <si>
    <t>Tank filling-Main line</t>
  </si>
  <si>
    <t>Tank to polyhouse-Distribution</t>
  </si>
  <si>
    <t>Down take pipe to pond- Recollection</t>
  </si>
  <si>
    <t xml:space="preserve">Poly house rain water management </t>
  </si>
  <si>
    <t>Down take pipe , connected to sprinkler recollection pipe</t>
  </si>
  <si>
    <t>Raw tank filling</t>
  </si>
  <si>
    <t>Borewell to Raw tank</t>
  </si>
  <si>
    <t>Drainage Pond to raw tank</t>
  </si>
  <si>
    <t>RO plumbing</t>
  </si>
  <si>
    <t>Raw tank to Primary RO feed</t>
  </si>
  <si>
    <t>Primary RO feed to RO system</t>
  </si>
  <si>
    <t>RO system to primary refuse cement tank</t>
  </si>
  <si>
    <t>Primary refuse tank to zinc tank</t>
  </si>
  <si>
    <t>Zinc tank to secondary RO feed</t>
  </si>
  <si>
    <t>Recondary RO feed to cement tank</t>
  </si>
  <si>
    <t>Sprinklers in Longer Width</t>
  </si>
  <si>
    <t>Sprinklers in Shorter Width</t>
  </si>
  <si>
    <t xml:space="preserve">Total Sprinlkers </t>
  </si>
  <si>
    <t>Flow rate</t>
  </si>
  <si>
    <t xml:space="preserve">Total Flow </t>
  </si>
  <si>
    <t>Area</t>
  </si>
  <si>
    <t>L=W</t>
  </si>
  <si>
    <t>Lateral Pipe 20 MM</t>
  </si>
  <si>
    <t>Micro Sprinkler 120 LPh</t>
  </si>
  <si>
    <t xml:space="preserve">Service saddle </t>
  </si>
  <si>
    <t>Threaded Takeoff</t>
  </si>
  <si>
    <t xml:space="preserve">End Plugs </t>
  </si>
  <si>
    <t>Elbow 20MM</t>
  </si>
  <si>
    <t>u-Clamp 20MM</t>
  </si>
  <si>
    <t>Submain 2"</t>
  </si>
  <si>
    <t>Pond Volume Calculator</t>
  </si>
  <si>
    <t>Length A</t>
  </si>
  <si>
    <t xml:space="preserve">Width B </t>
  </si>
  <si>
    <t>Height H</t>
  </si>
  <si>
    <r>
      <t xml:space="preserve">Angle </t>
    </r>
    <r>
      <rPr>
        <sz val="12"/>
        <color theme="1"/>
        <rFont val="Calibri"/>
        <family val="2"/>
      </rPr>
      <t>α</t>
    </r>
  </si>
  <si>
    <t>Bottom Length a</t>
  </si>
  <si>
    <t>Bottom width b</t>
  </si>
  <si>
    <t>Volume (M3)</t>
  </si>
  <si>
    <t>% Utilization</t>
  </si>
  <si>
    <t xml:space="preserve">Dimesions are in Mtrs </t>
  </si>
  <si>
    <t xml:space="preserve">UoM </t>
  </si>
  <si>
    <t>Pump</t>
  </si>
  <si>
    <t>CPVC</t>
  </si>
  <si>
    <t>Pipe</t>
  </si>
  <si>
    <t>SDR 11</t>
  </si>
  <si>
    <t>2.5"</t>
  </si>
  <si>
    <t>Pump suction</t>
  </si>
  <si>
    <t xml:space="preserve">Union </t>
  </si>
  <si>
    <t>Elbow</t>
  </si>
  <si>
    <t>Ball Valve</t>
  </si>
  <si>
    <t>MS</t>
  </si>
  <si>
    <t xml:space="preserve">Threaded Flange </t>
  </si>
  <si>
    <t>MTA</t>
  </si>
  <si>
    <t xml:space="preserve">Rubber </t>
  </si>
  <si>
    <t>Gasket</t>
  </si>
  <si>
    <t>Socket</t>
  </si>
  <si>
    <t>3"</t>
  </si>
  <si>
    <t>2"</t>
  </si>
  <si>
    <t>Pump Outlet</t>
  </si>
  <si>
    <t>Tee</t>
  </si>
  <si>
    <t>FTA</t>
  </si>
  <si>
    <t>PVC</t>
  </si>
  <si>
    <t>Mta</t>
  </si>
  <si>
    <t>6 Kg/cm2</t>
  </si>
  <si>
    <t>1.5"</t>
  </si>
  <si>
    <t>PRV Return</t>
  </si>
  <si>
    <t>Fta</t>
  </si>
  <si>
    <t>DF</t>
  </si>
  <si>
    <t>Metallic</t>
  </si>
  <si>
    <t>Pr Guage</t>
  </si>
  <si>
    <t>Reducer</t>
  </si>
  <si>
    <t>3"-2"</t>
  </si>
  <si>
    <t xml:space="preserve">Butterfly Valve - Flanged </t>
  </si>
  <si>
    <t>Main-Submain</t>
  </si>
  <si>
    <t>HDPE</t>
  </si>
  <si>
    <t xml:space="preserve">Elbow </t>
  </si>
  <si>
    <t>End Cap</t>
  </si>
  <si>
    <t>Flange with Tail</t>
  </si>
  <si>
    <t>GI</t>
  </si>
  <si>
    <t>Nut Bolts</t>
  </si>
  <si>
    <t>.5"</t>
  </si>
  <si>
    <t xml:space="preserve">Washer </t>
  </si>
  <si>
    <t>Gi</t>
  </si>
  <si>
    <t>U Clamp</t>
  </si>
  <si>
    <t>ARV</t>
  </si>
  <si>
    <t>1"</t>
  </si>
  <si>
    <t>Service Saddle</t>
  </si>
  <si>
    <t>3"-1"</t>
  </si>
  <si>
    <t>PE</t>
  </si>
  <si>
    <t>Lateral</t>
  </si>
  <si>
    <t>20 MM</t>
  </si>
  <si>
    <t>Sprinkler-Distribution</t>
  </si>
  <si>
    <t>Gyronet LR 120</t>
  </si>
  <si>
    <t>3"-20 MM</t>
  </si>
  <si>
    <t>End Plug</t>
  </si>
  <si>
    <t>Fogger Tank Filling and Ro outlet near unit Gate</t>
  </si>
  <si>
    <t>Column1</t>
  </si>
  <si>
    <t>Column2</t>
  </si>
  <si>
    <t>Column3</t>
  </si>
  <si>
    <t>Column4</t>
  </si>
  <si>
    <t>Column5</t>
  </si>
  <si>
    <t>Column6</t>
  </si>
  <si>
    <t>Column7</t>
  </si>
  <si>
    <t>Column8</t>
  </si>
  <si>
    <t>Pump Suction</t>
  </si>
  <si>
    <t>Threaded Flange</t>
  </si>
  <si>
    <t xml:space="preserve">Ball Valve </t>
  </si>
  <si>
    <t>Union</t>
  </si>
  <si>
    <t>PRV</t>
  </si>
  <si>
    <t>Pressure Switch</t>
  </si>
  <si>
    <t>Disk Filter</t>
  </si>
  <si>
    <t xml:space="preserve">Reducer </t>
  </si>
  <si>
    <t xml:space="preserve">Nut Bolt </t>
  </si>
  <si>
    <t>0.5"</t>
  </si>
  <si>
    <t>Washer</t>
  </si>
  <si>
    <t>Tank Inlet</t>
  </si>
  <si>
    <t>Float Valve</t>
  </si>
  <si>
    <t>500 Liters</t>
  </si>
  <si>
    <t>5 KL</t>
  </si>
  <si>
    <t xml:space="preserve">Tank Nipple </t>
  </si>
  <si>
    <t>Tank Drain</t>
  </si>
  <si>
    <t>Pumps</t>
  </si>
  <si>
    <t>Pipe Roll 150M</t>
  </si>
  <si>
    <t>Rolls</t>
  </si>
  <si>
    <t>SS</t>
  </si>
  <si>
    <t xml:space="preserve">Nipple </t>
  </si>
  <si>
    <t>CI</t>
  </si>
  <si>
    <t xml:space="preserve">Elbow Threaded </t>
  </si>
  <si>
    <t>Nut Bolt</t>
  </si>
  <si>
    <t xml:space="preserve">PVC </t>
  </si>
  <si>
    <t xml:space="preserve">NRV-PRV Assembly </t>
  </si>
  <si>
    <t>TEE</t>
  </si>
  <si>
    <t>NRV Flanged</t>
  </si>
  <si>
    <t>2"-1"</t>
  </si>
  <si>
    <t>Rope</t>
  </si>
  <si>
    <t>Rope-150 Mtr</t>
  </si>
  <si>
    <t>S1</t>
  </si>
  <si>
    <t>4"-2"</t>
  </si>
  <si>
    <t>S2</t>
  </si>
  <si>
    <t>S3</t>
  </si>
  <si>
    <t>S4</t>
  </si>
  <si>
    <t>S5</t>
  </si>
  <si>
    <t>S6</t>
  </si>
  <si>
    <t>S7</t>
  </si>
  <si>
    <t>S8</t>
  </si>
  <si>
    <t>S9</t>
  </si>
  <si>
    <t>S10</t>
  </si>
  <si>
    <t>4"</t>
  </si>
  <si>
    <t>Header line-1</t>
  </si>
  <si>
    <t>Header line-2</t>
  </si>
  <si>
    <t>Header line</t>
  </si>
  <si>
    <t>Irrigation Drainage</t>
  </si>
  <si>
    <t>Sink Nipple</t>
  </si>
  <si>
    <t xml:space="preserve">Internal </t>
  </si>
  <si>
    <t>1.25"</t>
  </si>
  <si>
    <t>2"-1.25"</t>
  </si>
  <si>
    <t>Endcap</t>
  </si>
  <si>
    <t>KOS-235M</t>
  </si>
  <si>
    <t>Pump Inlet</t>
  </si>
  <si>
    <t>NRV</t>
  </si>
  <si>
    <t>Outlet</t>
  </si>
  <si>
    <t>ABCD</t>
  </si>
  <si>
    <t>HIKL</t>
  </si>
  <si>
    <t>EFGJ</t>
  </si>
  <si>
    <t>MNOP</t>
  </si>
  <si>
    <t>4"-1.5"</t>
  </si>
  <si>
    <t xml:space="preserve">Header </t>
  </si>
  <si>
    <t>Solenoid</t>
  </si>
  <si>
    <t>Solenoid Valve Flanged</t>
  </si>
  <si>
    <t>Butterfly Valve with Flange</t>
  </si>
  <si>
    <t xml:space="preserve">Flange with Tail </t>
  </si>
  <si>
    <t xml:space="preserve">Nut and Bolts </t>
  </si>
  <si>
    <t xml:space="preserve">Pilot Operated Valve Flanged </t>
  </si>
  <si>
    <t>4"-3/4"</t>
  </si>
  <si>
    <t>Lateral Arrangement</t>
  </si>
  <si>
    <t>3/4"</t>
  </si>
  <si>
    <t>Threaded Takeoff Elbow Type</t>
  </si>
  <si>
    <t>16MM</t>
  </si>
  <si>
    <t>Endplugs</t>
  </si>
  <si>
    <t xml:space="preserve">Secondary waste to Toilets &amp; RO Water to Rest area and Canteen </t>
  </si>
  <si>
    <t>Secondary Waste</t>
  </si>
  <si>
    <t>SDR-11</t>
  </si>
  <si>
    <t>Nut and Bolt</t>
  </si>
  <si>
    <t>3/8"</t>
  </si>
  <si>
    <t>1.25"-1"</t>
  </si>
  <si>
    <t xml:space="preserve">Float Valve </t>
  </si>
  <si>
    <t>1000L Tank</t>
  </si>
  <si>
    <t>2000L Tank</t>
  </si>
  <si>
    <t xml:space="preserve">For Canteen Drinking water </t>
  </si>
  <si>
    <t>RO System</t>
  </si>
  <si>
    <t xml:space="preserve">200 LPH </t>
  </si>
  <si>
    <t xml:space="preserve">Chiller </t>
  </si>
  <si>
    <t xml:space="preserve">Water Cooler </t>
  </si>
  <si>
    <t xml:space="preserve">RO- Water </t>
  </si>
  <si>
    <t>Borewell to Canteen / Toilet</t>
  </si>
  <si>
    <t>RAW cement Tank to Zinc Tank RAW</t>
  </si>
  <si>
    <t>8 Kg/cm2</t>
  </si>
  <si>
    <t>Ball Type Foot Valve</t>
  </si>
  <si>
    <t xml:space="preserve">Saddle </t>
  </si>
  <si>
    <t>Float Sensor</t>
  </si>
  <si>
    <t xml:space="preserve">Float Sensor </t>
  </si>
  <si>
    <t xml:space="preserve">RO Secondary Refuse to Zinc Tank Secondary Refuse </t>
  </si>
  <si>
    <t>RO Irrigation Product to Zinc Tank Irrigation</t>
  </si>
  <si>
    <t>RO Fogger Product to Zinc Tank Fogger</t>
  </si>
  <si>
    <t>6"</t>
  </si>
  <si>
    <t>6"-3"</t>
  </si>
  <si>
    <t>RO Primary Refuse to Zinc Tank Primary Refuse</t>
  </si>
  <si>
    <t>Spray line ( Inside Unit )</t>
  </si>
  <si>
    <t>Unit-A</t>
  </si>
  <si>
    <t>Quick Connector brass Male type</t>
  </si>
  <si>
    <t>Unit-B</t>
  </si>
  <si>
    <t>Unit-C</t>
  </si>
  <si>
    <t>Unit-D</t>
  </si>
  <si>
    <t>Unit-E</t>
  </si>
  <si>
    <t>Unit-F</t>
  </si>
  <si>
    <t>Unit-G</t>
  </si>
  <si>
    <t>Unit-H</t>
  </si>
  <si>
    <t>Unit-I</t>
  </si>
  <si>
    <t>Unit-J</t>
  </si>
  <si>
    <t>Unit-K</t>
  </si>
  <si>
    <t>Unit-L</t>
  </si>
  <si>
    <t>Unit-M</t>
  </si>
  <si>
    <t>Unit-N</t>
  </si>
  <si>
    <t>Unit-O</t>
  </si>
  <si>
    <t>Unit-P</t>
  </si>
  <si>
    <t>Zinc Tank Header Assembly</t>
  </si>
  <si>
    <t>RAW Water Zinc Tank</t>
  </si>
  <si>
    <t>RO water Zinc Tank Irrigation</t>
  </si>
  <si>
    <t>RO water Zinc Tank Fogger</t>
  </si>
  <si>
    <t xml:space="preserve">RO Refuse Primary Zinc Tank </t>
  </si>
  <si>
    <t>RO Refuse Zinc Tank Secondary</t>
  </si>
  <si>
    <t xml:space="preserve">Butterfly Valve Flanged </t>
  </si>
  <si>
    <t>8"</t>
  </si>
  <si>
    <t>Rubber</t>
  </si>
  <si>
    <t>Nut and Bolts</t>
  </si>
  <si>
    <t>5/8"x10"</t>
  </si>
  <si>
    <t>5/8"</t>
  </si>
  <si>
    <t>Misc.</t>
  </si>
  <si>
    <t>Solvent</t>
  </si>
  <si>
    <t>Ltr</t>
  </si>
  <si>
    <t>PTFE</t>
  </si>
  <si>
    <t>Tape</t>
  </si>
  <si>
    <t>Pcs</t>
  </si>
  <si>
    <t>Tool</t>
  </si>
  <si>
    <t>Hac saw Blade</t>
  </si>
  <si>
    <t xml:space="preserve">Hole Saw Cutter </t>
  </si>
  <si>
    <t>Set</t>
  </si>
  <si>
    <t>Tap set</t>
  </si>
  <si>
    <t>1/4" NPT</t>
  </si>
  <si>
    <t>Pressure Guage (1-7 Bar)</t>
  </si>
  <si>
    <t>Spanner Set Ring (6-30)</t>
  </si>
  <si>
    <t>Spanner Set Fix (6-30)</t>
  </si>
  <si>
    <t>Box Spanner Set (6-30)</t>
  </si>
  <si>
    <t>Pipe Wrench (1/2"-6")</t>
  </si>
  <si>
    <t>Slide Wrench (1/2"-6")</t>
  </si>
  <si>
    <t>Screw Driver Set (+/- type)</t>
  </si>
  <si>
    <t xml:space="preserve">Plier </t>
  </si>
  <si>
    <t xml:space="preserve">HDPE Welding Machine </t>
  </si>
  <si>
    <t>Angle grinder 4"</t>
  </si>
  <si>
    <t>Angle grinder 6"</t>
  </si>
  <si>
    <t>Drill Machine  wired</t>
  </si>
  <si>
    <t xml:space="preserve">Drill Machine  battery </t>
  </si>
  <si>
    <t xml:space="preserve">Welding machine Portable </t>
  </si>
  <si>
    <t>Single phase</t>
  </si>
  <si>
    <t>Welding machine</t>
  </si>
  <si>
    <t>Three phase</t>
  </si>
  <si>
    <t>Pre UV Pumps</t>
  </si>
  <si>
    <t>Required flow ( LPS )</t>
  </si>
  <si>
    <t>Pump Flow ( LPS )</t>
  </si>
  <si>
    <t>At Head</t>
  </si>
  <si>
    <t>Suction/Delivery</t>
  </si>
  <si>
    <t>UV machine outlet</t>
  </si>
  <si>
    <t>Post UV Pumps</t>
  </si>
  <si>
    <t>Pressure rating</t>
  </si>
  <si>
    <t>KOS-325</t>
  </si>
  <si>
    <t xml:space="preserve"> - </t>
  </si>
  <si>
    <t>65x50</t>
  </si>
  <si>
    <t>Footvalve</t>
  </si>
  <si>
    <t>Suction</t>
  </si>
  <si>
    <t>Delivery</t>
  </si>
  <si>
    <t>Reduer 75x50</t>
  </si>
  <si>
    <t>75x50</t>
  </si>
  <si>
    <t>Delivery &amp; Suction</t>
  </si>
  <si>
    <t>RO Irrigation Zinc Tank</t>
  </si>
  <si>
    <t>KDS-520+</t>
  </si>
  <si>
    <t>80x80</t>
  </si>
  <si>
    <t>Butterfly Valve</t>
  </si>
  <si>
    <t>Ball valve</t>
  </si>
  <si>
    <t>Pre Mixing to Dripjet</t>
  </si>
  <si>
    <t>KOS-520</t>
  </si>
  <si>
    <t>Unit Irrigation pumps &amp; Fitting</t>
  </si>
  <si>
    <t>For Unit A+C</t>
  </si>
  <si>
    <t>KDT-2070+</t>
  </si>
  <si>
    <t xml:space="preserve">  -</t>
  </si>
  <si>
    <t>80x65</t>
  </si>
  <si>
    <t>20 HP</t>
  </si>
  <si>
    <t>Tank nipple</t>
  </si>
  <si>
    <t>10 kg/cm2</t>
  </si>
  <si>
    <t xml:space="preserve">  - </t>
  </si>
  <si>
    <t>By pass</t>
  </si>
  <si>
    <t>Reducing Bush</t>
  </si>
  <si>
    <t>2.5"x2"</t>
  </si>
  <si>
    <t>6kg/cm2</t>
  </si>
  <si>
    <t>Butterfly valve</t>
  </si>
  <si>
    <t>6 kg/cm2</t>
  </si>
  <si>
    <t>Tail</t>
  </si>
  <si>
    <t>2.5"x3"</t>
  </si>
  <si>
    <t>50 m3/hr</t>
  </si>
  <si>
    <t>3"x4"</t>
  </si>
  <si>
    <t>Flange</t>
  </si>
  <si>
    <t>Mettalic</t>
  </si>
  <si>
    <t>GI Nut &amp; Bolt</t>
  </si>
  <si>
    <t>1/2"x6"</t>
  </si>
  <si>
    <t>GI washer</t>
  </si>
  <si>
    <t>1.2"</t>
  </si>
  <si>
    <t>3000 Liter</t>
  </si>
  <si>
    <t>For Unit B</t>
  </si>
  <si>
    <t>80/65</t>
  </si>
  <si>
    <t>KDT-1580+</t>
  </si>
  <si>
    <t>65/65</t>
  </si>
  <si>
    <t>15 HP</t>
  </si>
  <si>
    <t>&amp; 65/50</t>
  </si>
  <si>
    <t>K+L</t>
  </si>
  <si>
    <t>KDI-1570+</t>
  </si>
  <si>
    <t>For Unit D</t>
  </si>
  <si>
    <t>For Unit E</t>
  </si>
  <si>
    <t>65x65</t>
  </si>
  <si>
    <t>For Unit F</t>
  </si>
  <si>
    <t>For Unit G</t>
  </si>
  <si>
    <t>For Unit H</t>
  </si>
  <si>
    <t>For Unit I</t>
  </si>
  <si>
    <t>For Unit J</t>
  </si>
  <si>
    <t>For Unit K&amp;L</t>
  </si>
  <si>
    <t>For Unit M</t>
  </si>
  <si>
    <t>For Unit N</t>
  </si>
  <si>
    <t>Energy</t>
  </si>
  <si>
    <t xml:space="preserve">Water Latent Heat </t>
  </si>
  <si>
    <t xml:space="preserve">KJ </t>
  </si>
  <si>
    <t>W/M2</t>
  </si>
  <si>
    <t xml:space="preserve">Energy to Heat Conversion </t>
  </si>
  <si>
    <t xml:space="preserve">Volume of GH </t>
  </si>
  <si>
    <t xml:space="preserve">CuM/Sqm </t>
  </si>
  <si>
    <t>Moisture add per CuM of Air</t>
  </si>
  <si>
    <t xml:space="preserve">Air Exchange Required </t>
  </si>
  <si>
    <t>energy required</t>
  </si>
  <si>
    <t>incoming energy</t>
  </si>
  <si>
    <t>specific heat of water</t>
  </si>
  <si>
    <t xml:space="preserve">1.5 M Birdnet Length </t>
  </si>
  <si>
    <t xml:space="preserve">3M Birdnet Length </t>
  </si>
  <si>
    <t xml:space="preserve">3M Birdnet Area </t>
  </si>
  <si>
    <t xml:space="preserve">1.5 M Birdnet Area </t>
  </si>
  <si>
    <t xml:space="preserve">Birdnet </t>
  </si>
  <si>
    <t>WeedMat</t>
  </si>
  <si>
    <t>Aluminate</t>
  </si>
  <si>
    <t xml:space="preserve">Aluminate Area </t>
  </si>
  <si>
    <t xml:space="preserve">Downtake Pipe </t>
  </si>
  <si>
    <t>Plastic Wire (2.2 MM)</t>
  </si>
  <si>
    <t xml:space="preserve">Post UV </t>
  </si>
  <si>
    <t xml:space="preserve">Zinc Tank Irrigation </t>
  </si>
  <si>
    <t xml:space="preserve">Pre Mixing Tank </t>
  </si>
  <si>
    <t>3 HP</t>
  </si>
  <si>
    <t xml:space="preserve">5 HP </t>
  </si>
  <si>
    <t>Monobolock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</si>
</sst>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3">
    <numFmt numFmtId="43" formatCode="_ * #,##0.00_ ;_ * \-#,##0.00_ ;_ * &quot;-&quot;??_ ;_ @_ "/>
    <numFmt numFmtId="164" formatCode="0.00\ &quot;%&quot;"/>
    <numFmt numFmtId="165" formatCode="#,##0\ &quot;SqM&quot;"/>
    <numFmt numFmtId="166" formatCode="#,##0\ &quot;Mtr&quot;"/>
    <numFmt numFmtId="167" formatCode="#,##0.00\ &quot;Ltr/Sqm/Day&quot;"/>
    <numFmt numFmtId="168" formatCode="#,##0\ &quot;M&quot;"/>
    <numFmt numFmtId="169" formatCode="#,##0.00\ &quot;SqM&quot;"/>
    <numFmt numFmtId="170" formatCode="#,##0.00\ &quot;M&quot;"/>
    <numFmt numFmtId="171" formatCode="#,##0.00\ &quot;CuM&quot;"/>
    <numFmt numFmtId="172" formatCode="#,##0.00\ &quot;LpH&quot;"/>
    <numFmt numFmtId="173" formatCode="#,##0\ &quot;Ltr&quot;"/>
    <numFmt numFmtId="174" formatCode="#,##0.00\ &quot;LpD&quot;"/>
    <numFmt numFmtId="175" formatCode="hh:mm\ &quot;hrs to&quot;"/>
    <numFmt numFmtId="176" formatCode="hh:mm\ &quot;hrs&quot;"/>
    <numFmt numFmtId="177" formatCode="#,##0.0\ &quot;Litres&quot;"/>
    <numFmt numFmtId="178" formatCode="#,##0\ &quot;Litres&quot;"/>
    <numFmt numFmtId="179" formatCode="#,##0.0\ &quot;Ltr/hr&quot;"/>
    <numFmt numFmtId="180" formatCode="#,##0\ &quot;Ltr/hr&quot;"/>
    <numFmt numFmtId="181" formatCode="#,##0\ &quot;ml/hr&quot;"/>
    <numFmt numFmtId="182" formatCode="0.0\ &quot;Min/Hr&quot;"/>
    <numFmt numFmtId="183" formatCode="#,##0.000"/>
    <numFmt numFmtId="184" formatCode="#,##0.00\ &quot;Min&quot;"/>
    <numFmt numFmtId="185" formatCode="#,##0\ &quot;MM&quot;"/>
    <numFmt numFmtId="186" formatCode="#,##0.00\ &quot;M3/hr&quot;"/>
    <numFmt numFmtId="187" formatCode="#,##0.000\ &quot;Mtr&quot;"/>
    <numFmt numFmtId="188" formatCode="#,##0.000\ &quot;SqM&quot;"/>
    <numFmt numFmtId="189" formatCode="#,##0.000\ &quot;M3/hr&quot;"/>
    <numFmt numFmtId="190" formatCode="#,##0.00\ &quot;M/S&quot;"/>
    <numFmt numFmtId="191" formatCode="#,##0.0\ &quot;M&quot;"/>
    <numFmt numFmtId="192" formatCode="#,##0.0"/>
    <numFmt numFmtId="193" formatCode="0.00000"/>
    <numFmt numFmtId="194" formatCode="0.000"/>
    <numFmt numFmtId="195" formatCode="#,##0.0\ &quot;SqM&quot;"/>
    <numFmt numFmtId="196" formatCode="#,##0.00\ &quot;Acre&quot;"/>
    <numFmt numFmtId="197" formatCode="#,##0.0\ &quot;Mtr&quot;"/>
    <numFmt numFmtId="198" formatCode="#,##0.0\ &quot;MM&quot;"/>
    <numFmt numFmtId="199" formatCode="#,##0\ &quot;Sec&quot;"/>
    <numFmt numFmtId="200" formatCode="#,##0.00\ &quot;Sec&quot;"/>
    <numFmt numFmtId="201" formatCode="#,##0.00\ &quot;Ltr&quot;"/>
    <numFmt numFmtId="202" formatCode="0.0\ &quot;Sec&quot;"/>
    <numFmt numFmtId="203" formatCode="0.0\ &quot;Cycles/Hr&quot;"/>
    <numFmt numFmtId="204" formatCode="#,##0\ &quot;%&quot;"/>
    <numFmt numFmtId="205" formatCode="0.0"/>
    <numFmt numFmtId="206" formatCode="0.00\ &quot;m3&quot;"/>
    <numFmt numFmtId="207" formatCode="0.0000"/>
    <numFmt numFmtId="208" formatCode="0.00\ &quot;hp&quot;"/>
    <numFmt numFmtId="209" formatCode="#,##0\ &quot;LpH&quot;"/>
    <numFmt numFmtId="210" formatCode="#,##0.00\ &quot;Mtr&quot;"/>
    <numFmt numFmtId="211" formatCode="0.00\ &quot;Ltr&quot;"/>
    <numFmt numFmtId="212" formatCode="#,##0.00\ &quot;LPH&quot;"/>
    <numFmt numFmtId="213" formatCode="#,##0.00\ &quot;Hrs&quot;"/>
    <numFmt numFmtId="214" formatCode="#,##0.00\ &quot;M3&quot;"/>
    <numFmt numFmtId="215" formatCode="#,##0\ &quot;rolls&quot;"/>
  </numFmts>
  <fonts count="64" x14ac:knownFonts="1">
    <font>
      <sz val="11"/>
      <color theme="1"/>
      <name val="Aptos Narrow"/>
      <family val="2"/>
      <scheme val="minor"/>
    </font>
    <font>
      <b/>
      <sz val="11"/>
      <color theme="1"/>
      <name val="Aptos Narrow"/>
      <family val="2"/>
      <scheme val="minor"/>
    </font>
    <font>
      <sz val="8"/>
      <name val="Aptos Narrow"/>
      <family val="2"/>
      <scheme val="minor"/>
    </font>
    <font>
      <b/>
      <sz val="14"/>
      <color theme="1"/>
      <name val="Aptos Narrow"/>
      <family val="2"/>
      <scheme val="minor"/>
    </font>
    <font>
      <sz val="11"/>
      <color theme="1"/>
      <name val="Aptos Narrow"/>
      <family val="2"/>
      <scheme val="minor"/>
    </font>
    <font>
      <sz val="11"/>
      <name val="Aptos Narrow"/>
      <family val="2"/>
      <scheme val="minor"/>
    </font>
    <font>
      <u/>
      <sz val="11"/>
      <color theme="10"/>
      <name val="Aptos Narrow"/>
      <family val="2"/>
      <scheme val="minor"/>
    </font>
    <font>
      <sz val="11"/>
      <color rgb="FF009900"/>
      <name val="Aptos Narrow"/>
      <family val="2"/>
      <scheme val="minor"/>
    </font>
    <font>
      <b/>
      <sz val="16"/>
      <name val="Aptos Narrow"/>
      <family val="2"/>
      <scheme val="minor"/>
    </font>
    <font>
      <b/>
      <sz val="11"/>
      <color rgb="FF00B050"/>
      <name val="Aptos Narrow"/>
      <family val="2"/>
      <scheme val="minor"/>
    </font>
    <font>
      <sz val="11"/>
      <color rgb="FF00B050"/>
      <name val="Aptos Narrow"/>
      <family val="2"/>
      <scheme val="minor"/>
    </font>
    <font>
      <b/>
      <sz val="11"/>
      <color rgb="FFFF0000"/>
      <name val="Aptos Narrow"/>
      <family val="2"/>
      <scheme val="minor"/>
    </font>
    <font>
      <sz val="11"/>
      <color rgb="FFFF0000"/>
      <name val="Aptos Narrow"/>
      <family val="2"/>
      <scheme val="minor"/>
    </font>
    <font>
      <sz val="10.5"/>
      <color theme="1"/>
      <name val="Aptos Narrow"/>
      <family val="2"/>
      <scheme val="minor"/>
    </font>
    <font>
      <b/>
      <sz val="10.5"/>
      <name val="Aptos Narrow"/>
      <family val="2"/>
      <scheme val="minor"/>
    </font>
    <font>
      <sz val="11"/>
      <color theme="1"/>
      <name val="Aptos Narrow"/>
      <family val="2"/>
    </font>
    <font>
      <b/>
      <sz val="11"/>
      <color theme="0"/>
      <name val="Aptos Narrow"/>
      <family val="2"/>
      <scheme val="minor"/>
    </font>
    <font>
      <sz val="11"/>
      <color rgb="FFFFFF00"/>
      <name val="Aptos Narrow"/>
      <family val="2"/>
      <scheme val="minor"/>
    </font>
    <font>
      <sz val="11"/>
      <color rgb="FFFF0000"/>
      <name val="Calibri"/>
      <family val="2"/>
    </font>
    <font>
      <b/>
      <sz val="12"/>
      <color theme="1"/>
      <name val="Aptos Narrow"/>
      <family val="2"/>
      <scheme val="minor"/>
    </font>
    <font>
      <sz val="11"/>
      <name val="Calibri"/>
      <family val="2"/>
    </font>
    <font>
      <sz val="11"/>
      <color rgb="FF002060"/>
      <name val="Aptos Narrow"/>
      <family val="2"/>
      <scheme val="minor"/>
    </font>
    <font>
      <b/>
      <sz val="11"/>
      <name val="Aptos Narrow"/>
      <family val="2"/>
      <scheme val="minor"/>
    </font>
    <font>
      <sz val="10"/>
      <name val="Arial"/>
      <family val="2"/>
    </font>
    <font>
      <sz val="10"/>
      <name val="Verdana"/>
      <family val="2"/>
    </font>
    <font>
      <sz val="10"/>
      <color theme="1"/>
      <name val="Arial"/>
      <family val="2"/>
    </font>
    <font>
      <sz val="11"/>
      <color theme="0"/>
      <name val="Aptos Narrow"/>
      <family val="2"/>
      <scheme val="minor"/>
    </font>
    <font>
      <sz val="11"/>
      <color theme="8" tint="0.39997558519241921"/>
      <name val="Aptos Narrow"/>
      <family val="2"/>
      <scheme val="minor"/>
    </font>
    <font>
      <sz val="11"/>
      <color theme="0" tint="-4.9989318521683403E-2"/>
      <name val="Aptos Narrow"/>
      <family val="2"/>
      <scheme val="minor"/>
    </font>
    <font>
      <sz val="11"/>
      <color theme="7"/>
      <name val="Aptos Narrow"/>
      <family val="2"/>
      <scheme val="minor"/>
    </font>
    <font>
      <sz val="11"/>
      <color theme="8"/>
      <name val="Aptos Narrow"/>
      <family val="2"/>
      <scheme val="minor"/>
    </font>
    <font>
      <sz val="11"/>
      <color theme="9"/>
      <name val="Aptos Narrow"/>
      <family val="2"/>
      <scheme val="minor"/>
    </font>
    <font>
      <sz val="11"/>
      <color theme="4"/>
      <name val="Aptos Narrow"/>
      <family val="2"/>
      <scheme val="minor"/>
    </font>
    <font>
      <sz val="11"/>
      <color theme="5"/>
      <name val="Aptos Narrow"/>
      <family val="2"/>
      <scheme val="minor"/>
    </font>
    <font>
      <sz val="11"/>
      <color theme="2" tint="-9.9978637043366805E-2"/>
      <name val="Aptos Narrow"/>
      <family val="2"/>
      <scheme val="minor"/>
    </font>
    <font>
      <sz val="11"/>
      <color theme="2"/>
      <name val="Aptos Narrow"/>
      <family val="2"/>
      <scheme val="minor"/>
    </font>
    <font>
      <sz val="11"/>
      <color theme="6" tint="0.59999389629810485"/>
      <name val="Aptos Narrow"/>
      <family val="2"/>
      <scheme val="minor"/>
    </font>
    <font>
      <sz val="11"/>
      <color theme="6"/>
      <name val="Aptos Narrow"/>
      <family val="2"/>
      <scheme val="minor"/>
    </font>
    <font>
      <sz val="11"/>
      <color theme="6" tint="-0.249977111117893"/>
      <name val="Aptos Narrow"/>
      <family val="2"/>
      <scheme val="minor"/>
    </font>
    <font>
      <sz val="11"/>
      <color theme="5" tint="0.39997558519241921"/>
      <name val="Aptos Narrow"/>
      <family val="2"/>
      <scheme val="minor"/>
    </font>
    <font>
      <sz val="11"/>
      <color rgb="FF7030A0"/>
      <name val="Aptos Narrow"/>
      <family val="2"/>
      <scheme val="minor"/>
    </font>
    <font>
      <sz val="11"/>
      <color theme="3" tint="0.39997558519241921"/>
      <name val="Aptos Narrow"/>
      <family val="2"/>
      <scheme val="minor"/>
    </font>
    <font>
      <sz val="11"/>
      <color theme="5" tint="0.59999389629810485"/>
      <name val="Aptos Narrow"/>
      <family val="2"/>
      <scheme val="minor"/>
    </font>
    <font>
      <sz val="11"/>
      <color theme="7" tint="-0.499984740745262"/>
      <name val="Aptos Narrow"/>
      <family val="2"/>
      <scheme val="minor"/>
    </font>
    <font>
      <sz val="11"/>
      <color theme="8" tint="-0.249977111117893"/>
      <name val="Aptos Narrow"/>
      <family val="2"/>
      <scheme val="minor"/>
    </font>
    <font>
      <sz val="11"/>
      <color theme="7" tint="0.79998168889431442"/>
      <name val="Aptos Narrow"/>
      <family val="2"/>
      <scheme val="minor"/>
    </font>
    <font>
      <sz val="11"/>
      <color theme="5" tint="-0.499984740745262"/>
      <name val="Aptos Narrow"/>
      <family val="2"/>
      <scheme val="minor"/>
    </font>
    <font>
      <sz val="11"/>
      <color theme="7" tint="0.39997558519241921"/>
      <name val="Aptos Narrow"/>
      <family val="2"/>
      <scheme val="minor"/>
    </font>
    <font>
      <sz val="11"/>
      <color rgb="FF92D050"/>
      <name val="Aptos Narrow"/>
      <family val="2"/>
      <scheme val="minor"/>
    </font>
    <font>
      <sz val="10.5"/>
      <name val="Aptos Narrow"/>
      <family val="2"/>
      <scheme val="minor"/>
    </font>
    <font>
      <b/>
      <sz val="14"/>
      <color rgb="FFFF0000"/>
      <name val="Aptos Narrow"/>
      <family val="2"/>
      <scheme val="minor"/>
    </font>
    <font>
      <b/>
      <sz val="11"/>
      <color rgb="FF7030A0"/>
      <name val="Aptos Narrow"/>
      <family val="2"/>
      <scheme val="minor"/>
    </font>
    <font>
      <sz val="11"/>
      <color rgb="FFFFC000"/>
      <name val="Aptos Narrow"/>
      <family val="2"/>
      <scheme val="minor"/>
    </font>
    <font>
      <sz val="11"/>
      <color theme="9" tint="-0.249977111117893"/>
      <name val="Aptos Narrow"/>
      <family val="2"/>
      <scheme val="minor"/>
    </font>
    <font>
      <sz val="11"/>
      <color theme="9" tint="0.79998168889431442"/>
      <name val="Aptos Narrow"/>
      <family val="2"/>
      <scheme val="minor"/>
    </font>
    <font>
      <b/>
      <sz val="12"/>
      <color rgb="FF000000"/>
      <name val="Aptos Narrow"/>
      <family val="2"/>
    </font>
    <font>
      <sz val="11"/>
      <color rgb="FF000000"/>
      <name val="Aptos Narrow"/>
      <family val="2"/>
    </font>
    <font>
      <b/>
      <sz val="12"/>
      <name val="Aptos Narrow"/>
      <family val="2"/>
      <scheme val="minor"/>
    </font>
    <font>
      <sz val="12"/>
      <color theme="1"/>
      <name val="Calibri"/>
      <family val="2"/>
    </font>
    <font>
      <sz val="12"/>
      <name val="Aptos Narrow"/>
      <family val="2"/>
      <scheme val="minor"/>
    </font>
    <font>
      <i/>
      <sz val="11"/>
      <color theme="1"/>
      <name val="Aptos Narrow"/>
      <family val="2"/>
      <scheme val="minor"/>
    </font>
    <font>
      <sz val="11"/>
      <color rgb="FF00B0F0"/>
      <name val="Aptos Narrow"/>
      <family val="2"/>
      <scheme val="minor"/>
    </font>
    <font>
      <b/>
      <sz val="11"/>
      <color rgb="FF00B0F0"/>
      <name val="Aptos Narrow"/>
      <family val="2"/>
      <scheme val="minor"/>
    </font>
    <font>
      <b/>
      <sz val="12"/>
      <color theme="1"/>
      <name val="Aptos Narrow"/>
      <family val="2"/>
    </font>
  </fonts>
  <fills count="46">
    <fill>
      <patternFill patternType="none"/>
    </fill>
    <fill>
      <patternFill patternType="gray125"/>
    </fill>
    <fill>
      <patternFill patternType="solid">
        <fgColor theme="4"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8" tint="0.79998168889431442"/>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3"/>
        <bgColor indexed="64"/>
      </patternFill>
    </fill>
    <fill>
      <patternFill patternType="solid">
        <fgColor theme="9" tint="0.39997558519241921"/>
        <bgColor indexed="64"/>
      </patternFill>
    </fill>
    <fill>
      <patternFill patternType="solid">
        <fgColor theme="3" tint="0.89999084444715716"/>
        <bgColor indexed="64"/>
      </patternFill>
    </fill>
    <fill>
      <patternFill patternType="solid">
        <fgColor theme="5"/>
        <bgColor indexed="64"/>
      </patternFill>
    </fill>
    <fill>
      <patternFill patternType="solid">
        <fgColor theme="9"/>
        <bgColor indexed="64"/>
      </patternFill>
    </fill>
    <fill>
      <patternFill patternType="solid">
        <fgColor theme="6"/>
        <bgColor indexed="64"/>
      </patternFill>
    </fill>
    <fill>
      <patternFill patternType="solid">
        <fgColor theme="8"/>
        <bgColor indexed="64"/>
      </patternFill>
    </fill>
    <fill>
      <patternFill patternType="solid">
        <fgColor rgb="FFFFFF00"/>
        <bgColor indexed="64"/>
      </patternFill>
    </fill>
    <fill>
      <patternFill patternType="solid">
        <fgColor theme="4"/>
        <bgColor indexed="64"/>
      </patternFill>
    </fill>
    <fill>
      <patternFill patternType="solid">
        <fgColor theme="1" tint="0.499984740745262"/>
        <bgColor indexed="64"/>
      </patternFill>
    </fill>
    <fill>
      <patternFill patternType="solid">
        <fgColor theme="9" tint="-0.249977111117893"/>
        <bgColor indexed="64"/>
      </patternFill>
    </fill>
    <fill>
      <patternFill patternType="solid">
        <fgColor theme="3" tint="-0.249977111117893"/>
        <bgColor indexed="64"/>
      </patternFill>
    </fill>
    <fill>
      <patternFill patternType="solid">
        <fgColor theme="0"/>
        <bgColor indexed="64"/>
      </patternFill>
    </fill>
    <fill>
      <patternFill patternType="solid">
        <fgColor theme="5" tint="0.59999389629810485"/>
        <bgColor indexed="64"/>
      </patternFill>
    </fill>
    <fill>
      <patternFill patternType="solid">
        <fgColor theme="1"/>
        <bgColor indexed="64"/>
      </patternFill>
    </fill>
    <fill>
      <patternFill patternType="solid">
        <fgColor theme="7" tint="0.39997558519241921"/>
        <bgColor indexed="64"/>
      </patternFill>
    </fill>
    <fill>
      <patternFill patternType="solid">
        <fgColor rgb="FF7030A0"/>
        <bgColor indexed="64"/>
      </patternFill>
    </fill>
    <fill>
      <patternFill patternType="solid">
        <fgColor rgb="FFFF0000"/>
        <bgColor indexed="64"/>
      </patternFill>
    </fill>
    <fill>
      <patternFill patternType="solid">
        <fgColor theme="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5" tint="-0.499984740745262"/>
        <bgColor indexed="64"/>
      </patternFill>
    </fill>
    <fill>
      <patternFill patternType="solid">
        <fgColor rgb="FF00B0F0"/>
        <bgColor indexed="64"/>
      </patternFill>
    </fill>
    <fill>
      <patternFill patternType="solid">
        <fgColor rgb="FF00B050"/>
        <bgColor indexed="64"/>
      </patternFill>
    </fill>
    <fill>
      <patternFill patternType="solid">
        <fgColor rgb="FFC00000"/>
        <bgColor indexed="64"/>
      </patternFill>
    </fill>
    <fill>
      <patternFill patternType="solid">
        <fgColor rgb="FFEBF9D3"/>
        <bgColor indexed="64"/>
      </patternFill>
    </fill>
    <fill>
      <patternFill patternType="solid">
        <fgColor theme="1" tint="4.9989318521683403E-2"/>
        <bgColor indexed="64"/>
      </patternFill>
    </fill>
    <fill>
      <patternFill patternType="solid">
        <fgColor theme="6" tint="0.39997558519241921"/>
        <bgColor indexed="64"/>
      </patternFill>
    </fill>
    <fill>
      <patternFill patternType="solid">
        <fgColor rgb="FFF2CEEF"/>
        <bgColor rgb="FF000000"/>
      </patternFill>
    </fill>
    <fill>
      <patternFill patternType="solid">
        <fgColor rgb="FF92D050"/>
        <bgColor indexed="64"/>
      </patternFill>
    </fill>
    <fill>
      <patternFill patternType="solid">
        <fgColor theme="4" tint="0.59999389629810485"/>
        <bgColor indexed="64"/>
      </patternFill>
    </fill>
    <fill>
      <patternFill patternType="solid">
        <fgColor rgb="FFDFE3E5"/>
        <bgColor indexed="64"/>
      </patternFill>
    </fill>
    <fill>
      <patternFill patternType="solid">
        <fgColor rgb="FFFFFFFF"/>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right/>
      <top style="thin">
        <color indexed="64"/>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medium">
        <color indexed="64"/>
      </top>
      <bottom/>
      <diagonal/>
    </border>
    <border>
      <left/>
      <right/>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thin">
        <color indexed="64"/>
      </left>
      <right style="medium">
        <color indexed="64"/>
      </right>
      <top/>
      <bottom style="thin">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43" fontId="4" fillId="0" borderId="0" applyFont="0" applyFill="0" applyBorder="0" applyAlignment="0" applyProtection="0"/>
    <xf numFmtId="0" fontId="6" fillId="0" borderId="0" applyNumberFormat="0" applyFill="0" applyBorder="0" applyAlignment="0" applyProtection="0"/>
    <xf numFmtId="9" fontId="4" fillId="0" borderId="0" applyFont="0" applyFill="0" applyBorder="0" applyAlignment="0" applyProtection="0"/>
    <xf numFmtId="0" fontId="23" fillId="0" borderId="0"/>
  </cellStyleXfs>
  <cellXfs count="626">
    <xf numFmtId="0" fontId="0" fillId="0" borderId="0" xfId="0"/>
    <xf numFmtId="0" fontId="0" fillId="0" borderId="0" xfId="0" applyAlignment="1">
      <alignment horizontal="center"/>
    </xf>
    <xf numFmtId="2" fontId="0" fillId="0" borderId="1" xfId="0" applyNumberFormat="1" applyBorder="1" applyAlignment="1">
      <alignment horizontal="center"/>
    </xf>
    <xf numFmtId="2" fontId="1" fillId="0" borderId="1" xfId="0" applyNumberFormat="1" applyFont="1" applyBorder="1" applyAlignment="1">
      <alignment horizontal="center"/>
    </xf>
    <xf numFmtId="165" fontId="0" fillId="0" borderId="0" xfId="0" applyNumberFormat="1" applyAlignment="1">
      <alignment horizontal="center"/>
    </xf>
    <xf numFmtId="166" fontId="0" fillId="0" borderId="0" xfId="0" applyNumberFormat="1" applyAlignment="1">
      <alignment horizontal="center"/>
    </xf>
    <xf numFmtId="166" fontId="0" fillId="0" borderId="4" xfId="0" applyNumberFormat="1" applyBorder="1" applyAlignment="1">
      <alignment horizontal="center"/>
    </xf>
    <xf numFmtId="166" fontId="0" fillId="0" borderId="0" xfId="0" quotePrefix="1" applyNumberFormat="1" applyAlignment="1">
      <alignment horizontal="center"/>
    </xf>
    <xf numFmtId="165" fontId="1" fillId="0" borderId="0" xfId="0" applyNumberFormat="1" applyFont="1" applyAlignment="1">
      <alignment horizontal="center"/>
    </xf>
    <xf numFmtId="0" fontId="1" fillId="2" borderId="5" xfId="0" applyFont="1" applyFill="1" applyBorder="1" applyAlignment="1">
      <alignment horizontal="center"/>
    </xf>
    <xf numFmtId="3" fontId="1" fillId="0" borderId="0" xfId="0" applyNumberFormat="1" applyFont="1" applyAlignment="1">
      <alignment horizontal="center"/>
    </xf>
    <xf numFmtId="3" fontId="0" fillId="0" borderId="0" xfId="0" applyNumberFormat="1" applyAlignment="1">
      <alignment horizontal="center"/>
    </xf>
    <xf numFmtId="167"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center" vertical="center" wrapText="1"/>
    </xf>
    <xf numFmtId="168" fontId="0" fillId="0" borderId="0" xfId="0" applyNumberFormat="1" applyAlignment="1">
      <alignment horizontal="center"/>
    </xf>
    <xf numFmtId="169" fontId="0" fillId="0" borderId="0" xfId="0" applyNumberFormat="1" applyAlignment="1">
      <alignment horizontal="center"/>
    </xf>
    <xf numFmtId="171" fontId="0" fillId="0" borderId="0" xfId="0" applyNumberFormat="1"/>
    <xf numFmtId="0" fontId="1" fillId="3" borderId="0" xfId="0" applyFont="1" applyFill="1"/>
    <xf numFmtId="172" fontId="0" fillId="0" borderId="1" xfId="0" applyNumberFormat="1" applyBorder="1" applyAlignment="1">
      <alignment horizontal="center"/>
    </xf>
    <xf numFmtId="165" fontId="5" fillId="0" borderId="0" xfId="0" applyNumberFormat="1" applyFont="1" applyAlignment="1">
      <alignment horizontal="center"/>
    </xf>
    <xf numFmtId="173" fontId="0" fillId="0" borderId="0" xfId="0" applyNumberFormat="1" applyAlignment="1">
      <alignment horizontal="center"/>
    </xf>
    <xf numFmtId="173" fontId="1" fillId="0" borderId="0" xfId="0" applyNumberFormat="1" applyFont="1" applyAlignment="1">
      <alignment horizontal="center"/>
    </xf>
    <xf numFmtId="174" fontId="0" fillId="0" borderId="1" xfId="1" applyNumberFormat="1" applyFont="1" applyBorder="1"/>
    <xf numFmtId="0" fontId="6" fillId="0" borderId="0" xfId="2"/>
    <xf numFmtId="0" fontId="1" fillId="2" borderId="4" xfId="0" applyFont="1" applyFill="1" applyBorder="1" applyAlignment="1">
      <alignment horizontal="center"/>
    </xf>
    <xf numFmtId="176" fontId="1" fillId="4" borderId="2" xfId="0" applyNumberFormat="1" applyFont="1" applyFill="1" applyBorder="1" applyAlignment="1">
      <alignment horizontal="center"/>
    </xf>
    <xf numFmtId="0" fontId="1" fillId="4" borderId="17" xfId="0" applyFont="1" applyFill="1" applyBorder="1" applyAlignment="1">
      <alignment horizontal="center"/>
    </xf>
    <xf numFmtId="176" fontId="1" fillId="4" borderId="3" xfId="0" applyNumberFormat="1" applyFont="1" applyFill="1" applyBorder="1" applyAlignment="1">
      <alignment horizontal="center"/>
    </xf>
    <xf numFmtId="3" fontId="0" fillId="0" borderId="0" xfId="1" applyNumberFormat="1" applyFont="1" applyFill="1" applyAlignment="1">
      <alignment horizontal="center"/>
    </xf>
    <xf numFmtId="178" fontId="0" fillId="0" borderId="0" xfId="1" applyNumberFormat="1" applyFont="1" applyFill="1" applyAlignment="1">
      <alignment horizontal="center"/>
    </xf>
    <xf numFmtId="180" fontId="0" fillId="0" borderId="0" xfId="0" applyNumberFormat="1" applyAlignment="1">
      <alignment horizontal="center"/>
    </xf>
    <xf numFmtId="181" fontId="0" fillId="0" borderId="0" xfId="0" applyNumberFormat="1" applyAlignment="1">
      <alignment horizontal="center"/>
    </xf>
    <xf numFmtId="182" fontId="0" fillId="0" borderId="0" xfId="0" applyNumberFormat="1" applyAlignment="1">
      <alignment horizontal="center"/>
    </xf>
    <xf numFmtId="0" fontId="0" fillId="0" borderId="25" xfId="0" applyBorder="1" applyAlignment="1">
      <alignment horizontal="center"/>
    </xf>
    <xf numFmtId="165" fontId="0" fillId="0" borderId="25" xfId="0" applyNumberFormat="1" applyBorder="1" applyAlignment="1">
      <alignment horizontal="center"/>
    </xf>
    <xf numFmtId="3" fontId="0" fillId="0" borderId="25" xfId="1" applyNumberFormat="1" applyFont="1" applyFill="1" applyBorder="1" applyAlignment="1">
      <alignment horizontal="center"/>
    </xf>
    <xf numFmtId="178" fontId="0" fillId="0" borderId="25" xfId="1" applyNumberFormat="1" applyFont="1" applyFill="1" applyBorder="1" applyAlignment="1">
      <alignment horizontal="center"/>
    </xf>
    <xf numFmtId="3" fontId="0" fillId="0" borderId="25" xfId="0" applyNumberFormat="1" applyBorder="1" applyAlignment="1">
      <alignment horizontal="center"/>
    </xf>
    <xf numFmtId="180" fontId="0" fillId="0" borderId="25" xfId="0" applyNumberFormat="1" applyBorder="1" applyAlignment="1">
      <alignment horizontal="center"/>
    </xf>
    <xf numFmtId="181" fontId="0" fillId="0" borderId="25" xfId="0" applyNumberFormat="1" applyBorder="1" applyAlignment="1">
      <alignment horizontal="center"/>
    </xf>
    <xf numFmtId="182" fontId="0" fillId="0" borderId="25" xfId="0" applyNumberFormat="1" applyBorder="1" applyAlignment="1">
      <alignment horizontal="center"/>
    </xf>
    <xf numFmtId="0" fontId="1" fillId="0" borderId="0" xfId="0" applyFont="1" applyAlignment="1">
      <alignment horizontal="center"/>
    </xf>
    <xf numFmtId="178" fontId="1" fillId="0" borderId="0" xfId="0" applyNumberFormat="1" applyFont="1" applyAlignment="1">
      <alignment horizontal="center"/>
    </xf>
    <xf numFmtId="182" fontId="1" fillId="0" borderId="0" xfId="0" applyNumberFormat="1" applyFont="1" applyAlignment="1">
      <alignment horizontal="center"/>
    </xf>
    <xf numFmtId="0" fontId="0" fillId="3" borderId="1" xfId="0" applyFill="1" applyBorder="1" applyAlignment="1">
      <alignment horizontal="center"/>
    </xf>
    <xf numFmtId="0" fontId="0" fillId="2" borderId="1" xfId="0"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26" xfId="0" applyFont="1" applyFill="1" applyBorder="1" applyAlignment="1">
      <alignment horizontal="center" vertical="center" wrapText="1"/>
    </xf>
    <xf numFmtId="0" fontId="7" fillId="0" borderId="0" xfId="0" applyFont="1" applyAlignment="1">
      <alignment horizontal="center"/>
    </xf>
    <xf numFmtId="0" fontId="7" fillId="0" borderId="25" xfId="0" applyFont="1" applyBorder="1" applyAlignment="1">
      <alignment horizontal="center"/>
    </xf>
    <xf numFmtId="177" fontId="7" fillId="0" borderId="0" xfId="1" applyNumberFormat="1" applyFont="1" applyFill="1" applyAlignment="1">
      <alignment horizontal="center"/>
    </xf>
    <xf numFmtId="177" fontId="7" fillId="0" borderId="25" xfId="1" applyNumberFormat="1" applyFont="1" applyFill="1" applyBorder="1" applyAlignment="1">
      <alignment horizontal="center"/>
    </xf>
    <xf numFmtId="179" fontId="7" fillId="0" borderId="0" xfId="0" applyNumberFormat="1" applyFont="1" applyAlignment="1">
      <alignment horizontal="center"/>
    </xf>
    <xf numFmtId="179" fontId="7" fillId="0" borderId="25" xfId="0" applyNumberFormat="1" applyFont="1" applyBorder="1" applyAlignment="1">
      <alignment horizontal="center"/>
    </xf>
    <xf numFmtId="183" fontId="0" fillId="0" borderId="0" xfId="1" applyNumberFormat="1" applyFont="1" applyFill="1" applyAlignment="1">
      <alignment horizontal="center"/>
    </xf>
    <xf numFmtId="170" fontId="9" fillId="0" borderId="0" xfId="0" applyNumberFormat="1" applyFont="1" applyAlignment="1">
      <alignment horizontal="center"/>
    </xf>
    <xf numFmtId="169" fontId="9" fillId="0" borderId="0" xfId="0" applyNumberFormat="1" applyFont="1" applyAlignment="1">
      <alignment horizontal="center"/>
    </xf>
    <xf numFmtId="0" fontId="9" fillId="0" borderId="0" xfId="0" applyFont="1" applyAlignment="1">
      <alignment horizontal="center"/>
    </xf>
    <xf numFmtId="168" fontId="9" fillId="0" borderId="0" xfId="0" applyNumberFormat="1" applyFont="1" applyAlignment="1">
      <alignment horizontal="center"/>
    </xf>
    <xf numFmtId="184" fontId="0" fillId="0" borderId="0" xfId="0" applyNumberFormat="1" applyAlignment="1">
      <alignment horizontal="center"/>
    </xf>
    <xf numFmtId="184" fontId="0" fillId="0" borderId="25" xfId="0" applyNumberFormat="1" applyBorder="1" applyAlignment="1">
      <alignment horizontal="center"/>
    </xf>
    <xf numFmtId="185" fontId="0" fillId="0" borderId="0" xfId="0" applyNumberFormat="1" applyAlignment="1">
      <alignment horizontal="center"/>
    </xf>
    <xf numFmtId="185" fontId="0" fillId="0" borderId="25" xfId="0" applyNumberFormat="1" applyBorder="1" applyAlignment="1">
      <alignment horizontal="center"/>
    </xf>
    <xf numFmtId="186" fontId="0" fillId="0" borderId="0" xfId="0" applyNumberFormat="1" applyAlignment="1">
      <alignment horizontal="center"/>
    </xf>
    <xf numFmtId="186" fontId="0" fillId="0" borderId="25" xfId="0" applyNumberFormat="1" applyBorder="1" applyAlignment="1">
      <alignment horizontal="center"/>
    </xf>
    <xf numFmtId="186" fontId="1" fillId="0" borderId="0" xfId="0" applyNumberFormat="1" applyFont="1" applyAlignment="1">
      <alignment horizontal="center"/>
    </xf>
    <xf numFmtId="0" fontId="0" fillId="0" borderId="1" xfId="0" applyBorder="1"/>
    <xf numFmtId="0" fontId="10" fillId="0" borderId="1" xfId="0" applyFont="1" applyBorder="1" applyAlignment="1">
      <alignment horizontal="center"/>
    </xf>
    <xf numFmtId="187" fontId="10" fillId="0" borderId="1" xfId="0" applyNumberFormat="1" applyFont="1" applyBorder="1" applyAlignment="1">
      <alignment horizontal="center"/>
    </xf>
    <xf numFmtId="187" fontId="5" fillId="0" borderId="1" xfId="0" applyNumberFormat="1" applyFont="1" applyBorder="1" applyAlignment="1">
      <alignment horizontal="center"/>
    </xf>
    <xf numFmtId="188" fontId="5" fillId="0" borderId="1" xfId="0" applyNumberFormat="1" applyFont="1" applyBorder="1" applyAlignment="1">
      <alignment horizontal="center"/>
    </xf>
    <xf numFmtId="187" fontId="11" fillId="0" borderId="1" xfId="0" applyNumberFormat="1" applyFont="1" applyBorder="1" applyAlignment="1">
      <alignment horizontal="center"/>
    </xf>
    <xf numFmtId="189" fontId="11" fillId="0" borderId="1" xfId="0" applyNumberFormat="1" applyFont="1" applyBorder="1" applyAlignment="1">
      <alignment horizontal="center"/>
    </xf>
    <xf numFmtId="190" fontId="11" fillId="0" borderId="1" xfId="0" applyNumberFormat="1" applyFont="1" applyBorder="1" applyAlignment="1">
      <alignment horizontal="center"/>
    </xf>
    <xf numFmtId="20" fontId="10" fillId="0" borderId="1" xfId="0" quotePrefix="1" applyNumberFormat="1" applyFont="1" applyBorder="1" applyAlignment="1">
      <alignment horizontal="center"/>
    </xf>
    <xf numFmtId="191" fontId="0" fillId="0" borderId="0" xfId="1" applyNumberFormat="1" applyFont="1" applyFill="1" applyAlignment="1">
      <alignment horizontal="center"/>
    </xf>
    <xf numFmtId="192" fontId="0" fillId="0" borderId="0" xfId="0" applyNumberFormat="1" applyAlignment="1">
      <alignment horizontal="center"/>
    </xf>
    <xf numFmtId="192" fontId="0" fillId="0" borderId="25" xfId="0" applyNumberFormat="1" applyBorder="1" applyAlignment="1">
      <alignment horizontal="center"/>
    </xf>
    <xf numFmtId="0" fontId="0" fillId="0" borderId="0" xfId="0" applyAlignment="1">
      <alignment horizontal="center" vertical="center"/>
    </xf>
    <xf numFmtId="0" fontId="12" fillId="0" borderId="0" xfId="0" applyFont="1" applyAlignment="1">
      <alignment horizontal="center"/>
    </xf>
    <xf numFmtId="0" fontId="12" fillId="0" borderId="25" xfId="0" applyFont="1" applyBorder="1" applyAlignment="1">
      <alignment horizontal="center"/>
    </xf>
    <xf numFmtId="0" fontId="8" fillId="0" borderId="0" xfId="0" applyFont="1"/>
    <xf numFmtId="0" fontId="0" fillId="0" borderId="1" xfId="0" applyBorder="1" applyAlignment="1">
      <alignment vertical="center"/>
    </xf>
    <xf numFmtId="20" fontId="10" fillId="0" borderId="1" xfId="0" quotePrefix="1" applyNumberFormat="1" applyFont="1" applyBorder="1" applyAlignment="1">
      <alignment horizontal="center" vertical="center"/>
    </xf>
    <xf numFmtId="0" fontId="10" fillId="0" borderId="1" xfId="0" applyFont="1" applyBorder="1" applyAlignment="1">
      <alignment horizontal="center" vertical="center"/>
    </xf>
    <xf numFmtId="187" fontId="5" fillId="0" borderId="1" xfId="0" applyNumberFormat="1" applyFont="1" applyBorder="1" applyAlignment="1">
      <alignment horizontal="center" vertical="center"/>
    </xf>
    <xf numFmtId="188" fontId="5" fillId="0" borderId="1" xfId="0" applyNumberFormat="1" applyFont="1" applyBorder="1" applyAlignment="1">
      <alignment horizontal="center" vertical="center"/>
    </xf>
    <xf numFmtId="187" fontId="11" fillId="0" borderId="1" xfId="0" applyNumberFormat="1" applyFont="1" applyBorder="1" applyAlignment="1">
      <alignment horizontal="center" vertical="center"/>
    </xf>
    <xf numFmtId="189" fontId="11" fillId="0" borderId="1" xfId="0" applyNumberFormat="1" applyFont="1" applyBorder="1" applyAlignment="1">
      <alignment horizontal="center" vertical="center"/>
    </xf>
    <xf numFmtId="190" fontId="11" fillId="0" borderId="1" xfId="0" applyNumberFormat="1" applyFont="1" applyBorder="1" applyAlignment="1">
      <alignment horizontal="center" vertical="center"/>
    </xf>
    <xf numFmtId="187" fontId="12" fillId="0" borderId="1" xfId="0" applyNumberFormat="1" applyFont="1" applyBorder="1" applyAlignment="1">
      <alignment horizontal="center" vertical="center"/>
    </xf>
    <xf numFmtId="187" fontId="7" fillId="0" borderId="1" xfId="0" applyNumberFormat="1" applyFont="1" applyBorder="1" applyAlignment="1">
      <alignment horizontal="center" vertical="center"/>
    </xf>
    <xf numFmtId="193" fontId="0" fillId="0" borderId="0" xfId="0" applyNumberFormat="1" applyAlignment="1">
      <alignment horizontal="center"/>
    </xf>
    <xf numFmtId="194" fontId="0" fillId="0" borderId="0" xfId="0" applyNumberFormat="1" applyAlignment="1">
      <alignment horizontal="center"/>
    </xf>
    <xf numFmtId="0" fontId="13" fillId="0" borderId="1" xfId="0" applyFont="1" applyBorder="1" applyAlignment="1">
      <alignment horizontal="center" vertical="center" wrapText="1"/>
    </xf>
    <xf numFmtId="180" fontId="13" fillId="0" borderId="1" xfId="0" applyNumberFormat="1" applyFont="1" applyBorder="1" applyAlignment="1">
      <alignment horizontal="center"/>
    </xf>
    <xf numFmtId="182" fontId="13" fillId="0" borderId="1" xfId="0" applyNumberFormat="1" applyFont="1" applyBorder="1" applyAlignment="1">
      <alignment horizontal="center"/>
    </xf>
    <xf numFmtId="0" fontId="14" fillId="0" borderId="0" xfId="0" applyFont="1"/>
    <xf numFmtId="0" fontId="13" fillId="0" borderId="0" xfId="0" applyFont="1" applyAlignment="1">
      <alignment vertical="center" wrapText="1"/>
    </xf>
    <xf numFmtId="165" fontId="0" fillId="0" borderId="1" xfId="0" applyNumberFormat="1" applyBorder="1" applyAlignment="1">
      <alignment horizontal="center"/>
    </xf>
    <xf numFmtId="183" fontId="0" fillId="0" borderId="25" xfId="1" applyNumberFormat="1" applyFont="1" applyFill="1" applyBorder="1" applyAlignment="1">
      <alignment horizontal="center"/>
    </xf>
    <xf numFmtId="0" fontId="0" fillId="0" borderId="0" xfId="0" applyAlignment="1">
      <alignment horizontal="left" vertical="center"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0" fillId="0" borderId="0" xfId="0" applyAlignment="1">
      <alignment vertical="center" wrapText="1"/>
    </xf>
    <xf numFmtId="43" fontId="0" fillId="0" borderId="0" xfId="1" applyFont="1"/>
    <xf numFmtId="194" fontId="0" fillId="0" borderId="1" xfId="0" applyNumberFormat="1" applyBorder="1" applyAlignment="1">
      <alignment horizontal="center" vertical="center"/>
    </xf>
    <xf numFmtId="0" fontId="1" fillId="6" borderId="1" xfId="0" applyFont="1" applyFill="1" applyBorder="1" applyAlignment="1">
      <alignment horizontal="center"/>
    </xf>
    <xf numFmtId="194" fontId="0" fillId="0" borderId="1" xfId="0" applyNumberFormat="1" applyBorder="1" applyAlignment="1">
      <alignment horizontal="center"/>
    </xf>
    <xf numFmtId="194" fontId="0" fillId="0" borderId="27" xfId="0" applyNumberFormat="1" applyBorder="1" applyAlignment="1">
      <alignment horizontal="center" vertical="center"/>
    </xf>
    <xf numFmtId="194" fontId="1" fillId="0" borderId="0" xfId="0" applyNumberFormat="1" applyFont="1" applyAlignment="1">
      <alignment horizontal="center" vertical="center"/>
    </xf>
    <xf numFmtId="0" fontId="0" fillId="8" borderId="2" xfId="0" applyFill="1" applyBorder="1" applyAlignment="1">
      <alignment horizontal="center" vertical="center"/>
    </xf>
    <xf numFmtId="0" fontId="0" fillId="8" borderId="11" xfId="0" applyFill="1" applyBorder="1" applyAlignment="1">
      <alignment horizontal="center" vertical="center"/>
    </xf>
    <xf numFmtId="194" fontId="12" fillId="0" borderId="13" xfId="0" applyNumberFormat="1" applyFont="1" applyBorder="1" applyAlignment="1">
      <alignment horizontal="center" vertical="center"/>
    </xf>
    <xf numFmtId="194" fontId="0" fillId="0" borderId="31" xfId="0" applyNumberFormat="1" applyBorder="1" applyAlignment="1">
      <alignment horizontal="center" vertical="center"/>
    </xf>
    <xf numFmtId="194" fontId="0" fillId="0" borderId="34" xfId="0" applyNumberFormat="1" applyBorder="1" applyAlignment="1">
      <alignment horizontal="center" vertical="center"/>
    </xf>
    <xf numFmtId="0" fontId="1" fillId="8" borderId="36" xfId="0" applyFont="1" applyFill="1" applyBorder="1" applyAlignment="1">
      <alignment horizontal="center" vertical="center" wrapText="1"/>
    </xf>
    <xf numFmtId="0" fontId="1" fillId="8" borderId="36" xfId="0" applyFont="1" applyFill="1" applyBorder="1" applyAlignment="1">
      <alignment horizontal="center" vertical="center"/>
    </xf>
    <xf numFmtId="0" fontId="1" fillId="8" borderId="38" xfId="0" applyFont="1" applyFill="1" applyBorder="1" applyAlignment="1">
      <alignment horizontal="center" vertical="center"/>
    </xf>
    <xf numFmtId="0" fontId="1" fillId="8" borderId="37" xfId="0" applyFont="1" applyFill="1" applyBorder="1" applyAlignment="1">
      <alignment horizontal="center" vertical="center"/>
    </xf>
    <xf numFmtId="194" fontId="12" fillId="0" borderId="31" xfId="0" applyNumberFormat="1" applyFont="1" applyBorder="1" applyAlignment="1">
      <alignment horizontal="center" vertical="center"/>
    </xf>
    <xf numFmtId="194" fontId="0" fillId="0" borderId="3" xfId="0" applyNumberFormat="1" applyBorder="1" applyAlignment="1">
      <alignment horizontal="center" vertical="center"/>
    </xf>
    <xf numFmtId="194" fontId="12" fillId="0" borderId="1" xfId="0" applyNumberFormat="1" applyFont="1" applyBorder="1" applyAlignment="1">
      <alignment horizontal="center" vertical="center"/>
    </xf>
    <xf numFmtId="0" fontId="1" fillId="8" borderId="6" xfId="0" applyFont="1" applyFill="1" applyBorder="1" applyAlignment="1">
      <alignment horizontal="center" vertical="center"/>
    </xf>
    <xf numFmtId="4" fontId="0" fillId="0" borderId="0" xfId="0" applyNumberFormat="1" applyAlignment="1">
      <alignment horizontal="center"/>
    </xf>
    <xf numFmtId="195" fontId="0" fillId="0" borderId="0" xfId="0" applyNumberFormat="1" applyAlignment="1">
      <alignment horizontal="center"/>
    </xf>
    <xf numFmtId="195" fontId="0" fillId="0" borderId="25" xfId="0" applyNumberFormat="1" applyBorder="1" applyAlignment="1">
      <alignment horizontal="center"/>
    </xf>
    <xf numFmtId="196" fontId="1" fillId="0" borderId="0" xfId="0" applyNumberFormat="1" applyFont="1" applyAlignment="1">
      <alignment horizontal="center"/>
    </xf>
    <xf numFmtId="0" fontId="1" fillId="4" borderId="39" xfId="0" applyFont="1" applyFill="1" applyBorder="1"/>
    <xf numFmtId="0" fontId="1" fillId="4" borderId="35" xfId="0" applyFont="1" applyFill="1" applyBorder="1" applyAlignment="1">
      <alignment horizontal="center"/>
    </xf>
    <xf numFmtId="0" fontId="13" fillId="0" borderId="26" xfId="0" applyFont="1" applyBorder="1" applyAlignment="1">
      <alignment horizontal="center" vertical="center" wrapText="1"/>
    </xf>
    <xf numFmtId="165" fontId="0" fillId="0" borderId="26" xfId="0" applyNumberFormat="1" applyBorder="1" applyAlignment="1">
      <alignment horizontal="center"/>
    </xf>
    <xf numFmtId="180" fontId="13" fillId="0" borderId="26" xfId="0" applyNumberFormat="1" applyFont="1" applyBorder="1" applyAlignment="1">
      <alignment horizontal="center"/>
    </xf>
    <xf numFmtId="182" fontId="13" fillId="0" borderId="5" xfId="0" applyNumberFormat="1" applyFont="1" applyBorder="1" applyAlignment="1">
      <alignment horizontal="center"/>
    </xf>
    <xf numFmtId="182" fontId="13" fillId="0" borderId="26" xfId="0" applyNumberFormat="1" applyFont="1" applyBorder="1" applyAlignment="1">
      <alignment horizontal="center"/>
    </xf>
    <xf numFmtId="0" fontId="1" fillId="4" borderId="34" xfId="0" applyFont="1" applyFill="1" applyBorder="1" applyAlignment="1">
      <alignment horizontal="center" vertical="center"/>
    </xf>
    <xf numFmtId="0" fontId="1" fillId="4" borderId="35" xfId="0" applyFont="1" applyFill="1" applyBorder="1" applyAlignment="1">
      <alignment horizontal="center" vertical="center"/>
    </xf>
    <xf numFmtId="194" fontId="5" fillId="0" borderId="29" xfId="0" applyNumberFormat="1" applyFont="1" applyBorder="1" applyAlignment="1">
      <alignment horizontal="center" vertical="center"/>
    </xf>
    <xf numFmtId="194" fontId="5" fillId="0" borderId="31" xfId="0" applyNumberFormat="1" applyFont="1" applyBorder="1" applyAlignment="1">
      <alignment horizontal="center" vertical="center"/>
    </xf>
    <xf numFmtId="194" fontId="5" fillId="0" borderId="1" xfId="0" applyNumberFormat="1" applyFont="1" applyBorder="1" applyAlignment="1">
      <alignment horizontal="center" vertical="center"/>
    </xf>
    <xf numFmtId="194" fontId="5" fillId="0" borderId="34" xfId="0" applyNumberFormat="1" applyFont="1" applyBorder="1" applyAlignment="1">
      <alignment horizontal="center" vertical="center"/>
    </xf>
    <xf numFmtId="194" fontId="20" fillId="0" borderId="31" xfId="0" applyNumberFormat="1" applyFont="1" applyBorder="1" applyAlignment="1">
      <alignment horizontal="center" vertical="center"/>
    </xf>
    <xf numFmtId="194" fontId="20" fillId="0" borderId="1" xfId="0" applyNumberFormat="1" applyFont="1" applyBorder="1" applyAlignment="1">
      <alignment horizontal="center" vertical="center"/>
    </xf>
    <xf numFmtId="194" fontId="5" fillId="0" borderId="27" xfId="0" applyNumberFormat="1" applyFont="1" applyBorder="1" applyAlignment="1">
      <alignment horizontal="center" vertical="center"/>
    </xf>
    <xf numFmtId="0" fontId="0" fillId="8" borderId="1" xfId="0" applyFill="1" applyBorder="1" applyAlignment="1">
      <alignment horizontal="center" vertical="center"/>
    </xf>
    <xf numFmtId="0" fontId="0" fillId="8" borderId="31" xfId="0" applyFill="1" applyBorder="1" applyAlignment="1">
      <alignment horizontal="center" vertical="center"/>
    </xf>
    <xf numFmtId="0" fontId="0" fillId="8" borderId="34" xfId="0" applyFill="1" applyBorder="1" applyAlignment="1">
      <alignment horizontal="center" vertical="center"/>
    </xf>
    <xf numFmtId="0" fontId="0" fillId="8" borderId="27" xfId="0" applyFill="1" applyBorder="1" applyAlignment="1">
      <alignment horizontal="center" vertical="center"/>
    </xf>
    <xf numFmtId="194" fontId="12" fillId="0" borderId="34" xfId="0" applyNumberFormat="1" applyFont="1" applyBorder="1" applyAlignment="1">
      <alignment horizontal="center" vertical="center"/>
    </xf>
    <xf numFmtId="194" fontId="12" fillId="4" borderId="31" xfId="0" applyNumberFormat="1" applyFont="1" applyFill="1" applyBorder="1" applyAlignment="1">
      <alignment horizontal="center" vertical="center"/>
    </xf>
    <xf numFmtId="194" fontId="12" fillId="4" borderId="29" xfId="0" applyNumberFormat="1" applyFont="1" applyFill="1" applyBorder="1" applyAlignment="1">
      <alignment horizontal="center" vertical="center"/>
    </xf>
    <xf numFmtId="194" fontId="12" fillId="4" borderId="1" xfId="0" applyNumberFormat="1" applyFont="1" applyFill="1" applyBorder="1" applyAlignment="1">
      <alignment horizontal="center" vertical="center"/>
    </xf>
    <xf numFmtId="194" fontId="12" fillId="4" borderId="34" xfId="0" applyNumberFormat="1" applyFont="1" applyFill="1" applyBorder="1" applyAlignment="1">
      <alignment horizontal="center" vertical="center"/>
    </xf>
    <xf numFmtId="194" fontId="12" fillId="4" borderId="27" xfId="0" applyNumberFormat="1" applyFont="1" applyFill="1" applyBorder="1" applyAlignment="1">
      <alignment horizontal="center" vertical="center"/>
    </xf>
    <xf numFmtId="194" fontId="18" fillId="4" borderId="1" xfId="0" applyNumberFormat="1" applyFont="1" applyFill="1" applyBorder="1" applyAlignment="1">
      <alignment horizontal="center" vertical="center"/>
    </xf>
    <xf numFmtId="194" fontId="5" fillId="0" borderId="11" xfId="0" applyNumberFormat="1" applyFont="1" applyBorder="1" applyAlignment="1">
      <alignment horizontal="center" vertical="center"/>
    </xf>
    <xf numFmtId="194" fontId="5" fillId="0" borderId="32" xfId="0" applyNumberFormat="1" applyFont="1" applyBorder="1" applyAlignment="1">
      <alignment horizontal="center" vertical="center"/>
    </xf>
    <xf numFmtId="194" fontId="5" fillId="0" borderId="2" xfId="0" applyNumberFormat="1" applyFont="1" applyBorder="1" applyAlignment="1">
      <alignment horizontal="center" vertical="center"/>
    </xf>
    <xf numFmtId="194" fontId="5" fillId="0" borderId="33" xfId="0" applyNumberFormat="1" applyFont="1" applyBorder="1" applyAlignment="1">
      <alignment horizontal="center" vertical="center"/>
    </xf>
    <xf numFmtId="194" fontId="5" fillId="0" borderId="22" xfId="0" applyNumberFormat="1" applyFont="1" applyBorder="1" applyAlignment="1">
      <alignment horizontal="center" vertical="center"/>
    </xf>
    <xf numFmtId="194" fontId="5" fillId="0" borderId="35" xfId="0" applyNumberFormat="1" applyFont="1" applyBorder="1" applyAlignment="1">
      <alignment horizontal="center" vertical="center"/>
    </xf>
    <xf numFmtId="194" fontId="5" fillId="0" borderId="41" xfId="0" applyNumberFormat="1" applyFont="1" applyBorder="1" applyAlignment="1">
      <alignment horizontal="center" vertical="center"/>
    </xf>
    <xf numFmtId="0" fontId="5" fillId="0" borderId="0" xfId="0" applyFont="1" applyAlignment="1">
      <alignment horizontal="center" vertical="center"/>
    </xf>
    <xf numFmtId="194" fontId="21" fillId="3" borderId="31" xfId="0" applyNumberFormat="1" applyFont="1" applyFill="1" applyBorder="1" applyAlignment="1">
      <alignment horizontal="center" vertical="center"/>
    </xf>
    <xf numFmtId="194" fontId="5" fillId="3" borderId="1" xfId="0" applyNumberFormat="1" applyFont="1" applyFill="1" applyBorder="1" applyAlignment="1">
      <alignment horizontal="center" vertical="center"/>
    </xf>
    <xf numFmtId="194" fontId="21" fillId="3" borderId="1" xfId="0" applyNumberFormat="1" applyFont="1" applyFill="1" applyBorder="1" applyAlignment="1">
      <alignment horizontal="center" vertical="center"/>
    </xf>
    <xf numFmtId="194" fontId="21" fillId="3" borderId="2" xfId="0" applyNumberFormat="1" applyFont="1" applyFill="1" applyBorder="1" applyAlignment="1">
      <alignment horizontal="center" vertical="center"/>
    </xf>
    <xf numFmtId="194" fontId="21" fillId="0" borderId="1" xfId="0" applyNumberFormat="1" applyFont="1" applyBorder="1" applyAlignment="1">
      <alignment horizontal="center" vertical="center"/>
    </xf>
    <xf numFmtId="1" fontId="21" fillId="0" borderId="11" xfId="0" applyNumberFormat="1" applyFont="1" applyBorder="1" applyAlignment="1">
      <alignment horizontal="center" vertical="center"/>
    </xf>
    <xf numFmtId="1" fontId="5" fillId="0" borderId="2" xfId="0" applyNumberFormat="1" applyFont="1" applyBorder="1" applyAlignment="1">
      <alignment horizontal="center" vertical="center"/>
    </xf>
    <xf numFmtId="1" fontId="5" fillId="0" borderId="11" xfId="0" applyNumberFormat="1" applyFont="1" applyBorder="1" applyAlignment="1">
      <alignment horizontal="center" vertical="center"/>
    </xf>
    <xf numFmtId="1" fontId="21" fillId="0" borderId="2" xfId="0" applyNumberFormat="1" applyFont="1" applyBorder="1" applyAlignment="1">
      <alignment horizontal="center" vertical="center"/>
    </xf>
    <xf numFmtId="1" fontId="5" fillId="0" borderId="22" xfId="0" applyNumberFormat="1" applyFont="1" applyBorder="1" applyAlignment="1">
      <alignment horizontal="center" vertical="center"/>
    </xf>
    <xf numFmtId="1" fontId="5" fillId="0" borderId="30" xfId="0" applyNumberFormat="1" applyFont="1" applyBorder="1" applyAlignment="1">
      <alignment horizontal="center" vertical="center"/>
    </xf>
    <xf numFmtId="0" fontId="1" fillId="10" borderId="1" xfId="0" applyFont="1" applyFill="1" applyBorder="1" applyAlignment="1">
      <alignment horizontal="center"/>
    </xf>
    <xf numFmtId="0" fontId="1" fillId="0" borderId="1" xfId="0" applyFont="1" applyBorder="1" applyAlignment="1">
      <alignment horizontal="center" vertical="center" wrapText="1"/>
    </xf>
    <xf numFmtId="0" fontId="0" fillId="0" borderId="1" xfId="0" applyBorder="1" applyAlignment="1">
      <alignment vertical="center" wrapText="1"/>
    </xf>
    <xf numFmtId="2" fontId="0" fillId="0" borderId="0" xfId="0" applyNumberFormat="1" applyAlignment="1">
      <alignment horizontal="center" vertical="center"/>
    </xf>
    <xf numFmtId="0" fontId="1" fillId="11" borderId="1" xfId="0" applyFont="1" applyFill="1" applyBorder="1" applyAlignment="1">
      <alignment horizontal="center" vertical="center" wrapText="1"/>
    </xf>
    <xf numFmtId="0" fontId="1" fillId="0" borderId="0" xfId="0" applyFont="1" applyAlignment="1">
      <alignment horizontal="center" vertical="center" wrapText="1"/>
    </xf>
    <xf numFmtId="0" fontId="1" fillId="12" borderId="1" xfId="0" applyFont="1" applyFill="1" applyBorder="1" applyAlignment="1">
      <alignment horizontal="center" vertical="center" wrapText="1"/>
    </xf>
    <xf numFmtId="0" fontId="1" fillId="12" borderId="1" xfId="0" applyFont="1" applyFill="1" applyBorder="1" applyAlignment="1">
      <alignment vertical="center" wrapText="1"/>
    </xf>
    <xf numFmtId="0" fontId="0" fillId="12" borderId="1" xfId="0" applyFill="1" applyBorder="1" applyAlignment="1">
      <alignment vertical="center" wrapText="1"/>
    </xf>
    <xf numFmtId="0" fontId="0" fillId="0" borderId="1" xfId="0" applyBorder="1" applyAlignment="1">
      <alignment horizontal="center" vertical="center" wrapText="1"/>
    </xf>
    <xf numFmtId="10" fontId="0" fillId="0" borderId="1" xfId="0" applyNumberFormat="1" applyBorder="1" applyAlignment="1">
      <alignment vertical="center" wrapText="1"/>
    </xf>
    <xf numFmtId="0" fontId="0" fillId="0" borderId="1" xfId="0" quotePrefix="1" applyBorder="1" applyAlignment="1">
      <alignment vertical="center" wrapText="1"/>
    </xf>
    <xf numFmtId="0" fontId="0" fillId="0" borderId="1" xfId="0" applyBorder="1" applyAlignment="1">
      <alignment horizontal="left" vertical="center" wrapText="1"/>
    </xf>
    <xf numFmtId="9" fontId="0" fillId="0" borderId="1" xfId="0" applyNumberFormat="1" applyBorder="1" applyAlignment="1">
      <alignment horizontal="left" vertical="center" wrapText="1"/>
    </xf>
    <xf numFmtId="0" fontId="1" fillId="0" borderId="1" xfId="0" applyFont="1" applyBorder="1" applyAlignment="1">
      <alignment vertical="center" wrapText="1"/>
    </xf>
    <xf numFmtId="194" fontId="0" fillId="0" borderId="0" xfId="0" applyNumberFormat="1" applyAlignment="1">
      <alignment horizontal="center" vertical="center"/>
    </xf>
    <xf numFmtId="9" fontId="0" fillId="0" borderId="0" xfId="3" applyFont="1" applyAlignment="1">
      <alignment horizontal="center"/>
    </xf>
    <xf numFmtId="192" fontId="0" fillId="0" borderId="0" xfId="0" applyNumberFormat="1"/>
    <xf numFmtId="197" fontId="0" fillId="0" borderId="0" xfId="0" applyNumberFormat="1" applyAlignment="1">
      <alignment horizontal="center"/>
    </xf>
    <xf numFmtId="197" fontId="0" fillId="0" borderId="25" xfId="0" applyNumberFormat="1" applyBorder="1" applyAlignment="1">
      <alignment horizontal="center"/>
    </xf>
    <xf numFmtId="0" fontId="0" fillId="0" borderId="28" xfId="0" applyBorder="1"/>
    <xf numFmtId="0" fontId="0" fillId="0" borderId="0" xfId="0" applyAlignment="1">
      <alignment wrapText="1"/>
    </xf>
    <xf numFmtId="0" fontId="1" fillId="2" borderId="0" xfId="0" applyFont="1" applyFill="1" applyAlignment="1">
      <alignment horizontal="center"/>
    </xf>
    <xf numFmtId="0" fontId="12" fillId="0" borderId="0" xfId="0" applyFont="1"/>
    <xf numFmtId="198" fontId="24" fillId="0" borderId="1" xfId="4" applyNumberFormat="1" applyFont="1" applyBorder="1" applyAlignment="1">
      <alignment horizontal="center" vertical="center" wrapText="1"/>
    </xf>
    <xf numFmtId="197" fontId="25" fillId="0" borderId="1" xfId="4" applyNumberFormat="1" applyFont="1" applyBorder="1" applyAlignment="1">
      <alignment horizontal="center" vertical="center"/>
    </xf>
    <xf numFmtId="186" fontId="0" fillId="0" borderId="1" xfId="0" applyNumberFormat="1" applyBorder="1" applyAlignment="1">
      <alignment horizontal="center"/>
    </xf>
    <xf numFmtId="198" fontId="0" fillId="0" borderId="1" xfId="0" applyNumberFormat="1" applyBorder="1" applyAlignment="1">
      <alignment horizontal="center"/>
    </xf>
    <xf numFmtId="0" fontId="5" fillId="0" borderId="1" xfId="0" applyFont="1" applyBorder="1" applyAlignment="1">
      <alignment horizontal="center"/>
    </xf>
    <xf numFmtId="0" fontId="5" fillId="0" borderId="0" xfId="0" applyFont="1"/>
    <xf numFmtId="0" fontId="0" fillId="0" borderId="46" xfId="0" applyBorder="1"/>
    <xf numFmtId="0" fontId="12" fillId="0" borderId="26" xfId="0" applyFont="1" applyBorder="1" applyAlignment="1">
      <alignment horizontal="center"/>
    </xf>
    <xf numFmtId="177" fontId="12" fillId="0" borderId="1" xfId="1" applyNumberFormat="1" applyFont="1" applyFill="1" applyBorder="1" applyAlignment="1">
      <alignment horizontal="center"/>
    </xf>
    <xf numFmtId="179" fontId="12" fillId="0" borderId="1" xfId="0" applyNumberFormat="1" applyFont="1" applyBorder="1" applyAlignment="1">
      <alignment horizontal="center"/>
    </xf>
    <xf numFmtId="0" fontId="12" fillId="0" borderId="1" xfId="0" applyFont="1" applyBorder="1" applyAlignment="1">
      <alignment horizontal="center"/>
    </xf>
    <xf numFmtId="176" fontId="12" fillId="0" borderId="1" xfId="0" applyNumberFormat="1" applyFont="1" applyBorder="1" applyAlignment="1">
      <alignment horizontal="center"/>
    </xf>
    <xf numFmtId="191" fontId="12" fillId="0" borderId="1" xfId="0" applyNumberFormat="1" applyFont="1" applyBorder="1" applyAlignment="1">
      <alignment horizontal="center"/>
    </xf>
    <xf numFmtId="194" fontId="0" fillId="0" borderId="0" xfId="0" applyNumberFormat="1"/>
    <xf numFmtId="194" fontId="12" fillId="0" borderId="0" xfId="0" applyNumberFormat="1" applyFont="1" applyAlignment="1">
      <alignment horizontal="center"/>
    </xf>
    <xf numFmtId="194" fontId="5" fillId="0" borderId="0" xfId="0" applyNumberFormat="1" applyFont="1" applyAlignment="1">
      <alignment horizontal="center"/>
    </xf>
    <xf numFmtId="0" fontId="27" fillId="0" borderId="0" xfId="0" applyFont="1" applyAlignment="1">
      <alignment horizontal="center"/>
    </xf>
    <xf numFmtId="194" fontId="27" fillId="0" borderId="0" xfId="0" applyNumberFormat="1" applyFont="1" applyAlignment="1">
      <alignment horizontal="center"/>
    </xf>
    <xf numFmtId="0" fontId="1" fillId="0" borderId="0" xfId="0" applyFont="1"/>
    <xf numFmtId="0" fontId="22" fillId="6" borderId="0" xfId="0" applyFont="1" applyFill="1" applyAlignment="1">
      <alignment horizontal="center"/>
    </xf>
    <xf numFmtId="0" fontId="1" fillId="3" borderId="0" xfId="0" applyFont="1" applyFill="1" applyAlignment="1">
      <alignment horizontal="center"/>
    </xf>
    <xf numFmtId="194" fontId="26" fillId="13" borderId="0" xfId="0" applyNumberFormat="1" applyFont="1" applyFill="1" applyAlignment="1">
      <alignment horizontal="center"/>
    </xf>
    <xf numFmtId="194" fontId="0" fillId="15" borderId="0" xfId="0" applyNumberFormat="1" applyFill="1" applyAlignment="1">
      <alignment horizontal="center"/>
    </xf>
    <xf numFmtId="194" fontId="5" fillId="16" borderId="0" xfId="0" applyNumberFormat="1" applyFont="1" applyFill="1" applyAlignment="1">
      <alignment horizontal="center"/>
    </xf>
    <xf numFmtId="194" fontId="28" fillId="17" borderId="0" xfId="0" applyNumberFormat="1" applyFont="1" applyFill="1" applyAlignment="1">
      <alignment horizontal="center"/>
    </xf>
    <xf numFmtId="194" fontId="29" fillId="18" borderId="0" xfId="0" applyNumberFormat="1" applyFont="1" applyFill="1" applyAlignment="1">
      <alignment horizontal="center"/>
    </xf>
    <xf numFmtId="194" fontId="30" fillId="7" borderId="0" xfId="0" applyNumberFormat="1" applyFont="1" applyFill="1" applyAlignment="1">
      <alignment horizontal="center"/>
    </xf>
    <xf numFmtId="194" fontId="31" fillId="19" borderId="0" xfId="0" applyNumberFormat="1" applyFont="1" applyFill="1" applyAlignment="1">
      <alignment horizontal="center"/>
    </xf>
    <xf numFmtId="194" fontId="29" fillId="20" borderId="0" xfId="0" applyNumberFormat="1" applyFont="1" applyFill="1" applyAlignment="1">
      <alignment horizontal="center"/>
    </xf>
    <xf numFmtId="194" fontId="32" fillId="11" borderId="0" xfId="0" applyNumberFormat="1" applyFont="1" applyFill="1" applyAlignment="1">
      <alignment horizontal="center"/>
    </xf>
    <xf numFmtId="194" fontId="33" fillId="21" borderId="0" xfId="0" applyNumberFormat="1" applyFont="1" applyFill="1" applyAlignment="1">
      <alignment horizontal="center"/>
    </xf>
    <xf numFmtId="194" fontId="34" fillId="22" borderId="0" xfId="0" applyNumberFormat="1" applyFont="1" applyFill="1" applyAlignment="1">
      <alignment horizontal="center"/>
    </xf>
    <xf numFmtId="194" fontId="0" fillId="5" borderId="0" xfId="0" applyNumberFormat="1" applyFill="1" applyAlignment="1">
      <alignment horizontal="center"/>
    </xf>
    <xf numFmtId="194" fontId="35" fillId="23" borderId="0" xfId="0" applyNumberFormat="1" applyFont="1" applyFill="1" applyAlignment="1">
      <alignment horizontal="center"/>
    </xf>
    <xf numFmtId="194" fontId="36" fillId="24" borderId="0" xfId="0" applyNumberFormat="1" applyFont="1" applyFill="1" applyAlignment="1">
      <alignment horizontal="center"/>
    </xf>
    <xf numFmtId="194" fontId="0" fillId="2" borderId="0" xfId="0" applyNumberFormat="1" applyFill="1" applyAlignment="1">
      <alignment horizontal="center"/>
    </xf>
    <xf numFmtId="194" fontId="10" fillId="20" borderId="0" xfId="0" applyNumberFormat="1" applyFont="1" applyFill="1" applyAlignment="1">
      <alignment horizontal="center"/>
    </xf>
    <xf numFmtId="194" fontId="0" fillId="25" borderId="0" xfId="0" applyNumberFormat="1" applyFill="1" applyAlignment="1">
      <alignment horizontal="center"/>
    </xf>
    <xf numFmtId="194" fontId="32" fillId="16" borderId="0" xfId="0" applyNumberFormat="1" applyFont="1" applyFill="1" applyAlignment="1">
      <alignment horizontal="center"/>
    </xf>
    <xf numFmtId="194" fontId="27" fillId="21" borderId="0" xfId="0" applyNumberFormat="1" applyFont="1" applyFill="1" applyAlignment="1">
      <alignment horizontal="center"/>
    </xf>
    <xf numFmtId="194" fontId="4" fillId="0" borderId="0" xfId="0" applyNumberFormat="1" applyFont="1" applyAlignment="1">
      <alignment horizontal="center"/>
    </xf>
    <xf numFmtId="194" fontId="37" fillId="16" borderId="0" xfId="0" applyNumberFormat="1" applyFont="1" applyFill="1" applyAlignment="1">
      <alignment horizontal="center"/>
    </xf>
    <xf numFmtId="194" fontId="31" fillId="21" borderId="0" xfId="0" applyNumberFormat="1" applyFont="1" applyFill="1" applyAlignment="1">
      <alignment horizontal="center"/>
    </xf>
    <xf numFmtId="194" fontId="38" fillId="26" borderId="0" xfId="0" applyNumberFormat="1" applyFont="1" applyFill="1" applyAlignment="1">
      <alignment horizontal="center"/>
    </xf>
    <xf numFmtId="194" fontId="26" fillId="27" borderId="0" xfId="0" applyNumberFormat="1" applyFont="1" applyFill="1" applyAlignment="1">
      <alignment horizontal="center"/>
    </xf>
    <xf numFmtId="194" fontId="39" fillId="21" borderId="0" xfId="0" applyNumberFormat="1" applyFont="1" applyFill="1" applyAlignment="1">
      <alignment horizontal="center"/>
    </xf>
    <xf numFmtId="194" fontId="17" fillId="16" borderId="0" xfId="0" applyNumberFormat="1" applyFont="1" applyFill="1" applyAlignment="1">
      <alignment horizontal="center"/>
    </xf>
    <xf numFmtId="194" fontId="17" fillId="18" borderId="0" xfId="0" applyNumberFormat="1" applyFont="1" applyFill="1" applyAlignment="1">
      <alignment horizontal="center"/>
    </xf>
    <xf numFmtId="194" fontId="40" fillId="28" borderId="0" xfId="0" applyNumberFormat="1" applyFont="1" applyFill="1" applyAlignment="1">
      <alignment horizontal="center"/>
    </xf>
    <xf numFmtId="194" fontId="17" fillId="29" borderId="0" xfId="0" applyNumberFormat="1" applyFont="1" applyFill="1" applyAlignment="1">
      <alignment horizontal="center"/>
    </xf>
    <xf numFmtId="194" fontId="41" fillId="14" borderId="0" xfId="0" applyNumberFormat="1" applyFont="1" applyFill="1" applyAlignment="1">
      <alignment horizontal="center"/>
    </xf>
    <xf numFmtId="194" fontId="42" fillId="16" borderId="0" xfId="0" applyNumberFormat="1" applyFont="1" applyFill="1" applyAlignment="1">
      <alignment horizontal="center"/>
    </xf>
    <xf numFmtId="194" fontId="40" fillId="30" borderId="0" xfId="0" applyNumberFormat="1" applyFont="1" applyFill="1" applyAlignment="1">
      <alignment horizontal="center"/>
    </xf>
    <xf numFmtId="194" fontId="36" fillId="31" borderId="0" xfId="0" applyNumberFormat="1" applyFont="1" applyFill="1" applyAlignment="1">
      <alignment horizontal="center"/>
    </xf>
    <xf numFmtId="194" fontId="36" fillId="16" borderId="0" xfId="0" applyNumberFormat="1" applyFont="1" applyFill="1" applyAlignment="1">
      <alignment horizontal="center"/>
    </xf>
    <xf numFmtId="194" fontId="30" fillId="17" borderId="0" xfId="0" applyNumberFormat="1" applyFont="1" applyFill="1" applyAlignment="1">
      <alignment horizontal="center"/>
    </xf>
    <xf numFmtId="194" fontId="43" fillId="7" borderId="0" xfId="0" applyNumberFormat="1" applyFont="1" applyFill="1" applyAlignment="1">
      <alignment horizontal="center"/>
    </xf>
    <xf numFmtId="194" fontId="44" fillId="8" borderId="0" xfId="0" applyNumberFormat="1" applyFont="1" applyFill="1" applyAlignment="1">
      <alignment horizontal="center"/>
    </xf>
    <xf numFmtId="194" fontId="30" fillId="13" borderId="0" xfId="0" applyNumberFormat="1" applyFont="1" applyFill="1" applyAlignment="1">
      <alignment horizontal="center"/>
    </xf>
    <xf numFmtId="194" fontId="45" fillId="32" borderId="0" xfId="0" applyNumberFormat="1" applyFont="1" applyFill="1" applyAlignment="1">
      <alignment horizontal="center"/>
    </xf>
    <xf numFmtId="194" fontId="46" fillId="33" borderId="0" xfId="0" applyNumberFormat="1" applyFont="1" applyFill="1" applyAlignment="1">
      <alignment horizontal="center"/>
    </xf>
    <xf numFmtId="194" fontId="47" fillId="34" borderId="0" xfId="0" applyNumberFormat="1" applyFont="1" applyFill="1" applyAlignment="1">
      <alignment horizontal="center"/>
    </xf>
    <xf numFmtId="194" fontId="48" fillId="20" borderId="0" xfId="0" applyNumberFormat="1" applyFont="1" applyFill="1" applyAlignment="1">
      <alignment horizontal="center"/>
    </xf>
    <xf numFmtId="194" fontId="37" fillId="30" borderId="0" xfId="0" applyNumberFormat="1" applyFont="1" applyFill="1" applyAlignment="1">
      <alignment horizontal="center"/>
    </xf>
    <xf numFmtId="194" fontId="5" fillId="35" borderId="0" xfId="0" applyNumberFormat="1" applyFont="1" applyFill="1" applyAlignment="1">
      <alignment horizontal="center"/>
    </xf>
    <xf numFmtId="194" fontId="17" fillId="35" borderId="0" xfId="0" applyNumberFormat="1" applyFont="1" applyFill="1" applyAlignment="1">
      <alignment horizontal="center"/>
    </xf>
    <xf numFmtId="194" fontId="35" fillId="36" borderId="0" xfId="0" applyNumberFormat="1" applyFont="1" applyFill="1" applyAlignment="1">
      <alignment horizontal="center"/>
    </xf>
    <xf numFmtId="194" fontId="4" fillId="25" borderId="0" xfId="0" applyNumberFormat="1" applyFont="1" applyFill="1" applyAlignment="1">
      <alignment horizontal="center"/>
    </xf>
    <xf numFmtId="194" fontId="31" fillId="20" borderId="0" xfId="0" applyNumberFormat="1" applyFont="1" applyFill="1" applyAlignment="1">
      <alignment horizontal="center"/>
    </xf>
    <xf numFmtId="194" fontId="37" fillId="37" borderId="0" xfId="0" applyNumberFormat="1" applyFont="1" applyFill="1" applyAlignment="1">
      <alignment horizontal="center"/>
    </xf>
    <xf numFmtId="194" fontId="17" fillId="26" borderId="0" xfId="0" applyNumberFormat="1" applyFont="1" applyFill="1" applyAlignment="1">
      <alignment horizontal="center"/>
    </xf>
    <xf numFmtId="194" fontId="47" fillId="33" borderId="0" xfId="0" applyNumberFormat="1" applyFont="1" applyFill="1" applyAlignment="1">
      <alignment horizontal="center"/>
    </xf>
    <xf numFmtId="194" fontId="17" fillId="36" borderId="0" xfId="0" applyNumberFormat="1" applyFont="1" applyFill="1" applyAlignment="1">
      <alignment horizontal="center"/>
    </xf>
    <xf numFmtId="194" fontId="10" fillId="16" borderId="0" xfId="0" applyNumberFormat="1" applyFont="1" applyFill="1" applyAlignment="1">
      <alignment horizontal="center"/>
    </xf>
    <xf numFmtId="194" fontId="42" fillId="21" borderId="0" xfId="0" applyNumberFormat="1" applyFont="1" applyFill="1" applyAlignment="1">
      <alignment horizontal="center"/>
    </xf>
    <xf numFmtId="194" fontId="44" fillId="17" borderId="0" xfId="0" applyNumberFormat="1" applyFont="1" applyFill="1" applyAlignment="1">
      <alignment horizontal="center"/>
    </xf>
    <xf numFmtId="0" fontId="32" fillId="11" borderId="0" xfId="0" applyFont="1" applyFill="1"/>
    <xf numFmtId="0" fontId="1" fillId="6" borderId="0" xfId="0" applyFont="1" applyFill="1" applyAlignment="1">
      <alignment horizontal="center" vertical="center"/>
    </xf>
    <xf numFmtId="194" fontId="12" fillId="0" borderId="0" xfId="0" applyNumberFormat="1" applyFont="1" applyAlignment="1">
      <alignment horizontal="center" vertical="center"/>
    </xf>
    <xf numFmtId="194" fontId="17" fillId="7" borderId="0" xfId="0" applyNumberFormat="1" applyFont="1" applyFill="1" applyAlignment="1">
      <alignment horizontal="center" vertical="center"/>
    </xf>
    <xf numFmtId="194" fontId="17" fillId="34" borderId="0" xfId="0" applyNumberFormat="1" applyFont="1" applyFill="1" applyAlignment="1">
      <alignment horizontal="center" vertical="center"/>
    </xf>
    <xf numFmtId="194" fontId="5" fillId="0" borderId="0" xfId="0" applyNumberFormat="1" applyFont="1" applyAlignment="1">
      <alignment horizontal="center" vertical="center"/>
    </xf>
    <xf numFmtId="0" fontId="0" fillId="0" borderId="0" xfId="0" quotePrefix="1" applyAlignment="1">
      <alignment wrapText="1"/>
    </xf>
    <xf numFmtId="199" fontId="12" fillId="0" borderId="1" xfId="0" applyNumberFormat="1" applyFont="1" applyBorder="1" applyAlignment="1">
      <alignment horizontal="center"/>
    </xf>
    <xf numFmtId="200" fontId="7" fillId="0" borderId="0" xfId="0" applyNumberFormat="1" applyFont="1" applyAlignment="1">
      <alignment horizontal="center"/>
    </xf>
    <xf numFmtId="201" fontId="0" fillId="0" borderId="0" xfId="0" applyNumberFormat="1" applyAlignment="1">
      <alignment horizontal="center"/>
    </xf>
    <xf numFmtId="200" fontId="7" fillId="0" borderId="25" xfId="0" applyNumberFormat="1" applyFont="1" applyBorder="1" applyAlignment="1">
      <alignment horizontal="center"/>
    </xf>
    <xf numFmtId="4" fontId="0" fillId="0" borderId="25" xfId="0" applyNumberFormat="1" applyBorder="1" applyAlignment="1">
      <alignment horizontal="center"/>
    </xf>
    <xf numFmtId="201" fontId="0" fillId="0" borderId="25" xfId="0" applyNumberFormat="1" applyBorder="1" applyAlignment="1">
      <alignment horizontal="center"/>
    </xf>
    <xf numFmtId="0" fontId="0" fillId="4" borderId="47" xfId="0" applyFill="1" applyBorder="1" applyAlignment="1">
      <alignment horizontal="center" vertical="center" wrapText="1"/>
    </xf>
    <xf numFmtId="0" fontId="0" fillId="4" borderId="36" xfId="0" applyFill="1" applyBorder="1" applyAlignment="1">
      <alignment horizontal="center" vertical="center" wrapText="1"/>
    </xf>
    <xf numFmtId="199" fontId="7" fillId="0" borderId="1" xfId="0" applyNumberFormat="1" applyFont="1" applyBorder="1" applyAlignment="1">
      <alignment horizontal="center"/>
    </xf>
    <xf numFmtId="202" fontId="13" fillId="0" borderId="26" xfId="0" applyNumberFormat="1" applyFont="1" applyBorder="1" applyAlignment="1">
      <alignment horizontal="center"/>
    </xf>
    <xf numFmtId="203" fontId="13" fillId="0" borderId="26" xfId="0" applyNumberFormat="1" applyFont="1" applyBorder="1" applyAlignment="1">
      <alignment horizontal="center"/>
    </xf>
    <xf numFmtId="202" fontId="13" fillId="0" borderId="1" xfId="0" applyNumberFormat="1" applyFont="1" applyBorder="1" applyAlignment="1">
      <alignment horizontal="center"/>
    </xf>
    <xf numFmtId="203" fontId="13" fillId="0" borderId="1" xfId="0" applyNumberFormat="1" applyFont="1" applyBorder="1" applyAlignment="1">
      <alignment horizontal="center"/>
    </xf>
    <xf numFmtId="184" fontId="49" fillId="0" borderId="1" xfId="0" applyNumberFormat="1" applyFont="1" applyBorder="1" applyAlignment="1">
      <alignment horizontal="center"/>
    </xf>
    <xf numFmtId="184" fontId="49" fillId="0" borderId="26" xfId="0" applyNumberFormat="1" applyFont="1" applyBorder="1" applyAlignment="1">
      <alignment horizontal="center"/>
    </xf>
    <xf numFmtId="0" fontId="1" fillId="4" borderId="47" xfId="0" applyFont="1" applyFill="1" applyBorder="1" applyAlignment="1">
      <alignment horizontal="center" vertical="center" wrapText="1"/>
    </xf>
    <xf numFmtId="0" fontId="1" fillId="4" borderId="37"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8" xfId="0" applyFont="1" applyFill="1" applyBorder="1" applyAlignment="1">
      <alignment horizontal="center" vertical="center"/>
    </xf>
    <xf numFmtId="0" fontId="1" fillId="4" borderId="38" xfId="0" applyFont="1" applyFill="1" applyBorder="1" applyAlignment="1">
      <alignment horizontal="center" vertical="center"/>
    </xf>
    <xf numFmtId="0" fontId="1" fillId="4" borderId="1" xfId="0" applyFont="1" applyFill="1" applyBorder="1" applyAlignment="1">
      <alignment horizontal="center" vertical="center" wrapText="1"/>
    </xf>
    <xf numFmtId="0" fontId="12" fillId="0" borderId="1" xfId="0" applyFont="1" applyBorder="1" applyAlignment="1">
      <alignment horizontal="center" vertical="center"/>
    </xf>
    <xf numFmtId="194" fontId="40" fillId="0" borderId="0" xfId="0" applyNumberFormat="1" applyFont="1" applyAlignment="1">
      <alignment horizontal="center" vertical="center"/>
    </xf>
    <xf numFmtId="0" fontId="51" fillId="14" borderId="0" xfId="0" applyFont="1" applyFill="1"/>
    <xf numFmtId="0" fontId="51" fillId="14" borderId="0" xfId="0" applyFont="1" applyFill="1" applyAlignment="1">
      <alignment horizontal="center"/>
    </xf>
    <xf numFmtId="194" fontId="31" fillId="0" borderId="0" xfId="0" applyNumberFormat="1" applyFont="1" applyAlignment="1">
      <alignment horizontal="center"/>
    </xf>
    <xf numFmtId="194" fontId="29" fillId="0" borderId="0" xfId="0" applyNumberFormat="1" applyFont="1" applyAlignment="1">
      <alignment horizontal="center"/>
    </xf>
    <xf numFmtId="194" fontId="32" fillId="0" borderId="0" xfId="0" applyNumberFormat="1" applyFont="1" applyAlignment="1">
      <alignment horizontal="center"/>
    </xf>
    <xf numFmtId="194" fontId="34" fillId="0" borderId="0" xfId="0" applyNumberFormat="1" applyFont="1" applyAlignment="1">
      <alignment horizontal="center"/>
    </xf>
    <xf numFmtId="194" fontId="40" fillId="2" borderId="0" xfId="0" applyNumberFormat="1" applyFont="1" applyFill="1" applyAlignment="1">
      <alignment horizontal="center" vertical="center"/>
    </xf>
    <xf numFmtId="194" fontId="40" fillId="5" borderId="0" xfId="0" applyNumberFormat="1" applyFont="1" applyFill="1" applyAlignment="1">
      <alignment horizontal="center" vertical="center"/>
    </xf>
    <xf numFmtId="194" fontId="26" fillId="0" borderId="0" xfId="0" applyNumberFormat="1" applyFont="1" applyAlignment="1">
      <alignment horizontal="center"/>
    </xf>
    <xf numFmtId="194" fontId="17" fillId="0" borderId="0" xfId="0" applyNumberFormat="1" applyFont="1" applyAlignment="1">
      <alignment horizontal="center"/>
    </xf>
    <xf numFmtId="194" fontId="40" fillId="3" borderId="0" xfId="0" applyNumberFormat="1" applyFont="1" applyFill="1" applyAlignment="1">
      <alignment horizontal="center" vertical="center"/>
    </xf>
    <xf numFmtId="194" fontId="36" fillId="0" borderId="0" xfId="0" applyNumberFormat="1" applyFont="1" applyAlignment="1">
      <alignment horizontal="center"/>
    </xf>
    <xf numFmtId="194" fontId="40" fillId="6" borderId="0" xfId="0" applyNumberFormat="1" applyFont="1" applyFill="1" applyAlignment="1">
      <alignment horizontal="center" vertical="center"/>
    </xf>
    <xf numFmtId="194" fontId="0" fillId="6" borderId="0" xfId="0" applyNumberFormat="1" applyFill="1" applyAlignment="1">
      <alignment horizontal="center"/>
    </xf>
    <xf numFmtId="194" fontId="47" fillId="0" borderId="0" xfId="0" applyNumberFormat="1" applyFont="1" applyAlignment="1">
      <alignment horizontal="center"/>
    </xf>
    <xf numFmtId="194" fontId="12" fillId="5" borderId="0" xfId="0" applyNumberFormat="1" applyFont="1" applyFill="1" applyAlignment="1">
      <alignment horizontal="center" vertical="center"/>
    </xf>
    <xf numFmtId="194" fontId="52" fillId="0" borderId="0" xfId="0" applyNumberFormat="1" applyFont="1" applyAlignment="1">
      <alignment horizontal="center" vertical="center"/>
    </xf>
    <xf numFmtId="194" fontId="52" fillId="2" borderId="0" xfId="0" applyNumberFormat="1" applyFont="1" applyFill="1" applyAlignment="1">
      <alignment horizontal="center" vertical="center"/>
    </xf>
    <xf numFmtId="194" fontId="32" fillId="0" borderId="0" xfId="0" applyNumberFormat="1" applyFont="1" applyAlignment="1">
      <alignment horizontal="center" vertical="center"/>
    </xf>
    <xf numFmtId="194" fontId="52" fillId="6" borderId="0" xfId="0" applyNumberFormat="1" applyFont="1" applyFill="1" applyAlignment="1">
      <alignment horizontal="center" vertical="center"/>
    </xf>
    <xf numFmtId="2" fontId="1" fillId="0" borderId="0" xfId="0" applyNumberFormat="1" applyFont="1" applyAlignment="1">
      <alignment horizontal="center"/>
    </xf>
    <xf numFmtId="194" fontId="5" fillId="5" borderId="0" xfId="0" applyNumberFormat="1" applyFont="1" applyFill="1" applyAlignment="1">
      <alignment horizontal="center"/>
    </xf>
    <xf numFmtId="194" fontId="12" fillId="5" borderId="0" xfId="0" applyNumberFormat="1" applyFont="1" applyFill="1" applyAlignment="1">
      <alignment horizontal="center"/>
    </xf>
    <xf numFmtId="194" fontId="5" fillId="38" borderId="0" xfId="0" applyNumberFormat="1" applyFont="1" applyFill="1" applyAlignment="1">
      <alignment horizontal="center"/>
    </xf>
    <xf numFmtId="205" fontId="0" fillId="0" borderId="0" xfId="0" applyNumberFormat="1" applyAlignment="1">
      <alignment horizontal="center"/>
    </xf>
    <xf numFmtId="0" fontId="1" fillId="6" borderId="0" xfId="0" applyFont="1" applyFill="1" applyAlignment="1">
      <alignment horizontal="center"/>
    </xf>
    <xf numFmtId="194" fontId="53" fillId="0" borderId="0" xfId="0" applyNumberFormat="1" applyFont="1" applyAlignment="1">
      <alignment horizontal="center"/>
    </xf>
    <xf numFmtId="0" fontId="54" fillId="39" borderId="0" xfId="0" applyFont="1" applyFill="1" applyAlignment="1">
      <alignment horizontal="center"/>
    </xf>
    <xf numFmtId="0" fontId="0" fillId="0" borderId="0" xfId="0" applyAlignment="1">
      <alignment horizontal="left"/>
    </xf>
    <xf numFmtId="206" fontId="0" fillId="0" borderId="0" xfId="0" applyNumberFormat="1" applyAlignment="1">
      <alignment horizontal="center"/>
    </xf>
    <xf numFmtId="206" fontId="1" fillId="0" borderId="0" xfId="0" applyNumberFormat="1" applyFont="1" applyAlignment="1">
      <alignment horizontal="center"/>
    </xf>
    <xf numFmtId="206" fontId="0" fillId="0" borderId="25" xfId="0" applyNumberFormat="1" applyBorder="1" applyAlignment="1">
      <alignment horizontal="center"/>
    </xf>
    <xf numFmtId="2" fontId="0" fillId="0" borderId="25" xfId="0" applyNumberFormat="1" applyBorder="1" applyAlignment="1">
      <alignment horizontal="center"/>
    </xf>
    <xf numFmtId="2" fontId="0" fillId="0" borderId="0" xfId="0" applyNumberFormat="1"/>
    <xf numFmtId="0" fontId="0" fillId="4" borderId="37" xfId="0" applyFill="1" applyBorder="1" applyAlignment="1">
      <alignment horizontal="center" vertical="center" wrapText="1"/>
    </xf>
    <xf numFmtId="201" fontId="0" fillId="0" borderId="0" xfId="0" applyNumberFormat="1"/>
    <xf numFmtId="201" fontId="1" fillId="0" borderId="0" xfId="0" applyNumberFormat="1" applyFont="1" applyAlignment="1">
      <alignment horizontal="center"/>
    </xf>
    <xf numFmtId="201" fontId="0" fillId="0" borderId="1" xfId="0" applyNumberFormat="1" applyBorder="1" applyAlignment="1">
      <alignment horizontal="center"/>
    </xf>
    <xf numFmtId="204" fontId="10" fillId="0" borderId="0" xfId="0" applyNumberFormat="1" applyFont="1" applyAlignment="1">
      <alignment horizontal="center"/>
    </xf>
    <xf numFmtId="204" fontId="10" fillId="0" borderId="25" xfId="0" applyNumberFormat="1" applyFont="1" applyBorder="1" applyAlignment="1">
      <alignment horizontal="center"/>
    </xf>
    <xf numFmtId="0" fontId="11" fillId="0" borderId="0" xfId="0" applyFont="1" applyAlignment="1">
      <alignment horizontal="center"/>
    </xf>
    <xf numFmtId="194" fontId="21" fillId="40" borderId="0" xfId="0" applyNumberFormat="1" applyFont="1" applyFill="1" applyAlignment="1">
      <alignment horizontal="center"/>
    </xf>
    <xf numFmtId="0" fontId="0" fillId="0" borderId="25" xfId="0" applyBorder="1"/>
    <xf numFmtId="0" fontId="12" fillId="27" borderId="0" xfId="0" applyFont="1" applyFill="1" applyAlignment="1">
      <alignment horizontal="center" vertical="center" wrapText="1"/>
    </xf>
    <xf numFmtId="0" fontId="12" fillId="27" borderId="0" xfId="0" applyFont="1" applyFill="1" applyAlignment="1">
      <alignment horizontal="center" vertical="center"/>
    </xf>
    <xf numFmtId="0" fontId="55" fillId="41" borderId="1" xfId="0" applyFont="1" applyFill="1" applyBorder="1" applyAlignment="1">
      <alignment horizontal="center" vertical="center"/>
    </xf>
    <xf numFmtId="0" fontId="56" fillId="0" borderId="1" xfId="0" applyFont="1" applyBorder="1" applyAlignment="1">
      <alignment horizontal="center" vertical="center"/>
    </xf>
    <xf numFmtId="0" fontId="0" fillId="30" borderId="1" xfId="0" applyFill="1" applyBorder="1" applyAlignment="1">
      <alignment horizontal="center" vertical="center"/>
    </xf>
    <xf numFmtId="0" fontId="56" fillId="0" borderId="0" xfId="0" applyFont="1" applyAlignment="1">
      <alignment horizontal="center" vertical="center"/>
    </xf>
    <xf numFmtId="0" fontId="0" fillId="42" borderId="1" xfId="0" applyFill="1" applyBorder="1" applyAlignment="1">
      <alignment horizontal="center" vertical="center"/>
    </xf>
    <xf numFmtId="191" fontId="0" fillId="0" borderId="25" xfId="1" applyNumberFormat="1" applyFont="1" applyFill="1" applyBorder="1" applyAlignment="1">
      <alignment horizontal="center"/>
    </xf>
    <xf numFmtId="0" fontId="27" fillId="0" borderId="25" xfId="0" applyFont="1" applyBorder="1" applyAlignment="1">
      <alignment horizontal="center"/>
    </xf>
    <xf numFmtId="194" fontId="5" fillId="0" borderId="25" xfId="0" applyNumberFormat="1" applyFont="1" applyBorder="1" applyAlignment="1">
      <alignment horizontal="center"/>
    </xf>
    <xf numFmtId="194" fontId="27" fillId="0" borderId="25" xfId="0" applyNumberFormat="1" applyFont="1" applyBorder="1" applyAlignment="1">
      <alignment horizontal="center"/>
    </xf>
    <xf numFmtId="193" fontId="0" fillId="0" borderId="25" xfId="0" applyNumberFormat="1" applyBorder="1" applyAlignment="1">
      <alignment horizontal="center"/>
    </xf>
    <xf numFmtId="194" fontId="0" fillId="0" borderId="25" xfId="0" applyNumberFormat="1" applyBorder="1" applyAlignment="1">
      <alignment horizontal="center"/>
    </xf>
    <xf numFmtId="194" fontId="5" fillId="5" borderId="25" xfId="0" applyNumberFormat="1" applyFont="1" applyFill="1" applyBorder="1" applyAlignment="1">
      <alignment horizontal="center"/>
    </xf>
    <xf numFmtId="194" fontId="53" fillId="0" borderId="25" xfId="0" applyNumberFormat="1" applyFont="1" applyBorder="1" applyAlignment="1">
      <alignment horizontal="center"/>
    </xf>
    <xf numFmtId="9" fontId="0" fillId="0" borderId="25" xfId="3" applyFont="1" applyBorder="1" applyAlignment="1">
      <alignment horizontal="center"/>
    </xf>
    <xf numFmtId="2" fontId="1" fillId="7" borderId="0" xfId="0" applyNumberFormat="1" applyFont="1" applyFill="1" applyAlignment="1">
      <alignment horizontal="center"/>
    </xf>
    <xf numFmtId="180" fontId="0" fillId="0" borderId="0" xfId="0" applyNumberFormat="1"/>
    <xf numFmtId="0" fontId="1" fillId="7" borderId="0" xfId="0" applyFont="1" applyFill="1" applyAlignment="1">
      <alignment horizontal="center"/>
    </xf>
    <xf numFmtId="180" fontId="0" fillId="0" borderId="25" xfId="0" applyNumberFormat="1" applyBorder="1"/>
    <xf numFmtId="207" fontId="0" fillId="0" borderId="0" xfId="0" applyNumberFormat="1"/>
    <xf numFmtId="0" fontId="1" fillId="5" borderId="1" xfId="0" applyFont="1" applyFill="1" applyBorder="1" applyAlignment="1">
      <alignment horizontal="center" vertical="center" wrapText="1"/>
    </xf>
    <xf numFmtId="0" fontId="0" fillId="0" borderId="1" xfId="0" quotePrefix="1" applyBorder="1" applyAlignment="1">
      <alignment horizontal="center" vertical="center" wrapText="1"/>
    </xf>
    <xf numFmtId="0" fontId="0" fillId="0" borderId="1" xfId="0" quotePrefix="1" applyBorder="1" applyAlignment="1">
      <alignment horizontal="center" vertical="center"/>
    </xf>
    <xf numFmtId="0" fontId="11" fillId="2" borderId="1" xfId="0" applyFont="1" applyFill="1" applyBorder="1" applyAlignment="1">
      <alignment horizontal="center" vertical="center"/>
    </xf>
    <xf numFmtId="2" fontId="12" fillId="0" borderId="1" xfId="0" applyNumberFormat="1" applyFont="1" applyBorder="1" applyAlignment="1">
      <alignment horizontal="center" vertical="center"/>
    </xf>
    <xf numFmtId="169" fontId="0" fillId="0" borderId="1" xfId="0" applyNumberFormat="1" applyBorder="1" applyAlignment="1">
      <alignment horizontal="center" vertical="center"/>
    </xf>
    <xf numFmtId="10" fontId="0" fillId="0" borderId="1" xfId="3" applyNumberFormat="1" applyFont="1" applyBorder="1" applyAlignment="1">
      <alignment horizontal="center" vertical="center"/>
    </xf>
    <xf numFmtId="0" fontId="11" fillId="0" borderId="1" xfId="0" applyFont="1" applyBorder="1" applyAlignment="1">
      <alignment horizontal="center" vertical="center"/>
    </xf>
    <xf numFmtId="2" fontId="11" fillId="0" borderId="1" xfId="0" applyNumberFormat="1" applyFont="1" applyBorder="1" applyAlignment="1">
      <alignment horizontal="center" vertical="center"/>
    </xf>
    <xf numFmtId="169" fontId="1" fillId="0" borderId="0" xfId="0" applyNumberFormat="1" applyFont="1" applyAlignment="1">
      <alignment horizontal="center" vertical="center"/>
    </xf>
    <xf numFmtId="10" fontId="0" fillId="0" borderId="0" xfId="0" applyNumberFormat="1" applyAlignment="1">
      <alignment horizontal="center" vertical="center"/>
    </xf>
    <xf numFmtId="194" fontId="40" fillId="5" borderId="0" xfId="0" applyNumberFormat="1" applyFont="1" applyFill="1" applyAlignment="1">
      <alignment horizontal="center"/>
    </xf>
    <xf numFmtId="2" fontId="0" fillId="0" borderId="25" xfId="0" applyNumberFormat="1" applyBorder="1"/>
    <xf numFmtId="208" fontId="0" fillId="0" borderId="0" xfId="0" applyNumberFormat="1" applyAlignment="1">
      <alignment horizontal="center"/>
    </xf>
    <xf numFmtId="0" fontId="22" fillId="0" borderId="0" xfId="0" applyFont="1" applyAlignment="1">
      <alignment horizontal="center"/>
    </xf>
    <xf numFmtId="0" fontId="5" fillId="0" borderId="0" xfId="0" applyFont="1" applyAlignment="1">
      <alignment horizontal="center"/>
    </xf>
    <xf numFmtId="0" fontId="57" fillId="0" borderId="0" xfId="0" applyFont="1" applyAlignment="1">
      <alignment horizontal="center" vertical="center"/>
    </xf>
    <xf numFmtId="0" fontId="14" fillId="0" borderId="0" xfId="0" applyFont="1" applyAlignment="1">
      <alignment horizontal="center"/>
    </xf>
    <xf numFmtId="209" fontId="7" fillId="0" borderId="0" xfId="0" applyNumberFormat="1" applyFont="1" applyAlignment="1">
      <alignment horizontal="center"/>
    </xf>
    <xf numFmtId="209" fontId="5" fillId="0" borderId="0" xfId="0" applyNumberFormat="1" applyFont="1" applyAlignment="1">
      <alignment horizontal="center"/>
    </xf>
    <xf numFmtId="210" fontId="0" fillId="0" borderId="0" xfId="0" applyNumberFormat="1" applyAlignment="1">
      <alignment horizontal="center"/>
    </xf>
    <xf numFmtId="0" fontId="0" fillId="43" borderId="40" xfId="0" applyFill="1" applyBorder="1" applyAlignment="1">
      <alignment horizontal="center" vertical="center"/>
    </xf>
    <xf numFmtId="0" fontId="0" fillId="43" borderId="26" xfId="0" applyFill="1" applyBorder="1" applyAlignment="1">
      <alignment horizontal="center" vertical="center"/>
    </xf>
    <xf numFmtId="0" fontId="0" fillId="43" borderId="50" xfId="0" applyFill="1" applyBorder="1" applyAlignment="1">
      <alignment horizontal="center" vertical="center"/>
    </xf>
    <xf numFmtId="0" fontId="0" fillId="43" borderId="43" xfId="0" applyFill="1" applyBorder="1" applyAlignment="1">
      <alignment horizontal="center" vertical="center"/>
    </xf>
    <xf numFmtId="0" fontId="0" fillId="43" borderId="1" xfId="0" applyFill="1" applyBorder="1" applyAlignment="1">
      <alignment horizontal="center" vertical="center"/>
    </xf>
    <xf numFmtId="0" fontId="0" fillId="43" borderId="33" xfId="0" applyFill="1" applyBorder="1" applyAlignment="1">
      <alignment horizontal="center" vertical="center"/>
    </xf>
    <xf numFmtId="0" fontId="0" fillId="11" borderId="49" xfId="0" applyFill="1" applyBorder="1" applyAlignment="1">
      <alignment horizontal="center" vertical="center"/>
    </xf>
    <xf numFmtId="0" fontId="0" fillId="11" borderId="0" xfId="0" applyFill="1" applyAlignment="1">
      <alignment horizontal="center" vertical="center"/>
    </xf>
    <xf numFmtId="0" fontId="0" fillId="11" borderId="51" xfId="0" applyFill="1" applyBorder="1" applyAlignment="1">
      <alignment horizontal="center" vertical="center"/>
    </xf>
    <xf numFmtId="2" fontId="0" fillId="43" borderId="43" xfId="0" applyNumberFormat="1" applyFill="1" applyBorder="1" applyAlignment="1">
      <alignment horizontal="center" vertical="center"/>
    </xf>
    <xf numFmtId="2" fontId="0" fillId="43" borderId="1" xfId="0" applyNumberFormat="1" applyFill="1" applyBorder="1" applyAlignment="1">
      <alignment horizontal="center" vertical="center"/>
    </xf>
    <xf numFmtId="0" fontId="0" fillId="11" borderId="0" xfId="0" applyFill="1" applyAlignment="1">
      <alignment horizontal="left" vertical="center"/>
    </xf>
    <xf numFmtId="0" fontId="19" fillId="32" borderId="47" xfId="0" applyFont="1" applyFill="1" applyBorder="1" applyAlignment="1">
      <alignment horizontal="center" vertical="center"/>
    </xf>
    <xf numFmtId="194" fontId="19" fillId="32" borderId="38" xfId="0" applyNumberFormat="1" applyFont="1" applyFill="1" applyBorder="1" applyAlignment="1">
      <alignment horizontal="center" vertical="center"/>
    </xf>
    <xf numFmtId="0" fontId="0" fillId="11" borderId="51" xfId="0" applyFill="1" applyBorder="1" applyAlignment="1">
      <alignment horizontal="right" vertical="center"/>
    </xf>
    <xf numFmtId="0" fontId="19" fillId="5" borderId="47" xfId="0" applyFont="1" applyFill="1" applyBorder="1" applyAlignment="1">
      <alignment horizontal="center"/>
    </xf>
    <xf numFmtId="2" fontId="19" fillId="5" borderId="38" xfId="0" applyNumberFormat="1" applyFont="1" applyFill="1" applyBorder="1" applyAlignment="1">
      <alignment horizontal="center"/>
    </xf>
    <xf numFmtId="0" fontId="0" fillId="11" borderId="52" xfId="0" applyFill="1" applyBorder="1" applyAlignment="1">
      <alignment horizontal="center"/>
    </xf>
    <xf numFmtId="0" fontId="0" fillId="11" borderId="53" xfId="0" applyFill="1" applyBorder="1" applyAlignment="1">
      <alignment horizontal="right" vertical="center"/>
    </xf>
    <xf numFmtId="209" fontId="7" fillId="0" borderId="25" xfId="0" applyNumberFormat="1" applyFont="1" applyBorder="1" applyAlignment="1">
      <alignment horizontal="center"/>
    </xf>
    <xf numFmtId="209" fontId="5" fillId="0" borderId="25" xfId="0" applyNumberFormat="1" applyFont="1" applyBorder="1" applyAlignment="1">
      <alignment horizontal="center"/>
    </xf>
    <xf numFmtId="169" fontId="0" fillId="0" borderId="25" xfId="0" applyNumberFormat="1" applyBorder="1" applyAlignment="1">
      <alignment horizontal="center"/>
    </xf>
    <xf numFmtId="210" fontId="0" fillId="0" borderId="25" xfId="0" applyNumberFormat="1" applyBorder="1" applyAlignment="1">
      <alignment horizontal="center"/>
    </xf>
    <xf numFmtId="0" fontId="59" fillId="31" borderId="54" xfId="0" applyFont="1" applyFill="1" applyBorder="1" applyAlignment="1">
      <alignment horizontal="center" vertical="center"/>
    </xf>
    <xf numFmtId="0" fontId="59" fillId="31" borderId="26" xfId="0" applyFont="1" applyFill="1" applyBorder="1" applyAlignment="1">
      <alignment horizontal="center" vertical="center"/>
    </xf>
    <xf numFmtId="0" fontId="59" fillId="31" borderId="18" xfId="0" applyFont="1" applyFill="1" applyBorder="1" applyAlignment="1">
      <alignment horizontal="center" vertical="center"/>
    </xf>
    <xf numFmtId="0" fontId="0" fillId="0" borderId="55" xfId="0" applyBorder="1" applyAlignment="1">
      <alignment horizontal="center" vertical="center"/>
    </xf>
    <xf numFmtId="0" fontId="0" fillId="0" borderId="30" xfId="0" applyBorder="1" applyAlignment="1">
      <alignment horizontal="center" vertical="center"/>
    </xf>
    <xf numFmtId="0" fontId="19" fillId="31" borderId="54" xfId="0" applyFont="1" applyFill="1" applyBorder="1" applyAlignment="1">
      <alignment horizontal="center" vertical="center"/>
    </xf>
    <xf numFmtId="0" fontId="19" fillId="31" borderId="26" xfId="0" applyFont="1" applyFill="1" applyBorder="1" applyAlignment="1">
      <alignment horizontal="center" vertical="center"/>
    </xf>
    <xf numFmtId="0" fontId="19" fillId="31" borderId="18" xfId="0" applyFont="1" applyFill="1" applyBorder="1" applyAlignment="1">
      <alignment horizontal="center" vertical="center"/>
    </xf>
    <xf numFmtId="0" fontId="0" fillId="0" borderId="55" xfId="0" applyBorder="1" applyAlignment="1">
      <alignment horizontal="center"/>
    </xf>
    <xf numFmtId="0" fontId="0" fillId="0" borderId="27" xfId="0" applyBorder="1" applyAlignment="1">
      <alignment horizontal="center"/>
    </xf>
    <xf numFmtId="0" fontId="0" fillId="0" borderId="30" xfId="0" applyBorder="1" applyAlignment="1">
      <alignment horizontal="center"/>
    </xf>
    <xf numFmtId="0" fontId="0" fillId="0" borderId="27" xfId="0" applyBorder="1"/>
    <xf numFmtId="0" fontId="0" fillId="0" borderId="30" xfId="0" applyBorder="1"/>
    <xf numFmtId="0" fontId="19" fillId="31" borderId="56" xfId="0" applyFont="1" applyFill="1" applyBorder="1" applyAlignment="1">
      <alignment horizontal="center" vertical="center"/>
    </xf>
    <xf numFmtId="0" fontId="19" fillId="31" borderId="5" xfId="0" applyFont="1" applyFill="1" applyBorder="1" applyAlignment="1">
      <alignment horizontal="center" vertical="center"/>
    </xf>
    <xf numFmtId="0" fontId="19" fillId="31" borderId="4" xfId="0" applyFont="1" applyFill="1" applyBorder="1" applyAlignment="1">
      <alignment horizontal="center" vertical="center"/>
    </xf>
    <xf numFmtId="0" fontId="60" fillId="0" borderId="1" xfId="0" applyFont="1" applyBorder="1" applyAlignment="1">
      <alignment horizontal="center" vertical="center"/>
    </xf>
    <xf numFmtId="0" fontId="60" fillId="0" borderId="0" xfId="0" applyFont="1" applyAlignment="1">
      <alignment horizontal="center" vertical="center"/>
    </xf>
    <xf numFmtId="0" fontId="19" fillId="31" borderId="27" xfId="0" applyFont="1" applyFill="1" applyBorder="1" applyAlignment="1">
      <alignment horizontal="center" vertical="center"/>
    </xf>
    <xf numFmtId="0" fontId="0" fillId="0" borderId="1" xfId="0" quotePrefix="1" applyBorder="1" applyAlignment="1">
      <alignment wrapText="1"/>
    </xf>
    <xf numFmtId="0" fontId="0" fillId="0" borderId="1" xfId="0" applyBorder="1" applyAlignment="1">
      <alignment horizontal="left"/>
    </xf>
    <xf numFmtId="0" fontId="1" fillId="4" borderId="0" xfId="0" applyFont="1" applyFill="1" applyAlignment="1">
      <alignment horizontal="center"/>
    </xf>
    <xf numFmtId="211" fontId="0" fillId="0" borderId="0" xfId="0" applyNumberFormat="1" applyAlignment="1">
      <alignment horizontal="center"/>
    </xf>
    <xf numFmtId="173" fontId="0" fillId="0" borderId="0" xfId="1" applyNumberFormat="1" applyFont="1" applyAlignment="1">
      <alignment horizontal="center"/>
    </xf>
    <xf numFmtId="0" fontId="1" fillId="8" borderId="0" xfId="0" applyFont="1" applyFill="1" applyAlignment="1">
      <alignment horizontal="center"/>
    </xf>
    <xf numFmtId="0" fontId="1" fillId="5" borderId="0" xfId="0" applyFont="1" applyFill="1" applyAlignment="1">
      <alignment horizontal="center"/>
    </xf>
    <xf numFmtId="173" fontId="31" fillId="0" borderId="0" xfId="1" applyNumberFormat="1" applyFont="1" applyAlignment="1">
      <alignment horizontal="center"/>
    </xf>
    <xf numFmtId="212" fontId="61" fillId="0" borderId="0" xfId="0" applyNumberFormat="1" applyFont="1" applyAlignment="1">
      <alignment horizontal="center"/>
    </xf>
    <xf numFmtId="213" fontId="61" fillId="0" borderId="0" xfId="0" applyNumberFormat="1" applyFont="1" applyAlignment="1">
      <alignment horizontal="center"/>
    </xf>
    <xf numFmtId="0" fontId="62" fillId="0" borderId="0" xfId="0" applyFont="1" applyAlignment="1">
      <alignment horizontal="center"/>
    </xf>
    <xf numFmtId="0" fontId="1" fillId="8" borderId="1" xfId="0" applyFont="1" applyFill="1" applyBorder="1" applyAlignment="1">
      <alignment horizontal="center"/>
    </xf>
    <xf numFmtId="173" fontId="12" fillId="0" borderId="0" xfId="1" applyNumberFormat="1" applyFont="1" applyAlignment="1">
      <alignment horizontal="center"/>
    </xf>
    <xf numFmtId="0" fontId="1" fillId="11" borderId="0" xfId="0" applyFont="1" applyFill="1" applyAlignment="1">
      <alignment horizontal="center"/>
    </xf>
    <xf numFmtId="214" fontId="0" fillId="0" borderId="0" xfId="0" applyNumberFormat="1" applyAlignment="1">
      <alignment horizontal="center"/>
    </xf>
    <xf numFmtId="169" fontId="0" fillId="0" borderId="0" xfId="0" applyNumberFormat="1"/>
    <xf numFmtId="0" fontId="0" fillId="42" borderId="0" xfId="0" applyFill="1" applyAlignment="1">
      <alignment horizontal="left" vertical="center" wrapText="1"/>
    </xf>
    <xf numFmtId="0" fontId="19" fillId="0" borderId="0" xfId="0" applyFont="1" applyAlignment="1">
      <alignment horizontal="center" vertical="center"/>
    </xf>
    <xf numFmtId="0" fontId="19" fillId="0" borderId="0" xfId="0" applyFont="1" applyAlignment="1">
      <alignment vertical="center"/>
    </xf>
    <xf numFmtId="0" fontId="22" fillId="0" borderId="25" xfId="0" applyFont="1" applyBorder="1" applyAlignment="1">
      <alignment horizontal="center"/>
    </xf>
    <xf numFmtId="0" fontId="5" fillId="0" borderId="25" xfId="0" applyFont="1" applyBorder="1" applyAlignment="1">
      <alignment horizontal="center"/>
    </xf>
    <xf numFmtId="2" fontId="0" fillId="0" borderId="25" xfId="0" applyNumberFormat="1" applyBorder="1" applyAlignment="1">
      <alignment horizontal="center" vertical="center"/>
    </xf>
    <xf numFmtId="2" fontId="1" fillId="0" borderId="0" xfId="0" applyNumberFormat="1" applyFont="1" applyAlignment="1">
      <alignment horizontal="center" vertical="center"/>
    </xf>
    <xf numFmtId="0" fontId="19" fillId="31" borderId="1" xfId="0" applyFont="1" applyFill="1" applyBorder="1" applyAlignment="1">
      <alignment horizontal="center" vertical="center" wrapText="1"/>
    </xf>
    <xf numFmtId="0" fontId="0" fillId="25" borderId="0" xfId="0" applyFill="1"/>
    <xf numFmtId="0" fontId="63" fillId="44" borderId="1" xfId="0" applyFont="1" applyFill="1" applyBorder="1" applyAlignment="1">
      <alignment horizontal="center" wrapText="1"/>
    </xf>
    <xf numFmtId="0" fontId="15" fillId="0" borderId="1" xfId="0" applyFont="1" applyBorder="1" applyAlignment="1">
      <alignment horizontal="right" wrapText="1"/>
    </xf>
    <xf numFmtId="0" fontId="15" fillId="45" borderId="1" xfId="0" applyFont="1" applyFill="1" applyBorder="1" applyAlignment="1">
      <alignment wrapText="1"/>
    </xf>
    <xf numFmtId="0" fontId="15" fillId="0" borderId="1" xfId="0" applyFont="1" applyBorder="1" applyAlignment="1">
      <alignment wrapText="1"/>
    </xf>
    <xf numFmtId="0" fontId="15" fillId="0" borderId="1" xfId="0" applyFont="1" applyBorder="1" applyAlignment="1">
      <alignment horizontal="center" wrapText="1"/>
    </xf>
    <xf numFmtId="0" fontId="15" fillId="0" borderId="1" xfId="0" applyFont="1" applyBorder="1" applyAlignment="1">
      <alignment vertical="center"/>
    </xf>
    <xf numFmtId="0" fontId="15" fillId="0" borderId="1" xfId="0" applyFont="1" applyBorder="1" applyAlignment="1">
      <alignment horizontal="center" vertical="center" wrapText="1"/>
    </xf>
    <xf numFmtId="0" fontId="0" fillId="0" borderId="26" xfId="0" applyBorder="1"/>
    <xf numFmtId="2" fontId="0" fillId="0" borderId="26" xfId="0" applyNumberFormat="1" applyBorder="1" applyAlignment="1">
      <alignment horizontal="center"/>
    </xf>
    <xf numFmtId="193" fontId="0" fillId="0" borderId="0" xfId="0" applyNumberFormat="1"/>
    <xf numFmtId="4" fontId="0" fillId="0" borderId="0" xfId="0" applyNumberFormat="1" applyAlignment="1">
      <alignment horizontal="center" vertical="center"/>
    </xf>
    <xf numFmtId="0" fontId="0" fillId="0" borderId="0" xfId="0" applyAlignment="1">
      <alignment horizontal="center" wrapText="1"/>
    </xf>
    <xf numFmtId="10" fontId="0" fillId="0" borderId="0" xfId="0" applyNumberFormat="1"/>
    <xf numFmtId="10" fontId="0" fillId="0" borderId="0" xfId="3" applyNumberFormat="1" applyFont="1"/>
    <xf numFmtId="0" fontId="1" fillId="0" borderId="0" xfId="0" applyFont="1" applyAlignment="1">
      <alignment horizontal="center" vertical="center"/>
    </xf>
    <xf numFmtId="0" fontId="1" fillId="0" borderId="1" xfId="0" applyFont="1" applyBorder="1" applyAlignment="1">
      <alignment horizontal="center" vertical="center"/>
    </xf>
    <xf numFmtId="1" fontId="0" fillId="0" borderId="0" xfId="0" applyNumberFormat="1" applyAlignment="1">
      <alignment horizontal="center"/>
    </xf>
    <xf numFmtId="0" fontId="0" fillId="4" borderId="5" xfId="0" applyFill="1" applyBorder="1" applyAlignment="1">
      <alignment horizontal="center" vertical="center" wrapText="1"/>
    </xf>
    <xf numFmtId="0" fontId="0" fillId="4" borderId="21"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6" xfId="0" applyBorder="1" applyAlignment="1">
      <alignment horizontal="center"/>
    </xf>
    <xf numFmtId="0" fontId="0" fillId="0" borderId="1" xfId="0" applyBorder="1" applyAlignment="1">
      <alignment horizontal="center"/>
    </xf>
    <xf numFmtId="0" fontId="0" fillId="4" borderId="0" xfId="0" applyFill="1" applyAlignment="1">
      <alignment horizontal="center" vertical="center" wrapText="1"/>
    </xf>
    <xf numFmtId="0" fontId="0" fillId="4" borderId="1" xfId="0" applyFill="1" applyBorder="1" applyAlignment="1">
      <alignment horizontal="center" vertical="center" wrapText="1"/>
    </xf>
    <xf numFmtId="0" fontId="1" fillId="4" borderId="36" xfId="0" applyFont="1" applyFill="1" applyBorder="1" applyAlignment="1">
      <alignment horizontal="center" vertical="center" wrapText="1"/>
    </xf>
    <xf numFmtId="0" fontId="3" fillId="0" borderId="0" xfId="0" applyFont="1" applyAlignment="1">
      <alignment horizontal="center"/>
    </xf>
    <xf numFmtId="0" fontId="19" fillId="8" borderId="0" xfId="0" applyFont="1" applyFill="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1" fillId="0" borderId="1" xfId="0" applyFont="1" applyBorder="1" applyAlignment="1">
      <alignment horizontal="center"/>
    </xf>
    <xf numFmtId="0" fontId="1" fillId="2" borderId="1" xfId="0" applyFont="1" applyFill="1" applyBorder="1" applyAlignment="1">
      <alignment horizontal="center"/>
    </xf>
    <xf numFmtId="0" fontId="1" fillId="5" borderId="1" xfId="0" applyFont="1" applyFill="1" applyBorder="1" applyAlignment="1">
      <alignment horizontal="center" vertical="center"/>
    </xf>
    <xf numFmtId="0" fontId="0" fillId="0" borderId="1" xfId="0" applyBorder="1" applyAlignment="1">
      <alignment horizontal="center" vertical="center"/>
    </xf>
    <xf numFmtId="0" fontId="0" fillId="0" borderId="27" xfId="0" applyBorder="1" applyAlignment="1">
      <alignment horizontal="center" vertical="center"/>
    </xf>
    <xf numFmtId="0" fontId="0" fillId="0" borderId="26" xfId="0" applyBorder="1" applyAlignment="1">
      <alignment horizontal="center" vertical="center"/>
    </xf>
    <xf numFmtId="0" fontId="19" fillId="31" borderId="1" xfId="0" applyFont="1" applyFill="1" applyBorder="1" applyAlignment="1">
      <alignment horizontal="center" vertical="center"/>
    </xf>
    <xf numFmtId="0" fontId="19" fillId="31" borderId="2" xfId="0" applyFont="1" applyFill="1" applyBorder="1" applyAlignment="1">
      <alignment horizontal="center" vertical="center"/>
    </xf>
    <xf numFmtId="0" fontId="19" fillId="31" borderId="3" xfId="0" applyFont="1" applyFill="1" applyBorder="1" applyAlignment="1">
      <alignment horizontal="center" vertical="center"/>
    </xf>
    <xf numFmtId="0" fontId="0" fillId="0" borderId="2" xfId="0" applyBorder="1" applyAlignment="1">
      <alignment horizontal="center"/>
    </xf>
    <xf numFmtId="0" fontId="0" fillId="0" borderId="3" xfId="0" applyBorder="1" applyAlignment="1">
      <alignment horizontal="center"/>
    </xf>
    <xf numFmtId="215" fontId="0" fillId="0" borderId="0" xfId="0" applyNumberFormat="1" applyAlignment="1">
      <alignment horizontal="center"/>
    </xf>
    <xf numFmtId="0" fontId="0" fillId="20" borderId="0" xfId="0" applyFill="1" applyAlignment="1">
      <alignment horizontal="center"/>
    </xf>
    <xf numFmtId="0" fontId="7" fillId="20" borderId="0" xfId="0" applyFont="1" applyFill="1" applyAlignment="1">
      <alignment horizontal="center"/>
    </xf>
    <xf numFmtId="165" fontId="0" fillId="20" borderId="0" xfId="0" applyNumberFormat="1" applyFill="1" applyAlignment="1">
      <alignment horizontal="center"/>
    </xf>
    <xf numFmtId="0" fontId="12" fillId="20" borderId="0" xfId="0" applyFont="1" applyFill="1" applyAlignment="1">
      <alignment horizontal="center"/>
    </xf>
    <xf numFmtId="0" fontId="22" fillId="20" borderId="0" xfId="0" applyFont="1" applyFill="1" applyAlignment="1">
      <alignment horizontal="center"/>
    </xf>
    <xf numFmtId="0" fontId="5" fillId="20" borderId="0" xfId="0" applyFont="1" applyFill="1" applyAlignment="1">
      <alignment horizontal="center"/>
    </xf>
    <xf numFmtId="0" fontId="0" fillId="20" borderId="0" xfId="0" applyFill="1"/>
    <xf numFmtId="2" fontId="0" fillId="20" borderId="0" xfId="0" applyNumberFormat="1" applyFill="1" applyAlignment="1">
      <alignment horizontal="center"/>
    </xf>
    <xf numFmtId="2" fontId="0" fillId="20" borderId="0" xfId="0" applyNumberFormat="1" applyFill="1" applyAlignment="1">
      <alignment horizontal="center" vertical="center"/>
    </xf>
    <xf numFmtId="1" fontId="0" fillId="20" borderId="0" xfId="0" applyNumberFormat="1" applyFill="1" applyAlignment="1">
      <alignment horizontal="center"/>
    </xf>
    <xf numFmtId="210" fontId="0" fillId="20" borderId="0" xfId="0" applyNumberFormat="1" applyFill="1" applyAlignment="1">
      <alignment horizontal="center"/>
    </xf>
    <xf numFmtId="215" fontId="0" fillId="20" borderId="0" xfId="0" applyNumberFormat="1" applyFill="1" applyAlignment="1">
      <alignment horizontal="center"/>
    </xf>
    <xf numFmtId="172" fontId="1" fillId="0" borderId="1" xfId="0" applyNumberFormat="1" applyFont="1" applyBorder="1" applyAlignment="1">
      <alignment horizontal="center"/>
    </xf>
    <xf numFmtId="174" fontId="1" fillId="0" borderId="1" xfId="1" applyNumberFormat="1" applyFont="1" applyBorder="1"/>
    <xf numFmtId="195" fontId="0" fillId="20" borderId="0" xfId="0" applyNumberFormat="1" applyFill="1" applyAlignment="1">
      <alignment horizontal="center"/>
    </xf>
    <xf numFmtId="168" fontId="0" fillId="20" borderId="0" xfId="0" applyNumberFormat="1" applyFill="1" applyAlignment="1">
      <alignment horizontal="center"/>
    </xf>
    <xf numFmtId="215" fontId="0" fillId="0" borderId="25" xfId="0" applyNumberFormat="1" applyBorder="1" applyAlignment="1">
      <alignment horizontal="center"/>
    </xf>
    <xf numFmtId="168" fontId="0" fillId="0" borderId="25" xfId="0" applyNumberFormat="1" applyBorder="1"/>
    <xf numFmtId="0" fontId="19" fillId="8" borderId="1" xfId="0" applyFont="1" applyFill="1" applyBorder="1" applyAlignment="1">
      <alignment horizontal="center" vertical="center"/>
    </xf>
    <xf numFmtId="0" fontId="1" fillId="0" borderId="0" xfId="0" applyFont="1" applyAlignment="1">
      <alignment horizontal="center" vertical="center"/>
    </xf>
    <xf numFmtId="164" fontId="11" fillId="0" borderId="1" xfId="0" applyNumberFormat="1" applyFont="1" applyBorder="1" applyAlignment="1">
      <alignment horizontal="center" vertical="center"/>
    </xf>
    <xf numFmtId="0" fontId="3" fillId="2" borderId="1" xfId="0" applyFont="1" applyFill="1" applyBorder="1" applyAlignment="1">
      <alignment horizontal="center" vertical="center"/>
    </xf>
    <xf numFmtId="0" fontId="1" fillId="0" borderId="1" xfId="0" applyFont="1" applyBorder="1" applyAlignment="1">
      <alignment horizontal="center" vertical="center"/>
    </xf>
    <xf numFmtId="0" fontId="50" fillId="2" borderId="1" xfId="0" applyFont="1" applyFill="1" applyBorder="1" applyAlignment="1">
      <alignment horizontal="center" vertical="center"/>
    </xf>
    <xf numFmtId="0" fontId="19" fillId="8" borderId="0" xfId="0" applyFont="1" applyFill="1" applyAlignment="1">
      <alignment horizontal="center"/>
    </xf>
    <xf numFmtId="0" fontId="8" fillId="2" borderId="45" xfId="0" applyFont="1" applyFill="1" applyBorder="1" applyAlignment="1">
      <alignment horizontal="center"/>
    </xf>
    <xf numFmtId="0" fontId="8" fillId="2" borderId="28" xfId="0" applyFont="1" applyFill="1" applyBorder="1" applyAlignment="1">
      <alignment horizontal="center"/>
    </xf>
    <xf numFmtId="0" fontId="0" fillId="4" borderId="0" xfId="0" applyFill="1" applyAlignment="1">
      <alignment horizontal="center" vertical="center" wrapText="1"/>
    </xf>
    <xf numFmtId="0" fontId="0" fillId="4" borderId="28" xfId="0" applyFill="1" applyBorder="1" applyAlignment="1">
      <alignment horizontal="center" vertical="center" wrapText="1"/>
    </xf>
    <xf numFmtId="0" fontId="11" fillId="0" borderId="28" xfId="0" applyFont="1" applyBorder="1" applyAlignment="1">
      <alignment horizontal="center"/>
    </xf>
    <xf numFmtId="0" fontId="0" fillId="0" borderId="1" xfId="0" applyBorder="1" applyAlignment="1">
      <alignment horizontal="center"/>
    </xf>
    <xf numFmtId="0" fontId="0" fillId="4" borderId="10" xfId="0" applyFill="1" applyBorder="1" applyAlignment="1">
      <alignment horizontal="center" vertical="center" wrapText="1"/>
    </xf>
    <xf numFmtId="0" fontId="0" fillId="4" borderId="5" xfId="0" applyFill="1" applyBorder="1" applyAlignment="1">
      <alignment horizontal="center" vertical="center" wrapText="1"/>
    </xf>
    <xf numFmtId="0" fontId="0" fillId="4" borderId="21" xfId="0" applyFill="1" applyBorder="1" applyAlignment="1">
      <alignment horizontal="center" vertical="center" wrapText="1"/>
    </xf>
    <xf numFmtId="0" fontId="8" fillId="2" borderId="6" xfId="0" applyFont="1" applyFill="1" applyBorder="1" applyAlignment="1">
      <alignment horizontal="center"/>
    </xf>
    <xf numFmtId="0" fontId="8" fillId="2" borderId="7" xfId="0" applyFont="1" applyFill="1" applyBorder="1" applyAlignment="1">
      <alignment horizontal="center"/>
    </xf>
    <xf numFmtId="0" fontId="8" fillId="2" borderId="8" xfId="0" applyFont="1" applyFill="1" applyBorder="1" applyAlignment="1">
      <alignment horizontal="center"/>
    </xf>
    <xf numFmtId="0" fontId="1" fillId="4" borderId="34" xfId="0" applyFont="1" applyFill="1" applyBorder="1" applyAlignment="1">
      <alignment horizontal="center"/>
    </xf>
    <xf numFmtId="0" fontId="0" fillId="0" borderId="26" xfId="0" applyBorder="1" applyAlignment="1">
      <alignment horizontal="center"/>
    </xf>
    <xf numFmtId="0" fontId="0" fillId="4" borderId="9"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20" xfId="0" applyFill="1" applyBorder="1" applyAlignment="1">
      <alignment horizontal="center" vertical="center" wrapText="1"/>
    </xf>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4" borderId="13" xfId="0" applyFont="1" applyFill="1" applyBorder="1" applyAlignment="1">
      <alignment horizontal="center"/>
    </xf>
    <xf numFmtId="175" fontId="1" fillId="4" borderId="14" xfId="0" applyNumberFormat="1" applyFont="1" applyFill="1" applyBorder="1" applyAlignment="1">
      <alignment horizontal="center" vertical="center"/>
    </xf>
    <xf numFmtId="175" fontId="1" fillId="4" borderId="18" xfId="0" applyNumberFormat="1" applyFont="1" applyFill="1" applyBorder="1" applyAlignment="1">
      <alignment horizontal="center" vertical="center"/>
    </xf>
    <xf numFmtId="176" fontId="1" fillId="4" borderId="15" xfId="0" applyNumberFormat="1" applyFont="1" applyFill="1" applyBorder="1" applyAlignment="1">
      <alignment horizontal="center" vertical="center"/>
    </xf>
    <xf numFmtId="176" fontId="1" fillId="4" borderId="19" xfId="0" applyNumberFormat="1" applyFont="1" applyFill="1" applyBorder="1" applyAlignment="1">
      <alignment horizontal="center" vertical="center"/>
    </xf>
    <xf numFmtId="0" fontId="0" fillId="4" borderId="22" xfId="0" applyFill="1" applyBorder="1" applyAlignment="1">
      <alignment horizontal="center" vertical="center" wrapText="1"/>
    </xf>
    <xf numFmtId="0" fontId="0" fillId="4" borderId="23" xfId="0" applyFill="1" applyBorder="1" applyAlignment="1">
      <alignment horizontal="center" vertical="center" wrapText="1"/>
    </xf>
    <xf numFmtId="1" fontId="0" fillId="0" borderId="24" xfId="0" applyNumberFormat="1" applyBorder="1" applyAlignment="1">
      <alignment horizontal="center"/>
    </xf>
    <xf numFmtId="1" fontId="0" fillId="0" borderId="0" xfId="0" applyNumberFormat="1" applyAlignment="1">
      <alignment horizontal="center"/>
    </xf>
    <xf numFmtId="1" fontId="0" fillId="0" borderId="25" xfId="0" applyNumberFormat="1" applyBorder="1" applyAlignment="1">
      <alignment horizontal="center"/>
    </xf>
    <xf numFmtId="0" fontId="1" fillId="4" borderId="18" xfId="0" applyFont="1" applyFill="1" applyBorder="1" applyAlignment="1">
      <alignment horizontal="center" vertical="center"/>
    </xf>
    <xf numFmtId="0" fontId="1" fillId="4" borderId="28" xfId="0" applyFont="1" applyFill="1" applyBorder="1" applyAlignment="1">
      <alignment horizontal="center" vertical="center"/>
    </xf>
    <xf numFmtId="0" fontId="1" fillId="4" borderId="19" xfId="0" applyFont="1" applyFill="1" applyBorder="1" applyAlignment="1">
      <alignment horizontal="center" vertical="center"/>
    </xf>
    <xf numFmtId="0" fontId="13" fillId="0" borderId="26" xfId="0" applyFont="1" applyBorder="1" applyAlignment="1">
      <alignment horizontal="left" vertical="center" wrapText="1"/>
    </xf>
    <xf numFmtId="0" fontId="13" fillId="0" borderId="1" xfId="0" applyFont="1" applyBorder="1" applyAlignment="1">
      <alignment horizontal="left" vertical="center" wrapText="1"/>
    </xf>
    <xf numFmtId="0" fontId="1" fillId="0" borderId="0" xfId="0" applyFont="1" applyAlignment="1">
      <alignment horizontal="center"/>
    </xf>
    <xf numFmtId="0" fontId="1" fillId="4" borderId="40" xfId="0" applyFont="1" applyFill="1" applyBorder="1" applyAlignment="1">
      <alignment horizontal="center" vertical="center" wrapText="1"/>
    </xf>
    <xf numFmtId="0" fontId="1" fillId="4" borderId="39" xfId="0" applyFont="1" applyFill="1" applyBorder="1" applyAlignment="1">
      <alignment horizontal="center" vertical="center" wrapText="1"/>
    </xf>
    <xf numFmtId="0" fontId="1" fillId="4" borderId="26" xfId="0" applyFont="1" applyFill="1" applyBorder="1" applyAlignment="1">
      <alignment horizontal="center" vertical="center" wrapText="1"/>
    </xf>
    <xf numFmtId="0" fontId="1" fillId="4" borderId="34" xfId="0" applyFont="1" applyFill="1" applyBorder="1" applyAlignment="1">
      <alignment horizontal="center" vertical="center" wrapText="1"/>
    </xf>
    <xf numFmtId="0" fontId="8" fillId="2" borderId="49" xfId="0" applyFont="1" applyFill="1" applyBorder="1" applyAlignment="1">
      <alignment horizontal="center"/>
    </xf>
    <xf numFmtId="0" fontId="8" fillId="2" borderId="0" xfId="0" applyFont="1" applyFill="1" applyAlignment="1">
      <alignment horizontal="center"/>
    </xf>
    <xf numFmtId="0" fontId="0" fillId="4" borderId="1" xfId="0" applyFill="1" applyBorder="1" applyAlignment="1">
      <alignment horizontal="center" vertical="center" wrapText="1"/>
    </xf>
    <xf numFmtId="0" fontId="0" fillId="4" borderId="1" xfId="0" applyFill="1" applyBorder="1" applyAlignment="1">
      <alignment horizontal="center"/>
    </xf>
    <xf numFmtId="0" fontId="1" fillId="4" borderId="36" xfId="0" applyFont="1" applyFill="1" applyBorder="1" applyAlignment="1">
      <alignment horizontal="center" vertical="center" wrapText="1"/>
    </xf>
    <xf numFmtId="0" fontId="8" fillId="2" borderId="48" xfId="0" applyFont="1" applyFill="1" applyBorder="1" applyAlignment="1">
      <alignment horizontal="center"/>
    </xf>
    <xf numFmtId="0" fontId="8" fillId="2" borderId="24" xfId="0" applyFont="1" applyFill="1" applyBorder="1" applyAlignment="1">
      <alignment horizontal="center"/>
    </xf>
    <xf numFmtId="0" fontId="3" fillId="0" borderId="0" xfId="0" applyFont="1" applyAlignment="1">
      <alignment horizontal="center"/>
    </xf>
    <xf numFmtId="0" fontId="1" fillId="0" borderId="28" xfId="0" applyFont="1" applyBorder="1" applyAlignment="1">
      <alignment horizontal="center" vertical="center"/>
    </xf>
    <xf numFmtId="0" fontId="19" fillId="8" borderId="1" xfId="0" applyFont="1" applyFill="1" applyBorder="1" applyAlignment="1">
      <alignment horizontal="center"/>
    </xf>
    <xf numFmtId="0" fontId="19" fillId="8" borderId="2" xfId="0" applyFont="1" applyFill="1" applyBorder="1" applyAlignment="1">
      <alignment horizontal="center"/>
    </xf>
    <xf numFmtId="0" fontId="19" fillId="8" borderId="17" xfId="0" applyFont="1" applyFill="1" applyBorder="1" applyAlignment="1">
      <alignment horizontal="center"/>
    </xf>
    <xf numFmtId="0" fontId="19" fillId="8" borderId="3" xfId="0" applyFont="1" applyFill="1" applyBorder="1" applyAlignment="1">
      <alignment horizontal="center"/>
    </xf>
    <xf numFmtId="0" fontId="0" fillId="0" borderId="27" xfId="0" quotePrefix="1" applyBorder="1" applyAlignment="1">
      <alignment horizontal="center" vertical="center" wrapText="1"/>
    </xf>
    <xf numFmtId="0" fontId="0" fillId="0" borderId="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27" xfId="0" quotePrefix="1" applyBorder="1" applyAlignment="1">
      <alignment horizontal="left" vertical="center" wrapText="1"/>
    </xf>
    <xf numFmtId="0" fontId="0" fillId="0" borderId="5" xfId="0" applyBorder="1" applyAlignment="1">
      <alignment horizontal="left" vertical="center" wrapText="1"/>
    </xf>
    <xf numFmtId="0" fontId="0" fillId="0" borderId="26" xfId="0" applyBorder="1" applyAlignment="1">
      <alignment horizontal="left" vertical="center" wrapText="1"/>
    </xf>
    <xf numFmtId="0" fontId="19" fillId="11" borderId="1" xfId="0" applyFont="1" applyFill="1" applyBorder="1" applyAlignment="1">
      <alignment horizontal="center" vertical="center"/>
    </xf>
    <xf numFmtId="0" fontId="0" fillId="0" borderId="1" xfId="0" applyBorder="1" applyAlignment="1">
      <alignment horizontal="left" vertical="center"/>
    </xf>
    <xf numFmtId="0" fontId="0" fillId="0" borderId="2" xfId="0" applyBorder="1" applyAlignment="1">
      <alignment horizontal="center" vertical="center"/>
    </xf>
    <xf numFmtId="0" fontId="0" fillId="0" borderId="17" xfId="0" applyBorder="1" applyAlignment="1">
      <alignment horizontal="center" vertical="center"/>
    </xf>
    <xf numFmtId="0" fontId="0" fillId="0" borderId="3" xfId="0" applyBorder="1" applyAlignment="1">
      <alignment horizontal="center" vertical="center"/>
    </xf>
    <xf numFmtId="0" fontId="1" fillId="3" borderId="1" xfId="0" applyFont="1" applyFill="1" applyBorder="1" applyAlignment="1">
      <alignment horizontal="center"/>
    </xf>
    <xf numFmtId="0" fontId="1" fillId="0" borderId="1" xfId="0" applyFont="1" applyBorder="1" applyAlignment="1">
      <alignment horizontal="center"/>
    </xf>
    <xf numFmtId="164" fontId="1" fillId="0" borderId="1" xfId="0" applyNumberFormat="1" applyFont="1" applyBorder="1" applyAlignment="1">
      <alignment horizontal="center"/>
    </xf>
    <xf numFmtId="0" fontId="0" fillId="0" borderId="0" xfId="0" applyAlignment="1">
      <alignment horizontal="center"/>
    </xf>
    <xf numFmtId="0" fontId="3" fillId="2" borderId="1" xfId="0" applyFont="1" applyFill="1" applyBorder="1" applyAlignment="1">
      <alignment horizontal="center"/>
    </xf>
    <xf numFmtId="0" fontId="1" fillId="2" borderId="1" xfId="0" applyFont="1" applyFill="1" applyBorder="1" applyAlignment="1">
      <alignment horizontal="center"/>
    </xf>
    <xf numFmtId="0" fontId="1" fillId="5" borderId="1" xfId="0" applyFont="1" applyFill="1" applyBorder="1" applyAlignment="1">
      <alignment horizontal="center" vertical="center"/>
    </xf>
    <xf numFmtId="0" fontId="1" fillId="3" borderId="28" xfId="0" applyFont="1" applyFill="1" applyBorder="1" applyAlignment="1">
      <alignment horizontal="center" vertical="center"/>
    </xf>
    <xf numFmtId="0" fontId="16" fillId="9" borderId="9" xfId="0" applyFont="1" applyFill="1" applyBorder="1" applyAlignment="1">
      <alignment horizontal="center" vertical="center"/>
    </xf>
    <xf numFmtId="0" fontId="16" fillId="9" borderId="16" xfId="0" applyFont="1" applyFill="1" applyBorder="1" applyAlignment="1">
      <alignment horizontal="center" vertical="center"/>
    </xf>
    <xf numFmtId="0" fontId="0" fillId="0" borderId="0" xfId="0" applyAlignment="1">
      <alignment horizontal="center" vertical="center"/>
    </xf>
    <xf numFmtId="0" fontId="16" fillId="9" borderId="42" xfId="0" applyFont="1" applyFill="1" applyBorder="1" applyAlignment="1">
      <alignment horizontal="center" vertical="center"/>
    </xf>
    <xf numFmtId="0" fontId="16" fillId="9" borderId="43" xfId="0" applyFont="1" applyFill="1" applyBorder="1" applyAlignment="1">
      <alignment horizontal="center" vertical="center"/>
    </xf>
    <xf numFmtId="0" fontId="16" fillId="9" borderId="39" xfId="0" applyFont="1" applyFill="1" applyBorder="1" applyAlignment="1">
      <alignment horizontal="center" vertical="center"/>
    </xf>
    <xf numFmtId="0" fontId="16" fillId="9" borderId="44" xfId="0" applyFont="1" applyFill="1" applyBorder="1" applyAlignment="1">
      <alignment horizontal="center" vertical="center"/>
    </xf>
    <xf numFmtId="0" fontId="16" fillId="9" borderId="20" xfId="0" applyFont="1" applyFill="1" applyBorder="1" applyAlignment="1">
      <alignment horizontal="center" vertical="center"/>
    </xf>
    <xf numFmtId="0" fontId="0" fillId="0" borderId="1" xfId="0" applyBorder="1" applyAlignment="1">
      <alignment horizontal="center" vertical="center"/>
    </xf>
    <xf numFmtId="0" fontId="0" fillId="0" borderId="27" xfId="0" applyBorder="1" applyAlignment="1">
      <alignment horizontal="center" vertical="center"/>
    </xf>
    <xf numFmtId="0" fontId="0" fillId="0" borderId="5" xfId="0" applyBorder="1" applyAlignment="1">
      <alignment horizontal="center" vertical="center"/>
    </xf>
    <xf numFmtId="0" fontId="0" fillId="0" borderId="26" xfId="0" applyBorder="1" applyAlignment="1">
      <alignment horizontal="center" vertical="center"/>
    </xf>
    <xf numFmtId="0" fontId="1" fillId="0" borderId="2" xfId="0" applyFont="1" applyBorder="1" applyAlignment="1">
      <alignment horizontal="left" vertical="center" wrapText="1"/>
    </xf>
    <xf numFmtId="0" fontId="1" fillId="0" borderId="17" xfId="0" applyFont="1" applyBorder="1" applyAlignment="1">
      <alignment horizontal="left" vertical="center" wrapText="1"/>
    </xf>
    <xf numFmtId="0" fontId="1" fillId="0" borderId="3" xfId="0" applyFont="1" applyBorder="1" applyAlignment="1">
      <alignment horizontal="left" vertical="center" wrapText="1"/>
    </xf>
    <xf numFmtId="0" fontId="3" fillId="0" borderId="1" xfId="0" applyFont="1" applyBorder="1" applyAlignment="1">
      <alignment horizontal="center" vertical="center"/>
    </xf>
    <xf numFmtId="0" fontId="19" fillId="31" borderId="2" xfId="0" applyFont="1" applyFill="1" applyBorder="1" applyAlignment="1">
      <alignment horizontal="center" vertical="center"/>
    </xf>
    <xf numFmtId="0" fontId="19" fillId="31" borderId="17" xfId="0" applyFont="1" applyFill="1" applyBorder="1" applyAlignment="1">
      <alignment horizontal="center" vertical="center"/>
    </xf>
    <xf numFmtId="0" fontId="19" fillId="31" borderId="3" xfId="0" applyFont="1" applyFill="1" applyBorder="1" applyAlignment="1">
      <alignment horizontal="center" vertical="center"/>
    </xf>
    <xf numFmtId="0" fontId="19" fillId="31" borderId="1" xfId="0" applyFont="1" applyFill="1" applyBorder="1" applyAlignment="1">
      <alignment horizontal="center" vertical="center"/>
    </xf>
    <xf numFmtId="0" fontId="0" fillId="0" borderId="2" xfId="0" applyBorder="1" applyAlignment="1">
      <alignment horizontal="center"/>
    </xf>
    <xf numFmtId="0" fontId="0" fillId="0" borderId="17" xfId="0" applyBorder="1" applyAlignment="1">
      <alignment horizontal="center"/>
    </xf>
    <xf numFmtId="0" fontId="0" fillId="0" borderId="3" xfId="0" applyBorder="1" applyAlignment="1">
      <alignment horizontal="center"/>
    </xf>
    <xf numFmtId="0" fontId="57" fillId="31" borderId="4" xfId="0" applyFont="1" applyFill="1" applyBorder="1" applyAlignment="1">
      <alignment horizontal="center" vertical="center"/>
    </xf>
    <xf numFmtId="0" fontId="57" fillId="31" borderId="0" xfId="0" applyFont="1" applyFill="1" applyAlignment="1">
      <alignment horizontal="center" vertical="center"/>
    </xf>
    <xf numFmtId="0" fontId="19" fillId="14" borderId="6" xfId="0" applyFont="1" applyFill="1" applyBorder="1" applyAlignment="1">
      <alignment horizontal="center" vertical="center"/>
    </xf>
    <xf numFmtId="0" fontId="19" fillId="14" borderId="7" xfId="0" applyFont="1" applyFill="1" applyBorder="1" applyAlignment="1">
      <alignment horizontal="center" vertical="center"/>
    </xf>
    <xf numFmtId="0" fontId="22" fillId="0" borderId="2" xfId="0" applyFont="1" applyBorder="1" applyAlignment="1">
      <alignment horizontal="center" vertical="center"/>
    </xf>
    <xf numFmtId="0" fontId="22" fillId="0" borderId="17" xfId="0" applyFont="1" applyBorder="1" applyAlignment="1">
      <alignment horizontal="center" vertical="center"/>
    </xf>
    <xf numFmtId="0" fontId="22" fillId="0" borderId="3" xfId="0" applyFont="1" applyBorder="1" applyAlignment="1">
      <alignment horizontal="center" vertical="center"/>
    </xf>
  </cellXfs>
  <cellStyles count="5">
    <cellStyle name="Comma" xfId="1" builtinId="3"/>
    <cellStyle name="Hyperlink" xfId="2" builtinId="8"/>
    <cellStyle name="Normal" xfId="0" builtinId="0"/>
    <cellStyle name="Normal 2" xfId="4" xr:uid="{0D60DC8F-73D7-4751-8395-A899BE93092F}"/>
    <cellStyle name="Percent" xfId="3" builtinId="5"/>
  </cellStyles>
  <dxfs count="153">
    <dxf>
      <fill>
        <patternFill>
          <bgColor theme="9" tint="0.79998168889431442"/>
        </patternFill>
      </fill>
    </dxf>
    <dxf>
      <font>
        <color auto="1"/>
      </font>
      <fill>
        <patternFill>
          <bgColor rgb="FFFFFFE5"/>
        </patternFill>
      </fill>
    </dxf>
    <dxf>
      <font>
        <color auto="1"/>
      </font>
      <fill>
        <patternFill>
          <bgColor rgb="FFE1F8C8"/>
        </patternFill>
      </fill>
    </dxf>
    <dxf>
      <font>
        <color auto="1"/>
      </font>
      <fill>
        <patternFill>
          <bgColor rgb="FFFFD5D5"/>
        </patternFill>
      </fill>
    </dxf>
    <dxf>
      <font>
        <color auto="1"/>
      </font>
      <fill>
        <patternFill>
          <bgColor rgb="FFFFD5D5"/>
        </patternFill>
      </fill>
    </dxf>
    <dxf>
      <font>
        <color auto="1"/>
      </font>
      <fill>
        <patternFill>
          <bgColor rgb="FFE1F8C8"/>
        </patternFill>
      </fill>
    </dxf>
    <dxf>
      <font>
        <color auto="1"/>
      </font>
      <fill>
        <patternFill>
          <bgColor rgb="FFFFFFE5"/>
        </patternFill>
      </fill>
    </dxf>
    <dxf>
      <font>
        <color auto="1"/>
      </font>
      <fill>
        <patternFill>
          <bgColor rgb="FFFFD5D5"/>
        </patternFill>
      </fill>
    </dxf>
    <dxf>
      <font>
        <color auto="1"/>
      </font>
      <fill>
        <patternFill>
          <bgColor rgb="FFE1F8C8"/>
        </patternFill>
      </fill>
    </dxf>
    <dxf>
      <font>
        <color auto="1"/>
      </font>
      <fill>
        <patternFill>
          <bgColor rgb="FFFFFFE5"/>
        </patternFill>
      </fill>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ptos Narrow"/>
        <family val="2"/>
        <scheme val="minor"/>
      </font>
      <fill>
        <patternFill patternType="solid">
          <fgColor indexed="64"/>
          <bgColor them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font>
        <b/>
        <i val="0"/>
        <strike val="0"/>
        <condense val="0"/>
        <extend val="0"/>
        <outline val="0"/>
        <shadow val="0"/>
        <u val="none"/>
        <vertAlign val="baseline"/>
        <sz val="12"/>
        <color theme="1"/>
        <name val="Aptos Narrow"/>
        <family val="2"/>
        <scheme val="minor"/>
      </font>
      <fill>
        <patternFill patternType="solid">
          <fgColor indexed="64"/>
          <bgColor them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font>
        <b/>
        <i val="0"/>
        <strike val="0"/>
        <condense val="0"/>
        <extend val="0"/>
        <outline val="0"/>
        <shadow val="0"/>
        <u val="none"/>
        <vertAlign val="baseline"/>
        <sz val="12"/>
        <color theme="1"/>
        <name val="Aptos Narrow"/>
        <family val="2"/>
        <scheme val="minor"/>
      </font>
      <fill>
        <patternFill patternType="solid">
          <fgColor indexed="64"/>
          <bgColor them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font>
        <b/>
        <i val="0"/>
        <strike val="0"/>
        <condense val="0"/>
        <extend val="0"/>
        <outline val="0"/>
        <shadow val="0"/>
        <u val="none"/>
        <vertAlign val="baseline"/>
        <sz val="12"/>
        <color theme="1"/>
        <name val="Aptos Narrow"/>
        <family val="2"/>
        <scheme val="minor"/>
      </font>
      <fill>
        <patternFill patternType="solid">
          <fgColor indexed="64"/>
          <bgColor them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font>
        <b/>
        <i val="0"/>
        <strike val="0"/>
        <condense val="0"/>
        <extend val="0"/>
        <outline val="0"/>
        <shadow val="0"/>
        <u val="none"/>
        <vertAlign val="baseline"/>
        <sz val="12"/>
        <color theme="1"/>
        <name val="Aptos Narrow"/>
        <family val="2"/>
        <scheme val="minor"/>
      </font>
      <fill>
        <patternFill patternType="solid">
          <fgColor indexed="64"/>
          <bgColor them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ptos Narrow"/>
        <family val="2"/>
        <scheme val="minor"/>
      </font>
      <fill>
        <patternFill patternType="solid">
          <fgColor indexed="64"/>
          <bgColor them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ptos Narrow"/>
        <family val="2"/>
        <scheme val="minor"/>
      </font>
      <fill>
        <patternFill patternType="solid">
          <fgColor indexed="64"/>
          <bgColor them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ptos Narrow"/>
        <family val="2"/>
        <scheme val="minor"/>
      </font>
      <fill>
        <patternFill patternType="solid">
          <fgColor indexed="64"/>
          <bgColor them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ptos Narrow"/>
        <family val="2"/>
        <scheme val="minor"/>
      </font>
      <fill>
        <patternFill patternType="solid">
          <fgColor indexed="64"/>
          <bgColor them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ptos Narrow"/>
        <family val="2"/>
        <scheme val="minor"/>
      </font>
      <fill>
        <patternFill patternType="solid">
          <fgColor indexed="64"/>
          <bgColor them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2"/>
        <color theme="1"/>
        <name val="Aptos Narrow"/>
        <family val="2"/>
        <scheme val="minor"/>
      </font>
      <alignment horizontal="center" vertical="center" textRotation="0" wrapText="0" indent="0" justifyLastLine="0" shrinkToFit="0" readingOrder="0"/>
    </dxf>
  </dxfs>
  <tableStyles count="0" defaultTableStyle="TableStyleMedium2" defaultPivotStyle="PivotStyleLight16"/>
  <colors>
    <mruColors>
      <color rgb="FF66FF99"/>
      <color rgb="FFFFFFE5"/>
      <color rgb="FFEBF9D3"/>
      <color rgb="FF009900"/>
      <color rgb="FFFFD5D5"/>
      <color rgb="FFFFFFCC"/>
      <color rgb="FFE1F8C8"/>
      <color rgb="FFE1FFEB"/>
      <color rgb="FFFFFF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9.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523E2A86-D6A3-4482-AA9A-BF1477B3911E}" type="doc">
      <dgm:prSet loTypeId="urn:microsoft.com/office/officeart/2005/8/layout/radial4" loCatId="relationship" qsTypeId="urn:microsoft.com/office/officeart/2005/8/quickstyle/simple1" qsCatId="simple" csTypeId="urn:microsoft.com/office/officeart/2005/8/colors/accent1_2" csCatId="accent1" phldr="1"/>
      <dgm:spPr/>
      <dgm:t>
        <a:bodyPr/>
        <a:lstStyle/>
        <a:p>
          <a:endParaRPr lang="en-IN"/>
        </a:p>
      </dgm:t>
    </dgm:pt>
    <dgm:pt modelId="{E96CBA39-16C2-4884-B1DE-6FEA2512C5E1}">
      <dgm:prSet phldrT="[Text]"/>
      <dgm:spPr/>
      <dgm:t>
        <a:bodyPr/>
        <a:lstStyle/>
        <a:p>
          <a:r>
            <a:rPr lang="en-IN"/>
            <a:t>O - Unit &amp; Plot-9 Fillling Total = 1579 CUM</a:t>
          </a:r>
        </a:p>
      </dgm:t>
    </dgm:pt>
    <dgm:pt modelId="{E8CFD710-2972-4E47-A8CB-8A8835EC3BF0}" type="parTrans" cxnId="{3CABD600-2B0E-46D5-8B30-43D69A73B64C}">
      <dgm:prSet/>
      <dgm:spPr/>
      <dgm:t>
        <a:bodyPr/>
        <a:lstStyle/>
        <a:p>
          <a:endParaRPr lang="en-IN"/>
        </a:p>
      </dgm:t>
    </dgm:pt>
    <dgm:pt modelId="{64C8D2E6-B4DB-4D9E-9594-E0ADBC469DD4}" type="sibTrans" cxnId="{3CABD600-2B0E-46D5-8B30-43D69A73B64C}">
      <dgm:prSet/>
      <dgm:spPr/>
      <dgm:t>
        <a:bodyPr/>
        <a:lstStyle/>
        <a:p>
          <a:endParaRPr lang="en-IN"/>
        </a:p>
      </dgm:t>
    </dgm:pt>
    <dgm:pt modelId="{B0D421EE-BF9D-4C0F-8360-092B7A49BAEB}">
      <dgm:prSet phldrT="[Text]"/>
      <dgm:spPr/>
      <dgm:t>
        <a:bodyPr/>
        <a:lstStyle/>
        <a:p>
          <a:r>
            <a:rPr lang="en-IN"/>
            <a:t>Plot-1  539 CUM</a:t>
          </a:r>
        </a:p>
      </dgm:t>
    </dgm:pt>
    <dgm:pt modelId="{888B5982-A1D2-44CD-9825-41EAA5AF9787}" type="parTrans" cxnId="{9CA7BB1E-5BC9-42AF-B0C8-29206C6557FA}">
      <dgm:prSet/>
      <dgm:spPr/>
      <dgm:t>
        <a:bodyPr/>
        <a:lstStyle/>
        <a:p>
          <a:endParaRPr lang="en-IN"/>
        </a:p>
      </dgm:t>
    </dgm:pt>
    <dgm:pt modelId="{51A3F545-A744-4152-B08C-A0A2B4F7BC19}" type="sibTrans" cxnId="{9CA7BB1E-5BC9-42AF-B0C8-29206C6557FA}">
      <dgm:prSet/>
      <dgm:spPr/>
      <dgm:t>
        <a:bodyPr/>
        <a:lstStyle/>
        <a:p>
          <a:endParaRPr lang="en-IN"/>
        </a:p>
      </dgm:t>
    </dgm:pt>
    <dgm:pt modelId="{52B86FC9-ADCB-4646-931D-0BC6D7BFBE45}">
      <dgm:prSet phldrT="[Text]"/>
      <dgm:spPr/>
      <dgm:t>
        <a:bodyPr/>
        <a:lstStyle/>
        <a:p>
          <a:r>
            <a:rPr lang="en-IN"/>
            <a:t>Plot-2    89 CUM</a:t>
          </a:r>
        </a:p>
      </dgm:t>
    </dgm:pt>
    <dgm:pt modelId="{3F5035F5-F667-490B-BD7C-F8B8309FAD7C}" type="parTrans" cxnId="{76B0417C-C59D-4706-86A5-E71F3568379F}">
      <dgm:prSet/>
      <dgm:spPr/>
      <dgm:t>
        <a:bodyPr/>
        <a:lstStyle/>
        <a:p>
          <a:endParaRPr lang="en-IN"/>
        </a:p>
      </dgm:t>
    </dgm:pt>
    <dgm:pt modelId="{58FB1A64-F001-4C70-B04B-E5A688C44700}" type="sibTrans" cxnId="{76B0417C-C59D-4706-86A5-E71F3568379F}">
      <dgm:prSet/>
      <dgm:spPr/>
      <dgm:t>
        <a:bodyPr/>
        <a:lstStyle/>
        <a:p>
          <a:endParaRPr lang="en-IN"/>
        </a:p>
      </dgm:t>
    </dgm:pt>
    <dgm:pt modelId="{DAA24941-B641-430E-884A-FF90A59BDADF}">
      <dgm:prSet phldrT="[Text]"/>
      <dgm:spPr/>
      <dgm:t>
        <a:bodyPr/>
        <a:lstStyle/>
        <a:p>
          <a:r>
            <a:rPr lang="en-IN"/>
            <a:t>Plot-3  164 CUM</a:t>
          </a:r>
        </a:p>
      </dgm:t>
    </dgm:pt>
    <dgm:pt modelId="{F38B7811-E17E-47BC-937F-E55E50498197}" type="parTrans" cxnId="{11C077A6-EA62-431B-A9D9-CE191B5D9028}">
      <dgm:prSet/>
      <dgm:spPr/>
      <dgm:t>
        <a:bodyPr/>
        <a:lstStyle/>
        <a:p>
          <a:endParaRPr lang="en-IN"/>
        </a:p>
      </dgm:t>
    </dgm:pt>
    <dgm:pt modelId="{DB8DDE04-5116-4DE5-848B-06F42D8C302F}" type="sibTrans" cxnId="{11C077A6-EA62-431B-A9D9-CE191B5D9028}">
      <dgm:prSet/>
      <dgm:spPr/>
      <dgm:t>
        <a:bodyPr/>
        <a:lstStyle/>
        <a:p>
          <a:endParaRPr lang="en-IN"/>
        </a:p>
      </dgm:t>
    </dgm:pt>
    <dgm:pt modelId="{5826E632-BD7A-4AE1-82A7-1158126D46E3}">
      <dgm:prSet phldrT="[Text]"/>
      <dgm:spPr/>
      <dgm:t>
        <a:bodyPr/>
        <a:lstStyle/>
        <a:p>
          <a:r>
            <a:rPr lang="en-IN"/>
            <a:t>Plot-8 582 CUM</a:t>
          </a:r>
        </a:p>
      </dgm:t>
    </dgm:pt>
    <dgm:pt modelId="{2B4B4407-BD08-4828-84B3-A5A594B12B80}" type="parTrans" cxnId="{CFBFED89-2A4F-4C88-8B4C-781E19D28705}">
      <dgm:prSet/>
      <dgm:spPr/>
      <dgm:t>
        <a:bodyPr/>
        <a:lstStyle/>
        <a:p>
          <a:endParaRPr lang="en-IN"/>
        </a:p>
      </dgm:t>
    </dgm:pt>
    <dgm:pt modelId="{8179FA26-158F-4501-B7F0-9B9A3EF353C5}" type="sibTrans" cxnId="{CFBFED89-2A4F-4C88-8B4C-781E19D28705}">
      <dgm:prSet/>
      <dgm:spPr/>
      <dgm:t>
        <a:bodyPr/>
        <a:lstStyle/>
        <a:p>
          <a:endParaRPr lang="en-IN"/>
        </a:p>
      </dgm:t>
    </dgm:pt>
    <dgm:pt modelId="{5A92F67E-28D1-442A-BFFA-43DE6E6E1D3D}">
      <dgm:prSet phldrT="[Text]"/>
      <dgm:spPr/>
      <dgm:t>
        <a:bodyPr/>
        <a:lstStyle/>
        <a:p>
          <a:r>
            <a:rPr lang="en-IN"/>
            <a:t>Total Cutting = 1778</a:t>
          </a:r>
        </a:p>
      </dgm:t>
    </dgm:pt>
    <dgm:pt modelId="{C6634B6D-EB3B-4074-954B-DC6FBA47524F}" type="parTrans" cxnId="{5DE3F84E-2A00-45DB-A032-CC75E8EA32A2}">
      <dgm:prSet/>
      <dgm:spPr/>
      <dgm:t>
        <a:bodyPr/>
        <a:lstStyle/>
        <a:p>
          <a:endParaRPr lang="en-IN"/>
        </a:p>
      </dgm:t>
    </dgm:pt>
    <dgm:pt modelId="{B22CC5BA-3FDF-4510-9C26-6D9013728F48}" type="sibTrans" cxnId="{5DE3F84E-2A00-45DB-A032-CC75E8EA32A2}">
      <dgm:prSet/>
      <dgm:spPr/>
      <dgm:t>
        <a:bodyPr/>
        <a:lstStyle/>
        <a:p>
          <a:endParaRPr lang="en-IN"/>
        </a:p>
      </dgm:t>
    </dgm:pt>
    <dgm:pt modelId="{97CA2ADA-6322-41A6-8385-7F5CE5639B99}">
      <dgm:prSet phldrT="[Text]"/>
      <dgm:spPr/>
      <dgm:t>
        <a:bodyPr/>
        <a:lstStyle/>
        <a:p>
          <a:r>
            <a:rPr lang="en-IN"/>
            <a:t>Plot-7  124 CUM</a:t>
          </a:r>
        </a:p>
      </dgm:t>
    </dgm:pt>
    <dgm:pt modelId="{11EC378E-2F15-46E7-B948-7529D0A5204F}" type="parTrans" cxnId="{55345F45-2FDC-40B1-B23F-B665689ED95E}">
      <dgm:prSet/>
      <dgm:spPr/>
      <dgm:t>
        <a:bodyPr/>
        <a:lstStyle/>
        <a:p>
          <a:endParaRPr lang="en-IN"/>
        </a:p>
      </dgm:t>
    </dgm:pt>
    <dgm:pt modelId="{EED24D7C-3714-4921-847A-E01D5B531EC9}" type="sibTrans" cxnId="{55345F45-2FDC-40B1-B23F-B665689ED95E}">
      <dgm:prSet/>
      <dgm:spPr/>
      <dgm:t>
        <a:bodyPr/>
        <a:lstStyle/>
        <a:p>
          <a:endParaRPr lang="en-IN"/>
        </a:p>
      </dgm:t>
    </dgm:pt>
    <dgm:pt modelId="{EF990BB7-4AD2-4381-B6B1-5363DD10C545}">
      <dgm:prSet phldrT="[Text]"/>
      <dgm:spPr/>
      <dgm:t>
        <a:bodyPr/>
        <a:lstStyle/>
        <a:p>
          <a:r>
            <a:rPr lang="en-IN"/>
            <a:t>Plot-10 280 CUM</a:t>
          </a:r>
        </a:p>
      </dgm:t>
    </dgm:pt>
    <dgm:pt modelId="{03DC7FA6-F33F-419B-83C6-4DE805221B3F}" type="parTrans" cxnId="{661F43A7-C028-4C40-9A3B-9E429D446B51}">
      <dgm:prSet/>
      <dgm:spPr/>
      <dgm:t>
        <a:bodyPr/>
        <a:lstStyle/>
        <a:p>
          <a:endParaRPr lang="en-IN"/>
        </a:p>
      </dgm:t>
    </dgm:pt>
    <dgm:pt modelId="{17AF61E9-7927-4F3A-93D4-3FBA8FE4510F}" type="sibTrans" cxnId="{661F43A7-C028-4C40-9A3B-9E429D446B51}">
      <dgm:prSet/>
      <dgm:spPr/>
      <dgm:t>
        <a:bodyPr/>
        <a:lstStyle/>
        <a:p>
          <a:endParaRPr lang="en-IN"/>
        </a:p>
      </dgm:t>
    </dgm:pt>
    <dgm:pt modelId="{FD50F836-A01A-4077-8262-0E66EFF14E48}" type="pres">
      <dgm:prSet presAssocID="{523E2A86-D6A3-4482-AA9A-BF1477B3911E}" presName="cycle" presStyleCnt="0">
        <dgm:presLayoutVars>
          <dgm:chMax val="1"/>
          <dgm:dir/>
          <dgm:animLvl val="ctr"/>
          <dgm:resizeHandles val="exact"/>
        </dgm:presLayoutVars>
      </dgm:prSet>
      <dgm:spPr/>
    </dgm:pt>
    <dgm:pt modelId="{2FB080E2-C4A5-4C7B-BD55-C4CCE395D8C3}" type="pres">
      <dgm:prSet presAssocID="{E96CBA39-16C2-4884-B1DE-6FEA2512C5E1}" presName="centerShape" presStyleLbl="node0" presStyleIdx="0" presStyleCnt="1" custScaleX="130351" custScaleY="114938"/>
      <dgm:spPr/>
    </dgm:pt>
    <dgm:pt modelId="{7DBD7795-2350-4BC7-B18C-969FA56B61B0}" type="pres">
      <dgm:prSet presAssocID="{888B5982-A1D2-44CD-9825-41EAA5AF9787}" presName="parTrans" presStyleLbl="bgSibTrans2D1" presStyleIdx="0" presStyleCnt="7"/>
      <dgm:spPr/>
    </dgm:pt>
    <dgm:pt modelId="{6C68B4ED-72EB-41EE-9D83-7B2B4D02203D}" type="pres">
      <dgm:prSet presAssocID="{B0D421EE-BF9D-4C0F-8360-092B7A49BAEB}" presName="node" presStyleLbl="node1" presStyleIdx="0" presStyleCnt="7">
        <dgm:presLayoutVars>
          <dgm:bulletEnabled val="1"/>
        </dgm:presLayoutVars>
      </dgm:prSet>
      <dgm:spPr/>
    </dgm:pt>
    <dgm:pt modelId="{E58415AC-EBF0-4A8D-94F6-40AF0CA106DF}" type="pres">
      <dgm:prSet presAssocID="{3F5035F5-F667-490B-BD7C-F8B8309FAD7C}" presName="parTrans" presStyleLbl="bgSibTrans2D1" presStyleIdx="1" presStyleCnt="7"/>
      <dgm:spPr/>
    </dgm:pt>
    <dgm:pt modelId="{D869D0EF-3867-4050-B4ED-65701607F968}" type="pres">
      <dgm:prSet presAssocID="{52B86FC9-ADCB-4646-931D-0BC6D7BFBE45}" presName="node" presStyleLbl="node1" presStyleIdx="1" presStyleCnt="7">
        <dgm:presLayoutVars>
          <dgm:bulletEnabled val="1"/>
        </dgm:presLayoutVars>
      </dgm:prSet>
      <dgm:spPr/>
    </dgm:pt>
    <dgm:pt modelId="{E125A3CA-FADD-4F20-B662-6F94505A6338}" type="pres">
      <dgm:prSet presAssocID="{F38B7811-E17E-47BC-937F-E55E50498197}" presName="parTrans" presStyleLbl="bgSibTrans2D1" presStyleIdx="2" presStyleCnt="7"/>
      <dgm:spPr/>
    </dgm:pt>
    <dgm:pt modelId="{1729A613-ECA3-43BE-8484-CB700A3A048C}" type="pres">
      <dgm:prSet presAssocID="{DAA24941-B641-430E-884A-FF90A59BDADF}" presName="node" presStyleLbl="node1" presStyleIdx="2" presStyleCnt="7">
        <dgm:presLayoutVars>
          <dgm:bulletEnabled val="1"/>
        </dgm:presLayoutVars>
      </dgm:prSet>
      <dgm:spPr/>
    </dgm:pt>
    <dgm:pt modelId="{B050D714-A988-49C2-B3AC-0950367D71BB}" type="pres">
      <dgm:prSet presAssocID="{11EC378E-2F15-46E7-B948-7529D0A5204F}" presName="parTrans" presStyleLbl="bgSibTrans2D1" presStyleIdx="3" presStyleCnt="7"/>
      <dgm:spPr/>
    </dgm:pt>
    <dgm:pt modelId="{444788FB-0BD8-4A5E-B795-E4BC47A3DA15}" type="pres">
      <dgm:prSet presAssocID="{97CA2ADA-6322-41A6-8385-7F5CE5639B99}" presName="node" presStyleLbl="node1" presStyleIdx="3" presStyleCnt="7">
        <dgm:presLayoutVars>
          <dgm:bulletEnabled val="1"/>
        </dgm:presLayoutVars>
      </dgm:prSet>
      <dgm:spPr/>
    </dgm:pt>
    <dgm:pt modelId="{17914E01-E8F4-4F38-AF9C-3D4CB6180827}" type="pres">
      <dgm:prSet presAssocID="{2B4B4407-BD08-4828-84B3-A5A594B12B80}" presName="parTrans" presStyleLbl="bgSibTrans2D1" presStyleIdx="4" presStyleCnt="7"/>
      <dgm:spPr/>
    </dgm:pt>
    <dgm:pt modelId="{6B14DC2E-B233-48A1-83BD-1943CE9A9810}" type="pres">
      <dgm:prSet presAssocID="{5826E632-BD7A-4AE1-82A7-1158126D46E3}" presName="node" presStyleLbl="node1" presStyleIdx="4" presStyleCnt="7">
        <dgm:presLayoutVars>
          <dgm:bulletEnabled val="1"/>
        </dgm:presLayoutVars>
      </dgm:prSet>
      <dgm:spPr/>
    </dgm:pt>
    <dgm:pt modelId="{0F40750E-4E16-46DA-A61F-0CE15D09976E}" type="pres">
      <dgm:prSet presAssocID="{03DC7FA6-F33F-419B-83C6-4DE805221B3F}" presName="parTrans" presStyleLbl="bgSibTrans2D1" presStyleIdx="5" presStyleCnt="7"/>
      <dgm:spPr/>
    </dgm:pt>
    <dgm:pt modelId="{A39A159E-704C-42E9-AC7C-EE7C0FCFA2BD}" type="pres">
      <dgm:prSet presAssocID="{EF990BB7-4AD2-4381-B6B1-5363DD10C545}" presName="node" presStyleLbl="node1" presStyleIdx="5" presStyleCnt="7">
        <dgm:presLayoutVars>
          <dgm:bulletEnabled val="1"/>
        </dgm:presLayoutVars>
      </dgm:prSet>
      <dgm:spPr/>
    </dgm:pt>
    <dgm:pt modelId="{A2D9F130-1190-4334-99E0-CCD4B76E4649}" type="pres">
      <dgm:prSet presAssocID="{C6634B6D-EB3B-4074-954B-DC6FBA47524F}" presName="parTrans" presStyleLbl="bgSibTrans2D1" presStyleIdx="6" presStyleCnt="7"/>
      <dgm:spPr/>
    </dgm:pt>
    <dgm:pt modelId="{A5E5FCFC-0402-444E-B79A-5FF98FD272EE}" type="pres">
      <dgm:prSet presAssocID="{5A92F67E-28D1-442A-BFFA-43DE6E6E1D3D}" presName="node" presStyleLbl="node1" presStyleIdx="6" presStyleCnt="7">
        <dgm:presLayoutVars>
          <dgm:bulletEnabled val="1"/>
        </dgm:presLayoutVars>
      </dgm:prSet>
      <dgm:spPr/>
    </dgm:pt>
  </dgm:ptLst>
  <dgm:cxnLst>
    <dgm:cxn modelId="{3CABD600-2B0E-46D5-8B30-43D69A73B64C}" srcId="{523E2A86-D6A3-4482-AA9A-BF1477B3911E}" destId="{E96CBA39-16C2-4884-B1DE-6FEA2512C5E1}" srcOrd="0" destOrd="0" parTransId="{E8CFD710-2972-4E47-A8CB-8A8835EC3BF0}" sibTransId="{64C8D2E6-B4DB-4D9E-9594-E0ADBC469DD4}"/>
    <dgm:cxn modelId="{55C22508-C7B5-4EE9-BAF7-3985C2F53D4A}" type="presOf" srcId="{C6634B6D-EB3B-4074-954B-DC6FBA47524F}" destId="{A2D9F130-1190-4334-99E0-CCD4B76E4649}" srcOrd="0" destOrd="0" presId="urn:microsoft.com/office/officeart/2005/8/layout/radial4"/>
    <dgm:cxn modelId="{E3F4A513-8E36-44F8-AB62-517F412C58D3}" type="presOf" srcId="{EF990BB7-4AD2-4381-B6B1-5363DD10C545}" destId="{A39A159E-704C-42E9-AC7C-EE7C0FCFA2BD}" srcOrd="0" destOrd="0" presId="urn:microsoft.com/office/officeart/2005/8/layout/radial4"/>
    <dgm:cxn modelId="{9CA7BB1E-5BC9-42AF-B0C8-29206C6557FA}" srcId="{E96CBA39-16C2-4884-B1DE-6FEA2512C5E1}" destId="{B0D421EE-BF9D-4C0F-8360-092B7A49BAEB}" srcOrd="0" destOrd="0" parTransId="{888B5982-A1D2-44CD-9825-41EAA5AF9787}" sibTransId="{51A3F545-A744-4152-B08C-A0A2B4F7BC19}"/>
    <dgm:cxn modelId="{88EF6F33-0C0B-42FE-AF2C-A5C25391E9F0}" type="presOf" srcId="{B0D421EE-BF9D-4C0F-8360-092B7A49BAEB}" destId="{6C68B4ED-72EB-41EE-9D83-7B2B4D02203D}" srcOrd="0" destOrd="0" presId="urn:microsoft.com/office/officeart/2005/8/layout/radial4"/>
    <dgm:cxn modelId="{A96B3837-7E9F-4F4F-AE0E-D9272876389A}" type="presOf" srcId="{2B4B4407-BD08-4828-84B3-A5A594B12B80}" destId="{17914E01-E8F4-4F38-AF9C-3D4CB6180827}" srcOrd="0" destOrd="0" presId="urn:microsoft.com/office/officeart/2005/8/layout/radial4"/>
    <dgm:cxn modelId="{DCFBEF62-74AB-42D8-B725-96144EBFDDEC}" type="presOf" srcId="{11EC378E-2F15-46E7-B948-7529D0A5204F}" destId="{B050D714-A988-49C2-B3AC-0950367D71BB}" srcOrd="0" destOrd="0" presId="urn:microsoft.com/office/officeart/2005/8/layout/radial4"/>
    <dgm:cxn modelId="{55345F45-2FDC-40B1-B23F-B665689ED95E}" srcId="{E96CBA39-16C2-4884-B1DE-6FEA2512C5E1}" destId="{97CA2ADA-6322-41A6-8385-7F5CE5639B99}" srcOrd="3" destOrd="0" parTransId="{11EC378E-2F15-46E7-B948-7529D0A5204F}" sibTransId="{EED24D7C-3714-4921-847A-E01D5B531EC9}"/>
    <dgm:cxn modelId="{E47A2266-425F-4791-9191-5A646DE3ACAE}" type="presOf" srcId="{03DC7FA6-F33F-419B-83C6-4DE805221B3F}" destId="{0F40750E-4E16-46DA-A61F-0CE15D09976E}" srcOrd="0" destOrd="0" presId="urn:microsoft.com/office/officeart/2005/8/layout/radial4"/>
    <dgm:cxn modelId="{7C7DA667-8CAA-40D5-BDB0-7B4A7055EEB2}" type="presOf" srcId="{523E2A86-D6A3-4482-AA9A-BF1477B3911E}" destId="{FD50F836-A01A-4077-8262-0E66EFF14E48}" srcOrd="0" destOrd="0" presId="urn:microsoft.com/office/officeart/2005/8/layout/radial4"/>
    <dgm:cxn modelId="{5DE3F84E-2A00-45DB-A032-CC75E8EA32A2}" srcId="{E96CBA39-16C2-4884-B1DE-6FEA2512C5E1}" destId="{5A92F67E-28D1-442A-BFFA-43DE6E6E1D3D}" srcOrd="6" destOrd="0" parTransId="{C6634B6D-EB3B-4074-954B-DC6FBA47524F}" sibTransId="{B22CC5BA-3FDF-4510-9C26-6D9013728F48}"/>
    <dgm:cxn modelId="{15317772-923F-46AA-8214-6823CE4C1F17}" type="presOf" srcId="{F38B7811-E17E-47BC-937F-E55E50498197}" destId="{E125A3CA-FADD-4F20-B662-6F94505A6338}" srcOrd="0" destOrd="0" presId="urn:microsoft.com/office/officeart/2005/8/layout/radial4"/>
    <dgm:cxn modelId="{C1637C76-3ED7-4A40-AE27-0B5A5477DC49}" type="presOf" srcId="{5826E632-BD7A-4AE1-82A7-1158126D46E3}" destId="{6B14DC2E-B233-48A1-83BD-1943CE9A9810}" srcOrd="0" destOrd="0" presId="urn:microsoft.com/office/officeart/2005/8/layout/radial4"/>
    <dgm:cxn modelId="{664EA67B-A491-48AC-BE59-2659A08AE593}" type="presOf" srcId="{97CA2ADA-6322-41A6-8385-7F5CE5639B99}" destId="{444788FB-0BD8-4A5E-B795-E4BC47A3DA15}" srcOrd="0" destOrd="0" presId="urn:microsoft.com/office/officeart/2005/8/layout/radial4"/>
    <dgm:cxn modelId="{76B0417C-C59D-4706-86A5-E71F3568379F}" srcId="{E96CBA39-16C2-4884-B1DE-6FEA2512C5E1}" destId="{52B86FC9-ADCB-4646-931D-0BC6D7BFBE45}" srcOrd="1" destOrd="0" parTransId="{3F5035F5-F667-490B-BD7C-F8B8309FAD7C}" sibTransId="{58FB1A64-F001-4C70-B04B-E5A688C44700}"/>
    <dgm:cxn modelId="{250C5D84-C8AB-43F8-A697-E23F3F093D10}" type="presOf" srcId="{DAA24941-B641-430E-884A-FF90A59BDADF}" destId="{1729A613-ECA3-43BE-8484-CB700A3A048C}" srcOrd="0" destOrd="0" presId="urn:microsoft.com/office/officeart/2005/8/layout/radial4"/>
    <dgm:cxn modelId="{CFBFED89-2A4F-4C88-8B4C-781E19D28705}" srcId="{E96CBA39-16C2-4884-B1DE-6FEA2512C5E1}" destId="{5826E632-BD7A-4AE1-82A7-1158126D46E3}" srcOrd="4" destOrd="0" parTransId="{2B4B4407-BD08-4828-84B3-A5A594B12B80}" sibTransId="{8179FA26-158F-4501-B7F0-9B9A3EF353C5}"/>
    <dgm:cxn modelId="{11C077A6-EA62-431B-A9D9-CE191B5D9028}" srcId="{E96CBA39-16C2-4884-B1DE-6FEA2512C5E1}" destId="{DAA24941-B641-430E-884A-FF90A59BDADF}" srcOrd="2" destOrd="0" parTransId="{F38B7811-E17E-47BC-937F-E55E50498197}" sibTransId="{DB8DDE04-5116-4DE5-848B-06F42D8C302F}"/>
    <dgm:cxn modelId="{661F43A7-C028-4C40-9A3B-9E429D446B51}" srcId="{E96CBA39-16C2-4884-B1DE-6FEA2512C5E1}" destId="{EF990BB7-4AD2-4381-B6B1-5363DD10C545}" srcOrd="5" destOrd="0" parTransId="{03DC7FA6-F33F-419B-83C6-4DE805221B3F}" sibTransId="{17AF61E9-7927-4F3A-93D4-3FBA8FE4510F}"/>
    <dgm:cxn modelId="{DAE979B4-FBF4-4B91-B2D8-AFD21E34F9FF}" type="presOf" srcId="{888B5982-A1D2-44CD-9825-41EAA5AF9787}" destId="{7DBD7795-2350-4BC7-B18C-969FA56B61B0}" srcOrd="0" destOrd="0" presId="urn:microsoft.com/office/officeart/2005/8/layout/radial4"/>
    <dgm:cxn modelId="{8B2FD3C4-BB0E-41F8-A22A-62E3B6025B2A}" type="presOf" srcId="{E96CBA39-16C2-4884-B1DE-6FEA2512C5E1}" destId="{2FB080E2-C4A5-4C7B-BD55-C4CCE395D8C3}" srcOrd="0" destOrd="0" presId="urn:microsoft.com/office/officeart/2005/8/layout/radial4"/>
    <dgm:cxn modelId="{15FC85CE-BA59-45E2-A7AE-E33D6E65E8EC}" type="presOf" srcId="{3F5035F5-F667-490B-BD7C-F8B8309FAD7C}" destId="{E58415AC-EBF0-4A8D-94F6-40AF0CA106DF}" srcOrd="0" destOrd="0" presId="urn:microsoft.com/office/officeart/2005/8/layout/radial4"/>
    <dgm:cxn modelId="{771165EA-B86E-4308-9545-439B502206D4}" type="presOf" srcId="{52B86FC9-ADCB-4646-931D-0BC6D7BFBE45}" destId="{D869D0EF-3867-4050-B4ED-65701607F968}" srcOrd="0" destOrd="0" presId="urn:microsoft.com/office/officeart/2005/8/layout/radial4"/>
    <dgm:cxn modelId="{E25AAEF7-AEA6-47DF-BD57-1799EA790424}" type="presOf" srcId="{5A92F67E-28D1-442A-BFFA-43DE6E6E1D3D}" destId="{A5E5FCFC-0402-444E-B79A-5FF98FD272EE}" srcOrd="0" destOrd="0" presId="urn:microsoft.com/office/officeart/2005/8/layout/radial4"/>
    <dgm:cxn modelId="{0D190212-E038-45C2-B108-CBDE2284C87C}" type="presParOf" srcId="{FD50F836-A01A-4077-8262-0E66EFF14E48}" destId="{2FB080E2-C4A5-4C7B-BD55-C4CCE395D8C3}" srcOrd="0" destOrd="0" presId="urn:microsoft.com/office/officeart/2005/8/layout/radial4"/>
    <dgm:cxn modelId="{8C5AFB79-9114-43FA-817D-591E3A92C329}" type="presParOf" srcId="{FD50F836-A01A-4077-8262-0E66EFF14E48}" destId="{7DBD7795-2350-4BC7-B18C-969FA56B61B0}" srcOrd="1" destOrd="0" presId="urn:microsoft.com/office/officeart/2005/8/layout/radial4"/>
    <dgm:cxn modelId="{B4CF1E4A-B9CA-42A1-B2BA-058E0DEFA5D4}" type="presParOf" srcId="{FD50F836-A01A-4077-8262-0E66EFF14E48}" destId="{6C68B4ED-72EB-41EE-9D83-7B2B4D02203D}" srcOrd="2" destOrd="0" presId="urn:microsoft.com/office/officeart/2005/8/layout/radial4"/>
    <dgm:cxn modelId="{8C11652D-77E6-4E67-B6C8-E46769352B19}" type="presParOf" srcId="{FD50F836-A01A-4077-8262-0E66EFF14E48}" destId="{E58415AC-EBF0-4A8D-94F6-40AF0CA106DF}" srcOrd="3" destOrd="0" presId="urn:microsoft.com/office/officeart/2005/8/layout/radial4"/>
    <dgm:cxn modelId="{6257C7D9-C673-4941-858D-7C4B410C3C76}" type="presParOf" srcId="{FD50F836-A01A-4077-8262-0E66EFF14E48}" destId="{D869D0EF-3867-4050-B4ED-65701607F968}" srcOrd="4" destOrd="0" presId="urn:microsoft.com/office/officeart/2005/8/layout/radial4"/>
    <dgm:cxn modelId="{0A5E0875-E8F6-497B-BCE8-BC888DB37BC2}" type="presParOf" srcId="{FD50F836-A01A-4077-8262-0E66EFF14E48}" destId="{E125A3CA-FADD-4F20-B662-6F94505A6338}" srcOrd="5" destOrd="0" presId="urn:microsoft.com/office/officeart/2005/8/layout/radial4"/>
    <dgm:cxn modelId="{89601946-1AE2-4CCF-9F22-F90E19E7AF4A}" type="presParOf" srcId="{FD50F836-A01A-4077-8262-0E66EFF14E48}" destId="{1729A613-ECA3-43BE-8484-CB700A3A048C}" srcOrd="6" destOrd="0" presId="urn:microsoft.com/office/officeart/2005/8/layout/radial4"/>
    <dgm:cxn modelId="{CE55D3FB-B8B5-4C6A-A255-F60CD781CB1E}" type="presParOf" srcId="{FD50F836-A01A-4077-8262-0E66EFF14E48}" destId="{B050D714-A988-49C2-B3AC-0950367D71BB}" srcOrd="7" destOrd="0" presId="urn:microsoft.com/office/officeart/2005/8/layout/radial4"/>
    <dgm:cxn modelId="{676BB002-2CE0-4E2B-84F5-53EBBD0F488D}" type="presParOf" srcId="{FD50F836-A01A-4077-8262-0E66EFF14E48}" destId="{444788FB-0BD8-4A5E-B795-E4BC47A3DA15}" srcOrd="8" destOrd="0" presId="urn:microsoft.com/office/officeart/2005/8/layout/radial4"/>
    <dgm:cxn modelId="{2834B79C-DD8A-4F39-B5E9-94BC7F7238AD}" type="presParOf" srcId="{FD50F836-A01A-4077-8262-0E66EFF14E48}" destId="{17914E01-E8F4-4F38-AF9C-3D4CB6180827}" srcOrd="9" destOrd="0" presId="urn:microsoft.com/office/officeart/2005/8/layout/radial4"/>
    <dgm:cxn modelId="{A5D1CA76-BABE-43BD-98F0-3407E23FA5BC}" type="presParOf" srcId="{FD50F836-A01A-4077-8262-0E66EFF14E48}" destId="{6B14DC2E-B233-48A1-83BD-1943CE9A9810}" srcOrd="10" destOrd="0" presId="urn:microsoft.com/office/officeart/2005/8/layout/radial4"/>
    <dgm:cxn modelId="{DAEB5C56-E30D-446E-A2D5-295C3CBED330}" type="presParOf" srcId="{FD50F836-A01A-4077-8262-0E66EFF14E48}" destId="{0F40750E-4E16-46DA-A61F-0CE15D09976E}" srcOrd="11" destOrd="0" presId="urn:microsoft.com/office/officeart/2005/8/layout/radial4"/>
    <dgm:cxn modelId="{03585E7C-51D4-43B6-A8D5-D3DB63B733F0}" type="presParOf" srcId="{FD50F836-A01A-4077-8262-0E66EFF14E48}" destId="{A39A159E-704C-42E9-AC7C-EE7C0FCFA2BD}" srcOrd="12" destOrd="0" presId="urn:microsoft.com/office/officeart/2005/8/layout/radial4"/>
    <dgm:cxn modelId="{29CB1BD8-DE37-42AC-AC33-459FC683BA0E}" type="presParOf" srcId="{FD50F836-A01A-4077-8262-0E66EFF14E48}" destId="{A2D9F130-1190-4334-99E0-CCD4B76E4649}" srcOrd="13" destOrd="0" presId="urn:microsoft.com/office/officeart/2005/8/layout/radial4"/>
    <dgm:cxn modelId="{F5D504A4-464D-466F-BD0B-E400EF2CE04A}" type="presParOf" srcId="{FD50F836-A01A-4077-8262-0E66EFF14E48}" destId="{A5E5FCFC-0402-444E-B79A-5FF98FD272EE}" srcOrd="14" destOrd="0" presId="urn:microsoft.com/office/officeart/2005/8/layout/radial4"/>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523E2A86-D6A3-4482-AA9A-BF1477B3911E}" type="doc">
      <dgm:prSet loTypeId="urn:microsoft.com/office/officeart/2005/8/layout/radial4" loCatId="relationship" qsTypeId="urn:microsoft.com/office/officeart/2005/8/quickstyle/simple1" qsCatId="simple" csTypeId="urn:microsoft.com/office/officeart/2005/8/colors/accent1_2" csCatId="accent1" phldr="1"/>
      <dgm:spPr/>
      <dgm:t>
        <a:bodyPr/>
        <a:lstStyle/>
        <a:p>
          <a:endParaRPr lang="en-IN"/>
        </a:p>
      </dgm:t>
    </dgm:pt>
    <dgm:pt modelId="{E96CBA39-16C2-4884-B1DE-6FEA2512C5E1}">
      <dgm:prSet phldrT="[Text]"/>
      <dgm:spPr/>
      <dgm:t>
        <a:bodyPr/>
        <a:lstStyle/>
        <a:p>
          <a:r>
            <a:rPr lang="en-IN"/>
            <a:t>P - Unit Filling Total = 520 CUM</a:t>
          </a:r>
        </a:p>
      </dgm:t>
    </dgm:pt>
    <dgm:pt modelId="{E8CFD710-2972-4E47-A8CB-8A8835EC3BF0}" type="parTrans" cxnId="{3CABD600-2B0E-46D5-8B30-43D69A73B64C}">
      <dgm:prSet/>
      <dgm:spPr/>
      <dgm:t>
        <a:bodyPr/>
        <a:lstStyle/>
        <a:p>
          <a:endParaRPr lang="en-IN"/>
        </a:p>
      </dgm:t>
    </dgm:pt>
    <dgm:pt modelId="{64C8D2E6-B4DB-4D9E-9594-E0ADBC469DD4}" type="sibTrans" cxnId="{3CABD600-2B0E-46D5-8B30-43D69A73B64C}">
      <dgm:prSet/>
      <dgm:spPr/>
      <dgm:t>
        <a:bodyPr/>
        <a:lstStyle/>
        <a:p>
          <a:endParaRPr lang="en-IN"/>
        </a:p>
      </dgm:t>
    </dgm:pt>
    <dgm:pt modelId="{B0D421EE-BF9D-4C0F-8360-092B7A49BAEB}">
      <dgm:prSet phldrT="[Text]"/>
      <dgm:spPr/>
      <dgm:t>
        <a:bodyPr/>
        <a:lstStyle/>
        <a:p>
          <a:r>
            <a:rPr lang="en-IN"/>
            <a:t>Plot-4   127 CUM</a:t>
          </a:r>
        </a:p>
      </dgm:t>
    </dgm:pt>
    <dgm:pt modelId="{888B5982-A1D2-44CD-9825-41EAA5AF9787}" type="parTrans" cxnId="{9CA7BB1E-5BC9-42AF-B0C8-29206C6557FA}">
      <dgm:prSet/>
      <dgm:spPr/>
      <dgm:t>
        <a:bodyPr/>
        <a:lstStyle/>
        <a:p>
          <a:endParaRPr lang="en-IN"/>
        </a:p>
      </dgm:t>
    </dgm:pt>
    <dgm:pt modelId="{51A3F545-A744-4152-B08C-A0A2B4F7BC19}" type="sibTrans" cxnId="{9CA7BB1E-5BC9-42AF-B0C8-29206C6557FA}">
      <dgm:prSet/>
      <dgm:spPr/>
      <dgm:t>
        <a:bodyPr/>
        <a:lstStyle/>
        <a:p>
          <a:endParaRPr lang="en-IN"/>
        </a:p>
      </dgm:t>
    </dgm:pt>
    <dgm:pt modelId="{52B86FC9-ADCB-4646-931D-0BC6D7BFBE45}">
      <dgm:prSet phldrT="[Text]"/>
      <dgm:spPr/>
      <dgm:t>
        <a:bodyPr/>
        <a:lstStyle/>
        <a:p>
          <a:r>
            <a:rPr lang="en-IN"/>
            <a:t>Plot-5    300 CUM</a:t>
          </a:r>
        </a:p>
      </dgm:t>
    </dgm:pt>
    <dgm:pt modelId="{3F5035F5-F667-490B-BD7C-F8B8309FAD7C}" type="parTrans" cxnId="{76B0417C-C59D-4706-86A5-E71F3568379F}">
      <dgm:prSet/>
      <dgm:spPr/>
      <dgm:t>
        <a:bodyPr/>
        <a:lstStyle/>
        <a:p>
          <a:endParaRPr lang="en-IN"/>
        </a:p>
      </dgm:t>
    </dgm:pt>
    <dgm:pt modelId="{58FB1A64-F001-4C70-B04B-E5A688C44700}" type="sibTrans" cxnId="{76B0417C-C59D-4706-86A5-E71F3568379F}">
      <dgm:prSet/>
      <dgm:spPr/>
      <dgm:t>
        <a:bodyPr/>
        <a:lstStyle/>
        <a:p>
          <a:endParaRPr lang="en-IN"/>
        </a:p>
      </dgm:t>
    </dgm:pt>
    <dgm:pt modelId="{DAA24941-B641-430E-884A-FF90A59BDADF}">
      <dgm:prSet phldrT="[Text]"/>
      <dgm:spPr/>
      <dgm:t>
        <a:bodyPr/>
        <a:lstStyle/>
        <a:p>
          <a:r>
            <a:rPr lang="en-IN"/>
            <a:t>Plot-6   190 CUM</a:t>
          </a:r>
        </a:p>
      </dgm:t>
    </dgm:pt>
    <dgm:pt modelId="{F38B7811-E17E-47BC-937F-E55E50498197}" type="parTrans" cxnId="{11C077A6-EA62-431B-A9D9-CE191B5D9028}">
      <dgm:prSet/>
      <dgm:spPr/>
      <dgm:t>
        <a:bodyPr/>
        <a:lstStyle/>
        <a:p>
          <a:endParaRPr lang="en-IN"/>
        </a:p>
      </dgm:t>
    </dgm:pt>
    <dgm:pt modelId="{DB8DDE04-5116-4DE5-848B-06F42D8C302F}" type="sibTrans" cxnId="{11C077A6-EA62-431B-A9D9-CE191B5D9028}">
      <dgm:prSet/>
      <dgm:spPr/>
      <dgm:t>
        <a:bodyPr/>
        <a:lstStyle/>
        <a:p>
          <a:endParaRPr lang="en-IN"/>
        </a:p>
      </dgm:t>
    </dgm:pt>
    <dgm:pt modelId="{CD83E50B-3D59-4ADC-B671-9E26F2730532}">
      <dgm:prSet phldrT="[Text]"/>
      <dgm:spPr/>
      <dgm:t>
        <a:bodyPr/>
        <a:lstStyle/>
        <a:p>
          <a:r>
            <a:rPr lang="en-IN"/>
            <a:t>Total Cutting = 617</a:t>
          </a:r>
        </a:p>
      </dgm:t>
    </dgm:pt>
    <dgm:pt modelId="{3E3B4D68-0280-47D6-AE0E-28B34DB8D307}" type="parTrans" cxnId="{064383DC-62FA-4E63-8402-A11B2CC48236}">
      <dgm:prSet/>
      <dgm:spPr/>
      <dgm:t>
        <a:bodyPr/>
        <a:lstStyle/>
        <a:p>
          <a:endParaRPr lang="en-IN"/>
        </a:p>
      </dgm:t>
    </dgm:pt>
    <dgm:pt modelId="{68A70FAA-913E-491E-A6A0-C49706552A39}" type="sibTrans" cxnId="{064383DC-62FA-4E63-8402-A11B2CC48236}">
      <dgm:prSet/>
      <dgm:spPr/>
      <dgm:t>
        <a:bodyPr/>
        <a:lstStyle/>
        <a:p>
          <a:endParaRPr lang="en-IN"/>
        </a:p>
      </dgm:t>
    </dgm:pt>
    <dgm:pt modelId="{FD50F836-A01A-4077-8262-0E66EFF14E48}" type="pres">
      <dgm:prSet presAssocID="{523E2A86-D6A3-4482-AA9A-BF1477B3911E}" presName="cycle" presStyleCnt="0">
        <dgm:presLayoutVars>
          <dgm:chMax val="1"/>
          <dgm:dir/>
          <dgm:animLvl val="ctr"/>
          <dgm:resizeHandles val="exact"/>
        </dgm:presLayoutVars>
      </dgm:prSet>
      <dgm:spPr/>
    </dgm:pt>
    <dgm:pt modelId="{2FB080E2-C4A5-4C7B-BD55-C4CCE395D8C3}" type="pres">
      <dgm:prSet presAssocID="{E96CBA39-16C2-4884-B1DE-6FEA2512C5E1}" presName="centerShape" presStyleLbl="node0" presStyleIdx="0" presStyleCnt="1" custScaleX="105223" custScaleY="76815"/>
      <dgm:spPr/>
    </dgm:pt>
    <dgm:pt modelId="{7DBD7795-2350-4BC7-B18C-969FA56B61B0}" type="pres">
      <dgm:prSet presAssocID="{888B5982-A1D2-44CD-9825-41EAA5AF9787}" presName="parTrans" presStyleLbl="bgSibTrans2D1" presStyleIdx="0" presStyleCnt="4"/>
      <dgm:spPr/>
    </dgm:pt>
    <dgm:pt modelId="{6C68B4ED-72EB-41EE-9D83-7B2B4D02203D}" type="pres">
      <dgm:prSet presAssocID="{B0D421EE-BF9D-4C0F-8360-092B7A49BAEB}" presName="node" presStyleLbl="node1" presStyleIdx="0" presStyleCnt="4">
        <dgm:presLayoutVars>
          <dgm:bulletEnabled val="1"/>
        </dgm:presLayoutVars>
      </dgm:prSet>
      <dgm:spPr/>
    </dgm:pt>
    <dgm:pt modelId="{E58415AC-EBF0-4A8D-94F6-40AF0CA106DF}" type="pres">
      <dgm:prSet presAssocID="{3F5035F5-F667-490B-BD7C-F8B8309FAD7C}" presName="parTrans" presStyleLbl="bgSibTrans2D1" presStyleIdx="1" presStyleCnt="4"/>
      <dgm:spPr/>
    </dgm:pt>
    <dgm:pt modelId="{D869D0EF-3867-4050-B4ED-65701607F968}" type="pres">
      <dgm:prSet presAssocID="{52B86FC9-ADCB-4646-931D-0BC6D7BFBE45}" presName="node" presStyleLbl="node1" presStyleIdx="1" presStyleCnt="4">
        <dgm:presLayoutVars>
          <dgm:bulletEnabled val="1"/>
        </dgm:presLayoutVars>
      </dgm:prSet>
      <dgm:spPr/>
    </dgm:pt>
    <dgm:pt modelId="{E125A3CA-FADD-4F20-B662-6F94505A6338}" type="pres">
      <dgm:prSet presAssocID="{F38B7811-E17E-47BC-937F-E55E50498197}" presName="parTrans" presStyleLbl="bgSibTrans2D1" presStyleIdx="2" presStyleCnt="4"/>
      <dgm:spPr/>
    </dgm:pt>
    <dgm:pt modelId="{1729A613-ECA3-43BE-8484-CB700A3A048C}" type="pres">
      <dgm:prSet presAssocID="{DAA24941-B641-430E-884A-FF90A59BDADF}" presName="node" presStyleLbl="node1" presStyleIdx="2" presStyleCnt="4">
        <dgm:presLayoutVars>
          <dgm:bulletEnabled val="1"/>
        </dgm:presLayoutVars>
      </dgm:prSet>
      <dgm:spPr/>
    </dgm:pt>
    <dgm:pt modelId="{93BBDF70-D9BD-4A0A-84C9-5AC62E9056C9}" type="pres">
      <dgm:prSet presAssocID="{3E3B4D68-0280-47D6-AE0E-28B34DB8D307}" presName="parTrans" presStyleLbl="bgSibTrans2D1" presStyleIdx="3" presStyleCnt="4"/>
      <dgm:spPr/>
    </dgm:pt>
    <dgm:pt modelId="{2FDE60FA-BD0F-47A1-93AE-689B8D834EED}" type="pres">
      <dgm:prSet presAssocID="{CD83E50B-3D59-4ADC-B671-9E26F2730532}" presName="node" presStyleLbl="node1" presStyleIdx="3" presStyleCnt="4">
        <dgm:presLayoutVars>
          <dgm:bulletEnabled val="1"/>
        </dgm:presLayoutVars>
      </dgm:prSet>
      <dgm:spPr/>
    </dgm:pt>
  </dgm:ptLst>
  <dgm:cxnLst>
    <dgm:cxn modelId="{3CABD600-2B0E-46D5-8B30-43D69A73B64C}" srcId="{523E2A86-D6A3-4482-AA9A-BF1477B3911E}" destId="{E96CBA39-16C2-4884-B1DE-6FEA2512C5E1}" srcOrd="0" destOrd="0" parTransId="{E8CFD710-2972-4E47-A8CB-8A8835EC3BF0}" sibTransId="{64C8D2E6-B4DB-4D9E-9594-E0ADBC469DD4}"/>
    <dgm:cxn modelId="{9CA7BB1E-5BC9-42AF-B0C8-29206C6557FA}" srcId="{E96CBA39-16C2-4884-B1DE-6FEA2512C5E1}" destId="{B0D421EE-BF9D-4C0F-8360-092B7A49BAEB}" srcOrd="0" destOrd="0" parTransId="{888B5982-A1D2-44CD-9825-41EAA5AF9787}" sibTransId="{51A3F545-A744-4152-B08C-A0A2B4F7BC19}"/>
    <dgm:cxn modelId="{88EF6F33-0C0B-42FE-AF2C-A5C25391E9F0}" type="presOf" srcId="{B0D421EE-BF9D-4C0F-8360-092B7A49BAEB}" destId="{6C68B4ED-72EB-41EE-9D83-7B2B4D02203D}" srcOrd="0" destOrd="0" presId="urn:microsoft.com/office/officeart/2005/8/layout/radial4"/>
    <dgm:cxn modelId="{F456B933-B201-4716-8BF0-6AA50129D67D}" type="presOf" srcId="{3E3B4D68-0280-47D6-AE0E-28B34DB8D307}" destId="{93BBDF70-D9BD-4A0A-84C9-5AC62E9056C9}" srcOrd="0" destOrd="0" presId="urn:microsoft.com/office/officeart/2005/8/layout/radial4"/>
    <dgm:cxn modelId="{79603B3F-9DC9-4534-894B-197E9573999C}" type="presOf" srcId="{CD83E50B-3D59-4ADC-B671-9E26F2730532}" destId="{2FDE60FA-BD0F-47A1-93AE-689B8D834EED}" srcOrd="0" destOrd="0" presId="urn:microsoft.com/office/officeart/2005/8/layout/radial4"/>
    <dgm:cxn modelId="{7C7DA667-8CAA-40D5-BDB0-7B4A7055EEB2}" type="presOf" srcId="{523E2A86-D6A3-4482-AA9A-BF1477B3911E}" destId="{FD50F836-A01A-4077-8262-0E66EFF14E48}" srcOrd="0" destOrd="0" presId="urn:microsoft.com/office/officeart/2005/8/layout/radial4"/>
    <dgm:cxn modelId="{15317772-923F-46AA-8214-6823CE4C1F17}" type="presOf" srcId="{F38B7811-E17E-47BC-937F-E55E50498197}" destId="{E125A3CA-FADD-4F20-B662-6F94505A6338}" srcOrd="0" destOrd="0" presId="urn:microsoft.com/office/officeart/2005/8/layout/radial4"/>
    <dgm:cxn modelId="{76B0417C-C59D-4706-86A5-E71F3568379F}" srcId="{E96CBA39-16C2-4884-B1DE-6FEA2512C5E1}" destId="{52B86FC9-ADCB-4646-931D-0BC6D7BFBE45}" srcOrd="1" destOrd="0" parTransId="{3F5035F5-F667-490B-BD7C-F8B8309FAD7C}" sibTransId="{58FB1A64-F001-4C70-B04B-E5A688C44700}"/>
    <dgm:cxn modelId="{250C5D84-C8AB-43F8-A697-E23F3F093D10}" type="presOf" srcId="{DAA24941-B641-430E-884A-FF90A59BDADF}" destId="{1729A613-ECA3-43BE-8484-CB700A3A048C}" srcOrd="0" destOrd="0" presId="urn:microsoft.com/office/officeart/2005/8/layout/radial4"/>
    <dgm:cxn modelId="{11C077A6-EA62-431B-A9D9-CE191B5D9028}" srcId="{E96CBA39-16C2-4884-B1DE-6FEA2512C5E1}" destId="{DAA24941-B641-430E-884A-FF90A59BDADF}" srcOrd="2" destOrd="0" parTransId="{F38B7811-E17E-47BC-937F-E55E50498197}" sibTransId="{DB8DDE04-5116-4DE5-848B-06F42D8C302F}"/>
    <dgm:cxn modelId="{DAE979B4-FBF4-4B91-B2D8-AFD21E34F9FF}" type="presOf" srcId="{888B5982-A1D2-44CD-9825-41EAA5AF9787}" destId="{7DBD7795-2350-4BC7-B18C-969FA56B61B0}" srcOrd="0" destOrd="0" presId="urn:microsoft.com/office/officeart/2005/8/layout/radial4"/>
    <dgm:cxn modelId="{8B2FD3C4-BB0E-41F8-A22A-62E3B6025B2A}" type="presOf" srcId="{E96CBA39-16C2-4884-B1DE-6FEA2512C5E1}" destId="{2FB080E2-C4A5-4C7B-BD55-C4CCE395D8C3}" srcOrd="0" destOrd="0" presId="urn:microsoft.com/office/officeart/2005/8/layout/radial4"/>
    <dgm:cxn modelId="{15FC85CE-BA59-45E2-A7AE-E33D6E65E8EC}" type="presOf" srcId="{3F5035F5-F667-490B-BD7C-F8B8309FAD7C}" destId="{E58415AC-EBF0-4A8D-94F6-40AF0CA106DF}" srcOrd="0" destOrd="0" presId="urn:microsoft.com/office/officeart/2005/8/layout/radial4"/>
    <dgm:cxn modelId="{064383DC-62FA-4E63-8402-A11B2CC48236}" srcId="{E96CBA39-16C2-4884-B1DE-6FEA2512C5E1}" destId="{CD83E50B-3D59-4ADC-B671-9E26F2730532}" srcOrd="3" destOrd="0" parTransId="{3E3B4D68-0280-47D6-AE0E-28B34DB8D307}" sibTransId="{68A70FAA-913E-491E-A6A0-C49706552A39}"/>
    <dgm:cxn modelId="{771165EA-B86E-4308-9545-439B502206D4}" type="presOf" srcId="{52B86FC9-ADCB-4646-931D-0BC6D7BFBE45}" destId="{D869D0EF-3867-4050-B4ED-65701607F968}" srcOrd="0" destOrd="0" presId="urn:microsoft.com/office/officeart/2005/8/layout/radial4"/>
    <dgm:cxn modelId="{0D190212-E038-45C2-B108-CBDE2284C87C}" type="presParOf" srcId="{FD50F836-A01A-4077-8262-0E66EFF14E48}" destId="{2FB080E2-C4A5-4C7B-BD55-C4CCE395D8C3}" srcOrd="0" destOrd="0" presId="urn:microsoft.com/office/officeart/2005/8/layout/radial4"/>
    <dgm:cxn modelId="{8C5AFB79-9114-43FA-817D-591E3A92C329}" type="presParOf" srcId="{FD50F836-A01A-4077-8262-0E66EFF14E48}" destId="{7DBD7795-2350-4BC7-B18C-969FA56B61B0}" srcOrd="1" destOrd="0" presId="urn:microsoft.com/office/officeart/2005/8/layout/radial4"/>
    <dgm:cxn modelId="{B4CF1E4A-B9CA-42A1-B2BA-058E0DEFA5D4}" type="presParOf" srcId="{FD50F836-A01A-4077-8262-0E66EFF14E48}" destId="{6C68B4ED-72EB-41EE-9D83-7B2B4D02203D}" srcOrd="2" destOrd="0" presId="urn:microsoft.com/office/officeart/2005/8/layout/radial4"/>
    <dgm:cxn modelId="{8C11652D-77E6-4E67-B6C8-E46769352B19}" type="presParOf" srcId="{FD50F836-A01A-4077-8262-0E66EFF14E48}" destId="{E58415AC-EBF0-4A8D-94F6-40AF0CA106DF}" srcOrd="3" destOrd="0" presId="urn:microsoft.com/office/officeart/2005/8/layout/radial4"/>
    <dgm:cxn modelId="{6257C7D9-C673-4941-858D-7C4B410C3C76}" type="presParOf" srcId="{FD50F836-A01A-4077-8262-0E66EFF14E48}" destId="{D869D0EF-3867-4050-B4ED-65701607F968}" srcOrd="4" destOrd="0" presId="urn:microsoft.com/office/officeart/2005/8/layout/radial4"/>
    <dgm:cxn modelId="{0A5E0875-E8F6-497B-BCE8-BC888DB37BC2}" type="presParOf" srcId="{FD50F836-A01A-4077-8262-0E66EFF14E48}" destId="{E125A3CA-FADD-4F20-B662-6F94505A6338}" srcOrd="5" destOrd="0" presId="urn:microsoft.com/office/officeart/2005/8/layout/radial4"/>
    <dgm:cxn modelId="{89601946-1AE2-4CCF-9F22-F90E19E7AF4A}" type="presParOf" srcId="{FD50F836-A01A-4077-8262-0E66EFF14E48}" destId="{1729A613-ECA3-43BE-8484-CB700A3A048C}" srcOrd="6" destOrd="0" presId="urn:microsoft.com/office/officeart/2005/8/layout/radial4"/>
    <dgm:cxn modelId="{6C7BE1C0-C4CF-493B-8DDC-59CEE9980FC1}" type="presParOf" srcId="{FD50F836-A01A-4077-8262-0E66EFF14E48}" destId="{93BBDF70-D9BD-4A0A-84C9-5AC62E9056C9}" srcOrd="7" destOrd="0" presId="urn:microsoft.com/office/officeart/2005/8/layout/radial4"/>
    <dgm:cxn modelId="{E2D9B6FB-B516-409D-AB10-0D069B80EA7B}" type="presParOf" srcId="{FD50F836-A01A-4077-8262-0E66EFF14E48}" destId="{2FDE60FA-BD0F-47A1-93AE-689B8D834EED}" srcOrd="8" destOrd="0" presId="urn:microsoft.com/office/officeart/2005/8/layout/radial4"/>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523E2A86-D6A3-4482-AA9A-BF1477B3911E}" type="doc">
      <dgm:prSet loTypeId="urn:microsoft.com/office/officeart/2005/8/layout/radial4" loCatId="relationship" qsTypeId="urn:microsoft.com/office/officeart/2005/8/quickstyle/simple1" qsCatId="simple" csTypeId="urn:microsoft.com/office/officeart/2005/8/colors/accent1_2" csCatId="accent1" phldr="1"/>
      <dgm:spPr/>
      <dgm:t>
        <a:bodyPr/>
        <a:lstStyle/>
        <a:p>
          <a:endParaRPr lang="en-IN"/>
        </a:p>
      </dgm:t>
    </dgm:pt>
    <dgm:pt modelId="{E96CBA39-16C2-4884-B1DE-6FEA2512C5E1}">
      <dgm:prSet phldrT="[Text]"/>
      <dgm:spPr/>
      <dgm:t>
        <a:bodyPr/>
        <a:lstStyle/>
        <a:p>
          <a:r>
            <a:rPr lang="en-IN"/>
            <a:t>N, M Unit &amp; 11 &amp; 13 Plot Filling Total = 1117 CUM</a:t>
          </a:r>
        </a:p>
      </dgm:t>
    </dgm:pt>
    <dgm:pt modelId="{E8CFD710-2972-4E47-A8CB-8A8835EC3BF0}" type="parTrans" cxnId="{3CABD600-2B0E-46D5-8B30-43D69A73B64C}">
      <dgm:prSet/>
      <dgm:spPr/>
      <dgm:t>
        <a:bodyPr/>
        <a:lstStyle/>
        <a:p>
          <a:endParaRPr lang="en-IN"/>
        </a:p>
      </dgm:t>
    </dgm:pt>
    <dgm:pt modelId="{64C8D2E6-B4DB-4D9E-9594-E0ADBC469DD4}" type="sibTrans" cxnId="{3CABD600-2B0E-46D5-8B30-43D69A73B64C}">
      <dgm:prSet/>
      <dgm:spPr/>
      <dgm:t>
        <a:bodyPr/>
        <a:lstStyle/>
        <a:p>
          <a:endParaRPr lang="en-IN"/>
        </a:p>
      </dgm:t>
    </dgm:pt>
    <dgm:pt modelId="{B0D421EE-BF9D-4C0F-8360-092B7A49BAEB}">
      <dgm:prSet phldrT="[Text]"/>
      <dgm:spPr/>
      <dgm:t>
        <a:bodyPr/>
        <a:lstStyle/>
        <a:p>
          <a:r>
            <a:rPr lang="en-IN"/>
            <a:t>Plot-12   609 CUM</a:t>
          </a:r>
        </a:p>
      </dgm:t>
    </dgm:pt>
    <dgm:pt modelId="{888B5982-A1D2-44CD-9825-41EAA5AF9787}" type="parTrans" cxnId="{9CA7BB1E-5BC9-42AF-B0C8-29206C6557FA}">
      <dgm:prSet/>
      <dgm:spPr/>
      <dgm:t>
        <a:bodyPr/>
        <a:lstStyle/>
        <a:p>
          <a:endParaRPr lang="en-IN"/>
        </a:p>
      </dgm:t>
    </dgm:pt>
    <dgm:pt modelId="{51A3F545-A744-4152-B08C-A0A2B4F7BC19}" type="sibTrans" cxnId="{9CA7BB1E-5BC9-42AF-B0C8-29206C6557FA}">
      <dgm:prSet/>
      <dgm:spPr/>
      <dgm:t>
        <a:bodyPr/>
        <a:lstStyle/>
        <a:p>
          <a:endParaRPr lang="en-IN"/>
        </a:p>
      </dgm:t>
    </dgm:pt>
    <dgm:pt modelId="{52B86FC9-ADCB-4646-931D-0BC6D7BFBE45}">
      <dgm:prSet phldrT="[Text]"/>
      <dgm:spPr/>
      <dgm:t>
        <a:bodyPr/>
        <a:lstStyle/>
        <a:p>
          <a:r>
            <a:rPr lang="en-IN"/>
            <a:t>Plot-14    134 CUM</a:t>
          </a:r>
        </a:p>
      </dgm:t>
    </dgm:pt>
    <dgm:pt modelId="{3F5035F5-F667-490B-BD7C-F8B8309FAD7C}" type="parTrans" cxnId="{76B0417C-C59D-4706-86A5-E71F3568379F}">
      <dgm:prSet/>
      <dgm:spPr/>
      <dgm:t>
        <a:bodyPr/>
        <a:lstStyle/>
        <a:p>
          <a:endParaRPr lang="en-IN"/>
        </a:p>
      </dgm:t>
    </dgm:pt>
    <dgm:pt modelId="{58FB1A64-F001-4C70-B04B-E5A688C44700}" type="sibTrans" cxnId="{76B0417C-C59D-4706-86A5-E71F3568379F}">
      <dgm:prSet/>
      <dgm:spPr/>
      <dgm:t>
        <a:bodyPr/>
        <a:lstStyle/>
        <a:p>
          <a:endParaRPr lang="en-IN"/>
        </a:p>
      </dgm:t>
    </dgm:pt>
    <dgm:pt modelId="{DAA24941-B641-430E-884A-FF90A59BDADF}">
      <dgm:prSet phldrT="[Text]"/>
      <dgm:spPr/>
      <dgm:t>
        <a:bodyPr/>
        <a:lstStyle/>
        <a:p>
          <a:r>
            <a:rPr lang="en-IN"/>
            <a:t>Plot-15   51 CUM</a:t>
          </a:r>
        </a:p>
      </dgm:t>
    </dgm:pt>
    <dgm:pt modelId="{F38B7811-E17E-47BC-937F-E55E50498197}" type="parTrans" cxnId="{11C077A6-EA62-431B-A9D9-CE191B5D9028}">
      <dgm:prSet/>
      <dgm:spPr/>
      <dgm:t>
        <a:bodyPr/>
        <a:lstStyle/>
        <a:p>
          <a:endParaRPr lang="en-IN"/>
        </a:p>
      </dgm:t>
    </dgm:pt>
    <dgm:pt modelId="{DB8DDE04-5116-4DE5-848B-06F42D8C302F}" type="sibTrans" cxnId="{11C077A6-EA62-431B-A9D9-CE191B5D9028}">
      <dgm:prSet/>
      <dgm:spPr/>
      <dgm:t>
        <a:bodyPr/>
        <a:lstStyle/>
        <a:p>
          <a:endParaRPr lang="en-IN"/>
        </a:p>
      </dgm:t>
    </dgm:pt>
    <dgm:pt modelId="{CD83E50B-3D59-4ADC-B671-9E26F2730532}">
      <dgm:prSet phldrT="[Text]"/>
      <dgm:spPr/>
      <dgm:t>
        <a:bodyPr/>
        <a:lstStyle/>
        <a:p>
          <a:r>
            <a:rPr lang="en-IN"/>
            <a:t>Total Cutting = 1210</a:t>
          </a:r>
        </a:p>
      </dgm:t>
    </dgm:pt>
    <dgm:pt modelId="{3E3B4D68-0280-47D6-AE0E-28B34DB8D307}" type="parTrans" cxnId="{064383DC-62FA-4E63-8402-A11B2CC48236}">
      <dgm:prSet/>
      <dgm:spPr/>
      <dgm:t>
        <a:bodyPr/>
        <a:lstStyle/>
        <a:p>
          <a:endParaRPr lang="en-IN"/>
        </a:p>
      </dgm:t>
    </dgm:pt>
    <dgm:pt modelId="{68A70FAA-913E-491E-A6A0-C49706552A39}" type="sibTrans" cxnId="{064383DC-62FA-4E63-8402-A11B2CC48236}">
      <dgm:prSet/>
      <dgm:spPr/>
      <dgm:t>
        <a:bodyPr/>
        <a:lstStyle/>
        <a:p>
          <a:endParaRPr lang="en-IN"/>
        </a:p>
      </dgm:t>
    </dgm:pt>
    <dgm:pt modelId="{FE2B5121-FEDF-4205-90BE-6160D1CB0975}">
      <dgm:prSet phldrT="[Text]"/>
      <dgm:spPr/>
      <dgm:t>
        <a:bodyPr/>
        <a:lstStyle/>
        <a:p>
          <a:r>
            <a:rPr lang="en-IN"/>
            <a:t>Plot-28    44 CUM</a:t>
          </a:r>
        </a:p>
      </dgm:t>
    </dgm:pt>
    <dgm:pt modelId="{B80992B9-9FDA-4589-950F-CF3261ECEB6E}" type="parTrans" cxnId="{B17E15D9-4616-42E6-B5BD-EAB0C864F3AE}">
      <dgm:prSet/>
      <dgm:spPr/>
      <dgm:t>
        <a:bodyPr/>
        <a:lstStyle/>
        <a:p>
          <a:endParaRPr lang="en-IN"/>
        </a:p>
      </dgm:t>
    </dgm:pt>
    <dgm:pt modelId="{67E88617-9E41-4AFB-8384-5C9A1EC3B084}" type="sibTrans" cxnId="{B17E15D9-4616-42E6-B5BD-EAB0C864F3AE}">
      <dgm:prSet/>
      <dgm:spPr/>
      <dgm:t>
        <a:bodyPr/>
        <a:lstStyle/>
        <a:p>
          <a:endParaRPr lang="en-IN"/>
        </a:p>
      </dgm:t>
    </dgm:pt>
    <dgm:pt modelId="{5FF526C4-64F8-4F31-B53F-FC48D98C2DD9}">
      <dgm:prSet phldrT="[Text]"/>
      <dgm:spPr/>
      <dgm:t>
        <a:bodyPr/>
        <a:lstStyle/>
        <a:p>
          <a:r>
            <a:rPr lang="en-IN"/>
            <a:t>Plot-29 372 CUM</a:t>
          </a:r>
        </a:p>
      </dgm:t>
    </dgm:pt>
    <dgm:pt modelId="{680A751F-A3D8-4F8E-8C43-50B9E6459763}" type="parTrans" cxnId="{DF1669D0-D7E1-4B56-AE34-8A69E1A26732}">
      <dgm:prSet/>
      <dgm:spPr/>
      <dgm:t>
        <a:bodyPr/>
        <a:lstStyle/>
        <a:p>
          <a:endParaRPr lang="en-IN"/>
        </a:p>
      </dgm:t>
    </dgm:pt>
    <dgm:pt modelId="{9044CB7C-4040-4272-A8F7-FD0076720D33}" type="sibTrans" cxnId="{DF1669D0-D7E1-4B56-AE34-8A69E1A26732}">
      <dgm:prSet/>
      <dgm:spPr/>
      <dgm:t>
        <a:bodyPr/>
        <a:lstStyle/>
        <a:p>
          <a:endParaRPr lang="en-IN"/>
        </a:p>
      </dgm:t>
    </dgm:pt>
    <dgm:pt modelId="{FD50F836-A01A-4077-8262-0E66EFF14E48}" type="pres">
      <dgm:prSet presAssocID="{523E2A86-D6A3-4482-AA9A-BF1477B3911E}" presName="cycle" presStyleCnt="0">
        <dgm:presLayoutVars>
          <dgm:chMax val="1"/>
          <dgm:dir/>
          <dgm:animLvl val="ctr"/>
          <dgm:resizeHandles val="exact"/>
        </dgm:presLayoutVars>
      </dgm:prSet>
      <dgm:spPr/>
    </dgm:pt>
    <dgm:pt modelId="{2FB080E2-C4A5-4C7B-BD55-C4CCE395D8C3}" type="pres">
      <dgm:prSet presAssocID="{E96CBA39-16C2-4884-B1DE-6FEA2512C5E1}" presName="centerShape" presStyleLbl="node0" presStyleIdx="0" presStyleCnt="1" custScaleX="105223" custScaleY="76815"/>
      <dgm:spPr/>
    </dgm:pt>
    <dgm:pt modelId="{7DBD7795-2350-4BC7-B18C-969FA56B61B0}" type="pres">
      <dgm:prSet presAssocID="{888B5982-A1D2-44CD-9825-41EAA5AF9787}" presName="parTrans" presStyleLbl="bgSibTrans2D1" presStyleIdx="0" presStyleCnt="6"/>
      <dgm:spPr/>
    </dgm:pt>
    <dgm:pt modelId="{6C68B4ED-72EB-41EE-9D83-7B2B4D02203D}" type="pres">
      <dgm:prSet presAssocID="{B0D421EE-BF9D-4C0F-8360-092B7A49BAEB}" presName="node" presStyleLbl="node1" presStyleIdx="0" presStyleCnt="6">
        <dgm:presLayoutVars>
          <dgm:bulletEnabled val="1"/>
        </dgm:presLayoutVars>
      </dgm:prSet>
      <dgm:spPr/>
    </dgm:pt>
    <dgm:pt modelId="{E58415AC-EBF0-4A8D-94F6-40AF0CA106DF}" type="pres">
      <dgm:prSet presAssocID="{3F5035F5-F667-490B-BD7C-F8B8309FAD7C}" presName="parTrans" presStyleLbl="bgSibTrans2D1" presStyleIdx="1" presStyleCnt="6"/>
      <dgm:spPr/>
    </dgm:pt>
    <dgm:pt modelId="{D869D0EF-3867-4050-B4ED-65701607F968}" type="pres">
      <dgm:prSet presAssocID="{52B86FC9-ADCB-4646-931D-0BC6D7BFBE45}" presName="node" presStyleLbl="node1" presStyleIdx="1" presStyleCnt="6">
        <dgm:presLayoutVars>
          <dgm:bulletEnabled val="1"/>
        </dgm:presLayoutVars>
      </dgm:prSet>
      <dgm:spPr/>
    </dgm:pt>
    <dgm:pt modelId="{E125A3CA-FADD-4F20-B662-6F94505A6338}" type="pres">
      <dgm:prSet presAssocID="{F38B7811-E17E-47BC-937F-E55E50498197}" presName="parTrans" presStyleLbl="bgSibTrans2D1" presStyleIdx="2" presStyleCnt="6"/>
      <dgm:spPr/>
    </dgm:pt>
    <dgm:pt modelId="{1729A613-ECA3-43BE-8484-CB700A3A048C}" type="pres">
      <dgm:prSet presAssocID="{DAA24941-B641-430E-884A-FF90A59BDADF}" presName="node" presStyleLbl="node1" presStyleIdx="2" presStyleCnt="6">
        <dgm:presLayoutVars>
          <dgm:bulletEnabled val="1"/>
        </dgm:presLayoutVars>
      </dgm:prSet>
      <dgm:spPr/>
    </dgm:pt>
    <dgm:pt modelId="{E5E0D666-8A0A-4954-80EC-77D286CE323F}" type="pres">
      <dgm:prSet presAssocID="{B80992B9-9FDA-4589-950F-CF3261ECEB6E}" presName="parTrans" presStyleLbl="bgSibTrans2D1" presStyleIdx="3" presStyleCnt="6"/>
      <dgm:spPr/>
    </dgm:pt>
    <dgm:pt modelId="{D6EFDDC1-3C96-49C5-BAC0-2C0126D15D9D}" type="pres">
      <dgm:prSet presAssocID="{FE2B5121-FEDF-4205-90BE-6160D1CB0975}" presName="node" presStyleLbl="node1" presStyleIdx="3" presStyleCnt="6">
        <dgm:presLayoutVars>
          <dgm:bulletEnabled val="1"/>
        </dgm:presLayoutVars>
      </dgm:prSet>
      <dgm:spPr/>
    </dgm:pt>
    <dgm:pt modelId="{23A10D7B-8B75-4A9C-9EFC-FB9EBF74814A}" type="pres">
      <dgm:prSet presAssocID="{680A751F-A3D8-4F8E-8C43-50B9E6459763}" presName="parTrans" presStyleLbl="bgSibTrans2D1" presStyleIdx="4" presStyleCnt="6"/>
      <dgm:spPr/>
    </dgm:pt>
    <dgm:pt modelId="{1E240375-9B7D-485B-810A-61294FA701A9}" type="pres">
      <dgm:prSet presAssocID="{5FF526C4-64F8-4F31-B53F-FC48D98C2DD9}" presName="node" presStyleLbl="node1" presStyleIdx="4" presStyleCnt="6">
        <dgm:presLayoutVars>
          <dgm:bulletEnabled val="1"/>
        </dgm:presLayoutVars>
      </dgm:prSet>
      <dgm:spPr/>
    </dgm:pt>
    <dgm:pt modelId="{93BBDF70-D9BD-4A0A-84C9-5AC62E9056C9}" type="pres">
      <dgm:prSet presAssocID="{3E3B4D68-0280-47D6-AE0E-28B34DB8D307}" presName="parTrans" presStyleLbl="bgSibTrans2D1" presStyleIdx="5" presStyleCnt="6"/>
      <dgm:spPr/>
    </dgm:pt>
    <dgm:pt modelId="{2FDE60FA-BD0F-47A1-93AE-689B8D834EED}" type="pres">
      <dgm:prSet presAssocID="{CD83E50B-3D59-4ADC-B671-9E26F2730532}" presName="node" presStyleLbl="node1" presStyleIdx="5" presStyleCnt="6">
        <dgm:presLayoutVars>
          <dgm:bulletEnabled val="1"/>
        </dgm:presLayoutVars>
      </dgm:prSet>
      <dgm:spPr/>
    </dgm:pt>
  </dgm:ptLst>
  <dgm:cxnLst>
    <dgm:cxn modelId="{3CABD600-2B0E-46D5-8B30-43D69A73B64C}" srcId="{523E2A86-D6A3-4482-AA9A-BF1477B3911E}" destId="{E96CBA39-16C2-4884-B1DE-6FEA2512C5E1}" srcOrd="0" destOrd="0" parTransId="{E8CFD710-2972-4E47-A8CB-8A8835EC3BF0}" sibTransId="{64C8D2E6-B4DB-4D9E-9594-E0ADBC469DD4}"/>
    <dgm:cxn modelId="{9CA7BB1E-5BC9-42AF-B0C8-29206C6557FA}" srcId="{E96CBA39-16C2-4884-B1DE-6FEA2512C5E1}" destId="{B0D421EE-BF9D-4C0F-8360-092B7A49BAEB}" srcOrd="0" destOrd="0" parTransId="{888B5982-A1D2-44CD-9825-41EAA5AF9787}" sibTransId="{51A3F545-A744-4152-B08C-A0A2B4F7BC19}"/>
    <dgm:cxn modelId="{88EF6F33-0C0B-42FE-AF2C-A5C25391E9F0}" type="presOf" srcId="{B0D421EE-BF9D-4C0F-8360-092B7A49BAEB}" destId="{6C68B4ED-72EB-41EE-9D83-7B2B4D02203D}" srcOrd="0" destOrd="0" presId="urn:microsoft.com/office/officeart/2005/8/layout/radial4"/>
    <dgm:cxn modelId="{F456B933-B201-4716-8BF0-6AA50129D67D}" type="presOf" srcId="{3E3B4D68-0280-47D6-AE0E-28B34DB8D307}" destId="{93BBDF70-D9BD-4A0A-84C9-5AC62E9056C9}" srcOrd="0" destOrd="0" presId="urn:microsoft.com/office/officeart/2005/8/layout/radial4"/>
    <dgm:cxn modelId="{79603B3F-9DC9-4534-894B-197E9573999C}" type="presOf" srcId="{CD83E50B-3D59-4ADC-B671-9E26F2730532}" destId="{2FDE60FA-BD0F-47A1-93AE-689B8D834EED}" srcOrd="0" destOrd="0" presId="urn:microsoft.com/office/officeart/2005/8/layout/radial4"/>
    <dgm:cxn modelId="{7C7DA667-8CAA-40D5-BDB0-7B4A7055EEB2}" type="presOf" srcId="{523E2A86-D6A3-4482-AA9A-BF1477B3911E}" destId="{FD50F836-A01A-4077-8262-0E66EFF14E48}" srcOrd="0" destOrd="0" presId="urn:microsoft.com/office/officeart/2005/8/layout/radial4"/>
    <dgm:cxn modelId="{15317772-923F-46AA-8214-6823CE4C1F17}" type="presOf" srcId="{F38B7811-E17E-47BC-937F-E55E50498197}" destId="{E125A3CA-FADD-4F20-B662-6F94505A6338}" srcOrd="0" destOrd="0" presId="urn:microsoft.com/office/officeart/2005/8/layout/radial4"/>
    <dgm:cxn modelId="{74F36D56-AB4D-4F57-9485-0BBFBD6AAD64}" type="presOf" srcId="{680A751F-A3D8-4F8E-8C43-50B9E6459763}" destId="{23A10D7B-8B75-4A9C-9EFC-FB9EBF74814A}" srcOrd="0" destOrd="0" presId="urn:microsoft.com/office/officeart/2005/8/layout/radial4"/>
    <dgm:cxn modelId="{76B0417C-C59D-4706-86A5-E71F3568379F}" srcId="{E96CBA39-16C2-4884-B1DE-6FEA2512C5E1}" destId="{52B86FC9-ADCB-4646-931D-0BC6D7BFBE45}" srcOrd="1" destOrd="0" parTransId="{3F5035F5-F667-490B-BD7C-F8B8309FAD7C}" sibTransId="{58FB1A64-F001-4C70-B04B-E5A688C44700}"/>
    <dgm:cxn modelId="{250C5D84-C8AB-43F8-A697-E23F3F093D10}" type="presOf" srcId="{DAA24941-B641-430E-884A-FF90A59BDADF}" destId="{1729A613-ECA3-43BE-8484-CB700A3A048C}" srcOrd="0" destOrd="0" presId="urn:microsoft.com/office/officeart/2005/8/layout/radial4"/>
    <dgm:cxn modelId="{8F5B7988-4E50-4858-BD32-61C29AAAD21D}" type="presOf" srcId="{5FF526C4-64F8-4F31-B53F-FC48D98C2DD9}" destId="{1E240375-9B7D-485B-810A-61294FA701A9}" srcOrd="0" destOrd="0" presId="urn:microsoft.com/office/officeart/2005/8/layout/radial4"/>
    <dgm:cxn modelId="{08DB039F-3149-40A7-9047-62C8D2F31A9B}" type="presOf" srcId="{B80992B9-9FDA-4589-950F-CF3261ECEB6E}" destId="{E5E0D666-8A0A-4954-80EC-77D286CE323F}" srcOrd="0" destOrd="0" presId="urn:microsoft.com/office/officeart/2005/8/layout/radial4"/>
    <dgm:cxn modelId="{11C077A6-EA62-431B-A9D9-CE191B5D9028}" srcId="{E96CBA39-16C2-4884-B1DE-6FEA2512C5E1}" destId="{DAA24941-B641-430E-884A-FF90A59BDADF}" srcOrd="2" destOrd="0" parTransId="{F38B7811-E17E-47BC-937F-E55E50498197}" sibTransId="{DB8DDE04-5116-4DE5-848B-06F42D8C302F}"/>
    <dgm:cxn modelId="{916848B4-3A54-4440-85DC-836ED4722C0A}" type="presOf" srcId="{FE2B5121-FEDF-4205-90BE-6160D1CB0975}" destId="{D6EFDDC1-3C96-49C5-BAC0-2C0126D15D9D}" srcOrd="0" destOrd="0" presId="urn:microsoft.com/office/officeart/2005/8/layout/radial4"/>
    <dgm:cxn modelId="{DAE979B4-FBF4-4B91-B2D8-AFD21E34F9FF}" type="presOf" srcId="{888B5982-A1D2-44CD-9825-41EAA5AF9787}" destId="{7DBD7795-2350-4BC7-B18C-969FA56B61B0}" srcOrd="0" destOrd="0" presId="urn:microsoft.com/office/officeart/2005/8/layout/radial4"/>
    <dgm:cxn modelId="{8B2FD3C4-BB0E-41F8-A22A-62E3B6025B2A}" type="presOf" srcId="{E96CBA39-16C2-4884-B1DE-6FEA2512C5E1}" destId="{2FB080E2-C4A5-4C7B-BD55-C4CCE395D8C3}" srcOrd="0" destOrd="0" presId="urn:microsoft.com/office/officeart/2005/8/layout/radial4"/>
    <dgm:cxn modelId="{15FC85CE-BA59-45E2-A7AE-E33D6E65E8EC}" type="presOf" srcId="{3F5035F5-F667-490B-BD7C-F8B8309FAD7C}" destId="{E58415AC-EBF0-4A8D-94F6-40AF0CA106DF}" srcOrd="0" destOrd="0" presId="urn:microsoft.com/office/officeart/2005/8/layout/radial4"/>
    <dgm:cxn modelId="{DF1669D0-D7E1-4B56-AE34-8A69E1A26732}" srcId="{E96CBA39-16C2-4884-B1DE-6FEA2512C5E1}" destId="{5FF526C4-64F8-4F31-B53F-FC48D98C2DD9}" srcOrd="4" destOrd="0" parTransId="{680A751F-A3D8-4F8E-8C43-50B9E6459763}" sibTransId="{9044CB7C-4040-4272-A8F7-FD0076720D33}"/>
    <dgm:cxn modelId="{B17E15D9-4616-42E6-B5BD-EAB0C864F3AE}" srcId="{E96CBA39-16C2-4884-B1DE-6FEA2512C5E1}" destId="{FE2B5121-FEDF-4205-90BE-6160D1CB0975}" srcOrd="3" destOrd="0" parTransId="{B80992B9-9FDA-4589-950F-CF3261ECEB6E}" sibTransId="{67E88617-9E41-4AFB-8384-5C9A1EC3B084}"/>
    <dgm:cxn modelId="{064383DC-62FA-4E63-8402-A11B2CC48236}" srcId="{E96CBA39-16C2-4884-B1DE-6FEA2512C5E1}" destId="{CD83E50B-3D59-4ADC-B671-9E26F2730532}" srcOrd="5" destOrd="0" parTransId="{3E3B4D68-0280-47D6-AE0E-28B34DB8D307}" sibTransId="{68A70FAA-913E-491E-A6A0-C49706552A39}"/>
    <dgm:cxn modelId="{771165EA-B86E-4308-9545-439B502206D4}" type="presOf" srcId="{52B86FC9-ADCB-4646-931D-0BC6D7BFBE45}" destId="{D869D0EF-3867-4050-B4ED-65701607F968}" srcOrd="0" destOrd="0" presId="urn:microsoft.com/office/officeart/2005/8/layout/radial4"/>
    <dgm:cxn modelId="{0D190212-E038-45C2-B108-CBDE2284C87C}" type="presParOf" srcId="{FD50F836-A01A-4077-8262-0E66EFF14E48}" destId="{2FB080E2-C4A5-4C7B-BD55-C4CCE395D8C3}" srcOrd="0" destOrd="0" presId="urn:microsoft.com/office/officeart/2005/8/layout/radial4"/>
    <dgm:cxn modelId="{8C5AFB79-9114-43FA-817D-591E3A92C329}" type="presParOf" srcId="{FD50F836-A01A-4077-8262-0E66EFF14E48}" destId="{7DBD7795-2350-4BC7-B18C-969FA56B61B0}" srcOrd="1" destOrd="0" presId="urn:microsoft.com/office/officeart/2005/8/layout/radial4"/>
    <dgm:cxn modelId="{B4CF1E4A-B9CA-42A1-B2BA-058E0DEFA5D4}" type="presParOf" srcId="{FD50F836-A01A-4077-8262-0E66EFF14E48}" destId="{6C68B4ED-72EB-41EE-9D83-7B2B4D02203D}" srcOrd="2" destOrd="0" presId="urn:microsoft.com/office/officeart/2005/8/layout/radial4"/>
    <dgm:cxn modelId="{8C11652D-77E6-4E67-B6C8-E46769352B19}" type="presParOf" srcId="{FD50F836-A01A-4077-8262-0E66EFF14E48}" destId="{E58415AC-EBF0-4A8D-94F6-40AF0CA106DF}" srcOrd="3" destOrd="0" presId="urn:microsoft.com/office/officeart/2005/8/layout/radial4"/>
    <dgm:cxn modelId="{6257C7D9-C673-4941-858D-7C4B410C3C76}" type="presParOf" srcId="{FD50F836-A01A-4077-8262-0E66EFF14E48}" destId="{D869D0EF-3867-4050-B4ED-65701607F968}" srcOrd="4" destOrd="0" presId="urn:microsoft.com/office/officeart/2005/8/layout/radial4"/>
    <dgm:cxn modelId="{0A5E0875-E8F6-497B-BCE8-BC888DB37BC2}" type="presParOf" srcId="{FD50F836-A01A-4077-8262-0E66EFF14E48}" destId="{E125A3CA-FADD-4F20-B662-6F94505A6338}" srcOrd="5" destOrd="0" presId="urn:microsoft.com/office/officeart/2005/8/layout/radial4"/>
    <dgm:cxn modelId="{89601946-1AE2-4CCF-9F22-F90E19E7AF4A}" type="presParOf" srcId="{FD50F836-A01A-4077-8262-0E66EFF14E48}" destId="{1729A613-ECA3-43BE-8484-CB700A3A048C}" srcOrd="6" destOrd="0" presId="urn:microsoft.com/office/officeart/2005/8/layout/radial4"/>
    <dgm:cxn modelId="{0D08BFAA-93A3-4A61-B888-5E157AA0A2B5}" type="presParOf" srcId="{FD50F836-A01A-4077-8262-0E66EFF14E48}" destId="{E5E0D666-8A0A-4954-80EC-77D286CE323F}" srcOrd="7" destOrd="0" presId="urn:microsoft.com/office/officeart/2005/8/layout/radial4"/>
    <dgm:cxn modelId="{8DE188CE-9446-4402-828F-05CC5EDD5ACC}" type="presParOf" srcId="{FD50F836-A01A-4077-8262-0E66EFF14E48}" destId="{D6EFDDC1-3C96-49C5-BAC0-2C0126D15D9D}" srcOrd="8" destOrd="0" presId="urn:microsoft.com/office/officeart/2005/8/layout/radial4"/>
    <dgm:cxn modelId="{6CE0494B-8DDC-4C6E-A769-116387AF71B0}" type="presParOf" srcId="{FD50F836-A01A-4077-8262-0E66EFF14E48}" destId="{23A10D7B-8B75-4A9C-9EFC-FB9EBF74814A}" srcOrd="9" destOrd="0" presId="urn:microsoft.com/office/officeart/2005/8/layout/radial4"/>
    <dgm:cxn modelId="{D63D5295-EECE-4332-98DA-B1376A72AB39}" type="presParOf" srcId="{FD50F836-A01A-4077-8262-0E66EFF14E48}" destId="{1E240375-9B7D-485B-810A-61294FA701A9}" srcOrd="10" destOrd="0" presId="urn:microsoft.com/office/officeart/2005/8/layout/radial4"/>
    <dgm:cxn modelId="{6C7BE1C0-C4CF-493B-8DDC-59CEE9980FC1}" type="presParOf" srcId="{FD50F836-A01A-4077-8262-0E66EFF14E48}" destId="{93BBDF70-D9BD-4A0A-84C9-5AC62E9056C9}" srcOrd="11" destOrd="0" presId="urn:microsoft.com/office/officeart/2005/8/layout/radial4"/>
    <dgm:cxn modelId="{E2D9B6FB-B516-409D-AB10-0D069B80EA7B}" type="presParOf" srcId="{FD50F836-A01A-4077-8262-0E66EFF14E48}" destId="{2FDE60FA-BD0F-47A1-93AE-689B8D834EED}" srcOrd="12" destOrd="0" presId="urn:microsoft.com/office/officeart/2005/8/layout/radial4"/>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23E2A86-D6A3-4482-AA9A-BF1477B3911E}" type="doc">
      <dgm:prSet loTypeId="urn:microsoft.com/office/officeart/2005/8/layout/radial4" loCatId="relationship" qsTypeId="urn:microsoft.com/office/officeart/2005/8/quickstyle/simple1" qsCatId="simple" csTypeId="urn:microsoft.com/office/officeart/2005/8/colors/accent1_2" csCatId="accent1" phldr="1"/>
      <dgm:spPr/>
      <dgm:t>
        <a:bodyPr/>
        <a:lstStyle/>
        <a:p>
          <a:endParaRPr lang="en-IN"/>
        </a:p>
      </dgm:t>
    </dgm:pt>
    <dgm:pt modelId="{E96CBA39-16C2-4884-B1DE-6FEA2512C5E1}">
      <dgm:prSet phldrT="[Text]"/>
      <dgm:spPr/>
      <dgm:t>
        <a:bodyPr/>
        <a:lstStyle/>
        <a:p>
          <a:r>
            <a:rPr lang="en-IN"/>
            <a:t>K, L Unit &amp; 17, 19, 22, 23 Plot Filling Total = 2643 CUM</a:t>
          </a:r>
        </a:p>
      </dgm:t>
    </dgm:pt>
    <dgm:pt modelId="{E8CFD710-2972-4E47-A8CB-8A8835EC3BF0}" type="parTrans" cxnId="{3CABD600-2B0E-46D5-8B30-43D69A73B64C}">
      <dgm:prSet/>
      <dgm:spPr/>
      <dgm:t>
        <a:bodyPr/>
        <a:lstStyle/>
        <a:p>
          <a:endParaRPr lang="en-IN"/>
        </a:p>
      </dgm:t>
    </dgm:pt>
    <dgm:pt modelId="{64C8D2E6-B4DB-4D9E-9594-E0ADBC469DD4}" type="sibTrans" cxnId="{3CABD600-2B0E-46D5-8B30-43D69A73B64C}">
      <dgm:prSet/>
      <dgm:spPr/>
      <dgm:t>
        <a:bodyPr/>
        <a:lstStyle/>
        <a:p>
          <a:endParaRPr lang="en-IN"/>
        </a:p>
      </dgm:t>
    </dgm:pt>
    <dgm:pt modelId="{B0D421EE-BF9D-4C0F-8360-092B7A49BAEB}">
      <dgm:prSet phldrT="[Text]"/>
      <dgm:spPr/>
      <dgm:t>
        <a:bodyPr/>
        <a:lstStyle/>
        <a:p>
          <a:r>
            <a:rPr lang="en-IN"/>
            <a:t>Plot-16   217 CUM</a:t>
          </a:r>
        </a:p>
      </dgm:t>
    </dgm:pt>
    <dgm:pt modelId="{888B5982-A1D2-44CD-9825-41EAA5AF9787}" type="parTrans" cxnId="{9CA7BB1E-5BC9-42AF-B0C8-29206C6557FA}">
      <dgm:prSet/>
      <dgm:spPr/>
      <dgm:t>
        <a:bodyPr/>
        <a:lstStyle/>
        <a:p>
          <a:endParaRPr lang="en-IN"/>
        </a:p>
      </dgm:t>
    </dgm:pt>
    <dgm:pt modelId="{51A3F545-A744-4152-B08C-A0A2B4F7BC19}" type="sibTrans" cxnId="{9CA7BB1E-5BC9-42AF-B0C8-29206C6557FA}">
      <dgm:prSet/>
      <dgm:spPr/>
      <dgm:t>
        <a:bodyPr/>
        <a:lstStyle/>
        <a:p>
          <a:endParaRPr lang="en-IN"/>
        </a:p>
      </dgm:t>
    </dgm:pt>
    <dgm:pt modelId="{52B86FC9-ADCB-4646-931D-0BC6D7BFBE45}">
      <dgm:prSet phldrT="[Text]"/>
      <dgm:spPr/>
      <dgm:t>
        <a:bodyPr/>
        <a:lstStyle/>
        <a:p>
          <a:r>
            <a:rPr lang="en-IN"/>
            <a:t>Plot-18    192 CUM</a:t>
          </a:r>
        </a:p>
      </dgm:t>
    </dgm:pt>
    <dgm:pt modelId="{3F5035F5-F667-490B-BD7C-F8B8309FAD7C}" type="parTrans" cxnId="{76B0417C-C59D-4706-86A5-E71F3568379F}">
      <dgm:prSet/>
      <dgm:spPr/>
      <dgm:t>
        <a:bodyPr/>
        <a:lstStyle/>
        <a:p>
          <a:endParaRPr lang="en-IN"/>
        </a:p>
      </dgm:t>
    </dgm:pt>
    <dgm:pt modelId="{58FB1A64-F001-4C70-B04B-E5A688C44700}" type="sibTrans" cxnId="{76B0417C-C59D-4706-86A5-E71F3568379F}">
      <dgm:prSet/>
      <dgm:spPr/>
      <dgm:t>
        <a:bodyPr/>
        <a:lstStyle/>
        <a:p>
          <a:endParaRPr lang="en-IN"/>
        </a:p>
      </dgm:t>
    </dgm:pt>
    <dgm:pt modelId="{DAA24941-B641-430E-884A-FF90A59BDADF}">
      <dgm:prSet phldrT="[Text]"/>
      <dgm:spPr/>
      <dgm:t>
        <a:bodyPr/>
        <a:lstStyle/>
        <a:p>
          <a:r>
            <a:rPr lang="en-IN"/>
            <a:t>Plot-20   92 CUM</a:t>
          </a:r>
        </a:p>
      </dgm:t>
    </dgm:pt>
    <dgm:pt modelId="{F38B7811-E17E-47BC-937F-E55E50498197}" type="parTrans" cxnId="{11C077A6-EA62-431B-A9D9-CE191B5D9028}">
      <dgm:prSet/>
      <dgm:spPr/>
      <dgm:t>
        <a:bodyPr/>
        <a:lstStyle/>
        <a:p>
          <a:endParaRPr lang="en-IN"/>
        </a:p>
      </dgm:t>
    </dgm:pt>
    <dgm:pt modelId="{DB8DDE04-5116-4DE5-848B-06F42D8C302F}" type="sibTrans" cxnId="{11C077A6-EA62-431B-A9D9-CE191B5D9028}">
      <dgm:prSet/>
      <dgm:spPr/>
      <dgm:t>
        <a:bodyPr/>
        <a:lstStyle/>
        <a:p>
          <a:endParaRPr lang="en-IN"/>
        </a:p>
      </dgm:t>
    </dgm:pt>
    <dgm:pt modelId="{CD83E50B-3D59-4ADC-B671-9E26F2730532}">
      <dgm:prSet phldrT="[Text]"/>
      <dgm:spPr/>
      <dgm:t>
        <a:bodyPr/>
        <a:lstStyle/>
        <a:p>
          <a:r>
            <a:rPr lang="en-IN"/>
            <a:t>Total Cutting = 1036</a:t>
          </a:r>
        </a:p>
      </dgm:t>
    </dgm:pt>
    <dgm:pt modelId="{3E3B4D68-0280-47D6-AE0E-28B34DB8D307}" type="parTrans" cxnId="{064383DC-62FA-4E63-8402-A11B2CC48236}">
      <dgm:prSet/>
      <dgm:spPr/>
      <dgm:t>
        <a:bodyPr/>
        <a:lstStyle/>
        <a:p>
          <a:endParaRPr lang="en-IN"/>
        </a:p>
      </dgm:t>
    </dgm:pt>
    <dgm:pt modelId="{68A70FAA-913E-491E-A6A0-C49706552A39}" type="sibTrans" cxnId="{064383DC-62FA-4E63-8402-A11B2CC48236}">
      <dgm:prSet/>
      <dgm:spPr/>
      <dgm:t>
        <a:bodyPr/>
        <a:lstStyle/>
        <a:p>
          <a:endParaRPr lang="en-IN"/>
        </a:p>
      </dgm:t>
    </dgm:pt>
    <dgm:pt modelId="{FE2B5121-FEDF-4205-90BE-6160D1CB0975}">
      <dgm:prSet phldrT="[Text]"/>
      <dgm:spPr/>
      <dgm:t>
        <a:bodyPr/>
        <a:lstStyle/>
        <a:p>
          <a:r>
            <a:rPr lang="en-IN"/>
            <a:t>Plot-21    118 CUM</a:t>
          </a:r>
        </a:p>
      </dgm:t>
    </dgm:pt>
    <dgm:pt modelId="{B80992B9-9FDA-4589-950F-CF3261ECEB6E}" type="parTrans" cxnId="{B17E15D9-4616-42E6-B5BD-EAB0C864F3AE}">
      <dgm:prSet/>
      <dgm:spPr/>
      <dgm:t>
        <a:bodyPr/>
        <a:lstStyle/>
        <a:p>
          <a:endParaRPr lang="en-IN"/>
        </a:p>
      </dgm:t>
    </dgm:pt>
    <dgm:pt modelId="{67E88617-9E41-4AFB-8384-5C9A1EC3B084}" type="sibTrans" cxnId="{B17E15D9-4616-42E6-B5BD-EAB0C864F3AE}">
      <dgm:prSet/>
      <dgm:spPr/>
      <dgm:t>
        <a:bodyPr/>
        <a:lstStyle/>
        <a:p>
          <a:endParaRPr lang="en-IN"/>
        </a:p>
      </dgm:t>
    </dgm:pt>
    <dgm:pt modelId="{5FF526C4-64F8-4F31-B53F-FC48D98C2DD9}">
      <dgm:prSet phldrT="[Text]"/>
      <dgm:spPr/>
      <dgm:t>
        <a:bodyPr/>
        <a:lstStyle/>
        <a:p>
          <a:r>
            <a:rPr lang="en-IN"/>
            <a:t>Plot-24   82 CUM</a:t>
          </a:r>
        </a:p>
      </dgm:t>
    </dgm:pt>
    <dgm:pt modelId="{680A751F-A3D8-4F8E-8C43-50B9E6459763}" type="parTrans" cxnId="{DF1669D0-D7E1-4B56-AE34-8A69E1A26732}">
      <dgm:prSet/>
      <dgm:spPr/>
      <dgm:t>
        <a:bodyPr/>
        <a:lstStyle/>
        <a:p>
          <a:endParaRPr lang="en-IN"/>
        </a:p>
      </dgm:t>
    </dgm:pt>
    <dgm:pt modelId="{9044CB7C-4040-4272-A8F7-FD0076720D33}" type="sibTrans" cxnId="{DF1669D0-D7E1-4B56-AE34-8A69E1A26732}">
      <dgm:prSet/>
      <dgm:spPr/>
      <dgm:t>
        <a:bodyPr/>
        <a:lstStyle/>
        <a:p>
          <a:endParaRPr lang="en-IN"/>
        </a:p>
      </dgm:t>
    </dgm:pt>
    <dgm:pt modelId="{E63BC491-9DDB-42F7-A06D-AC316E229BE0}">
      <dgm:prSet phldrT="[Text]"/>
      <dgm:spPr/>
      <dgm:t>
        <a:bodyPr/>
        <a:lstStyle/>
        <a:p>
          <a:r>
            <a:rPr lang="en-IN"/>
            <a:t>Plot-25  332 CUM</a:t>
          </a:r>
        </a:p>
      </dgm:t>
    </dgm:pt>
    <dgm:pt modelId="{B34451E4-3D5A-480D-87A0-05B2B9B16829}" type="parTrans" cxnId="{A87C6810-7168-40C4-AE51-5E07B76ACC44}">
      <dgm:prSet/>
      <dgm:spPr/>
      <dgm:t>
        <a:bodyPr/>
        <a:lstStyle/>
        <a:p>
          <a:endParaRPr lang="en-IN"/>
        </a:p>
      </dgm:t>
    </dgm:pt>
    <dgm:pt modelId="{8FBCF0EE-7BAE-4298-9EF8-A379301EE2D1}" type="sibTrans" cxnId="{A87C6810-7168-40C4-AE51-5E07B76ACC44}">
      <dgm:prSet/>
      <dgm:spPr/>
      <dgm:t>
        <a:bodyPr/>
        <a:lstStyle/>
        <a:p>
          <a:endParaRPr lang="en-IN"/>
        </a:p>
      </dgm:t>
    </dgm:pt>
    <dgm:pt modelId="{FD50F836-A01A-4077-8262-0E66EFF14E48}" type="pres">
      <dgm:prSet presAssocID="{523E2A86-D6A3-4482-AA9A-BF1477B3911E}" presName="cycle" presStyleCnt="0">
        <dgm:presLayoutVars>
          <dgm:chMax val="1"/>
          <dgm:dir/>
          <dgm:animLvl val="ctr"/>
          <dgm:resizeHandles val="exact"/>
        </dgm:presLayoutVars>
      </dgm:prSet>
      <dgm:spPr/>
    </dgm:pt>
    <dgm:pt modelId="{2FB080E2-C4A5-4C7B-BD55-C4CCE395D8C3}" type="pres">
      <dgm:prSet presAssocID="{E96CBA39-16C2-4884-B1DE-6FEA2512C5E1}" presName="centerShape" presStyleLbl="node0" presStyleIdx="0" presStyleCnt="1" custScaleX="105223" custScaleY="76815"/>
      <dgm:spPr/>
    </dgm:pt>
    <dgm:pt modelId="{7DBD7795-2350-4BC7-B18C-969FA56B61B0}" type="pres">
      <dgm:prSet presAssocID="{888B5982-A1D2-44CD-9825-41EAA5AF9787}" presName="parTrans" presStyleLbl="bgSibTrans2D1" presStyleIdx="0" presStyleCnt="7"/>
      <dgm:spPr/>
    </dgm:pt>
    <dgm:pt modelId="{6C68B4ED-72EB-41EE-9D83-7B2B4D02203D}" type="pres">
      <dgm:prSet presAssocID="{B0D421EE-BF9D-4C0F-8360-092B7A49BAEB}" presName="node" presStyleLbl="node1" presStyleIdx="0" presStyleCnt="7">
        <dgm:presLayoutVars>
          <dgm:bulletEnabled val="1"/>
        </dgm:presLayoutVars>
      </dgm:prSet>
      <dgm:spPr/>
    </dgm:pt>
    <dgm:pt modelId="{E58415AC-EBF0-4A8D-94F6-40AF0CA106DF}" type="pres">
      <dgm:prSet presAssocID="{3F5035F5-F667-490B-BD7C-F8B8309FAD7C}" presName="parTrans" presStyleLbl="bgSibTrans2D1" presStyleIdx="1" presStyleCnt="7"/>
      <dgm:spPr/>
    </dgm:pt>
    <dgm:pt modelId="{D869D0EF-3867-4050-B4ED-65701607F968}" type="pres">
      <dgm:prSet presAssocID="{52B86FC9-ADCB-4646-931D-0BC6D7BFBE45}" presName="node" presStyleLbl="node1" presStyleIdx="1" presStyleCnt="7">
        <dgm:presLayoutVars>
          <dgm:bulletEnabled val="1"/>
        </dgm:presLayoutVars>
      </dgm:prSet>
      <dgm:spPr/>
    </dgm:pt>
    <dgm:pt modelId="{E125A3CA-FADD-4F20-B662-6F94505A6338}" type="pres">
      <dgm:prSet presAssocID="{F38B7811-E17E-47BC-937F-E55E50498197}" presName="parTrans" presStyleLbl="bgSibTrans2D1" presStyleIdx="2" presStyleCnt="7"/>
      <dgm:spPr/>
    </dgm:pt>
    <dgm:pt modelId="{1729A613-ECA3-43BE-8484-CB700A3A048C}" type="pres">
      <dgm:prSet presAssocID="{DAA24941-B641-430E-884A-FF90A59BDADF}" presName="node" presStyleLbl="node1" presStyleIdx="2" presStyleCnt="7">
        <dgm:presLayoutVars>
          <dgm:bulletEnabled val="1"/>
        </dgm:presLayoutVars>
      </dgm:prSet>
      <dgm:spPr/>
    </dgm:pt>
    <dgm:pt modelId="{E5E0D666-8A0A-4954-80EC-77D286CE323F}" type="pres">
      <dgm:prSet presAssocID="{B80992B9-9FDA-4589-950F-CF3261ECEB6E}" presName="parTrans" presStyleLbl="bgSibTrans2D1" presStyleIdx="3" presStyleCnt="7"/>
      <dgm:spPr/>
    </dgm:pt>
    <dgm:pt modelId="{D6EFDDC1-3C96-49C5-BAC0-2C0126D15D9D}" type="pres">
      <dgm:prSet presAssocID="{FE2B5121-FEDF-4205-90BE-6160D1CB0975}" presName="node" presStyleLbl="node1" presStyleIdx="3" presStyleCnt="7">
        <dgm:presLayoutVars>
          <dgm:bulletEnabled val="1"/>
        </dgm:presLayoutVars>
      </dgm:prSet>
      <dgm:spPr/>
    </dgm:pt>
    <dgm:pt modelId="{23A10D7B-8B75-4A9C-9EFC-FB9EBF74814A}" type="pres">
      <dgm:prSet presAssocID="{680A751F-A3D8-4F8E-8C43-50B9E6459763}" presName="parTrans" presStyleLbl="bgSibTrans2D1" presStyleIdx="4" presStyleCnt="7"/>
      <dgm:spPr/>
    </dgm:pt>
    <dgm:pt modelId="{1E240375-9B7D-485B-810A-61294FA701A9}" type="pres">
      <dgm:prSet presAssocID="{5FF526C4-64F8-4F31-B53F-FC48D98C2DD9}" presName="node" presStyleLbl="node1" presStyleIdx="4" presStyleCnt="7">
        <dgm:presLayoutVars>
          <dgm:bulletEnabled val="1"/>
        </dgm:presLayoutVars>
      </dgm:prSet>
      <dgm:spPr/>
    </dgm:pt>
    <dgm:pt modelId="{0615BB54-5005-43B8-A5DB-DF63843997D0}" type="pres">
      <dgm:prSet presAssocID="{B34451E4-3D5A-480D-87A0-05B2B9B16829}" presName="parTrans" presStyleLbl="bgSibTrans2D1" presStyleIdx="5" presStyleCnt="7"/>
      <dgm:spPr/>
    </dgm:pt>
    <dgm:pt modelId="{068F369B-E0D5-4161-A0F5-9249CC3B7189}" type="pres">
      <dgm:prSet presAssocID="{E63BC491-9DDB-42F7-A06D-AC316E229BE0}" presName="node" presStyleLbl="node1" presStyleIdx="5" presStyleCnt="7">
        <dgm:presLayoutVars>
          <dgm:bulletEnabled val="1"/>
        </dgm:presLayoutVars>
      </dgm:prSet>
      <dgm:spPr/>
    </dgm:pt>
    <dgm:pt modelId="{93BBDF70-D9BD-4A0A-84C9-5AC62E9056C9}" type="pres">
      <dgm:prSet presAssocID="{3E3B4D68-0280-47D6-AE0E-28B34DB8D307}" presName="parTrans" presStyleLbl="bgSibTrans2D1" presStyleIdx="6" presStyleCnt="7"/>
      <dgm:spPr/>
    </dgm:pt>
    <dgm:pt modelId="{2FDE60FA-BD0F-47A1-93AE-689B8D834EED}" type="pres">
      <dgm:prSet presAssocID="{CD83E50B-3D59-4ADC-B671-9E26F2730532}" presName="node" presStyleLbl="node1" presStyleIdx="6" presStyleCnt="7">
        <dgm:presLayoutVars>
          <dgm:bulletEnabled val="1"/>
        </dgm:presLayoutVars>
      </dgm:prSet>
      <dgm:spPr/>
    </dgm:pt>
  </dgm:ptLst>
  <dgm:cxnLst>
    <dgm:cxn modelId="{3CABD600-2B0E-46D5-8B30-43D69A73B64C}" srcId="{523E2A86-D6A3-4482-AA9A-BF1477B3911E}" destId="{E96CBA39-16C2-4884-B1DE-6FEA2512C5E1}" srcOrd="0" destOrd="0" parTransId="{E8CFD710-2972-4E47-A8CB-8A8835EC3BF0}" sibTransId="{64C8D2E6-B4DB-4D9E-9594-E0ADBC469DD4}"/>
    <dgm:cxn modelId="{A87C6810-7168-40C4-AE51-5E07B76ACC44}" srcId="{E96CBA39-16C2-4884-B1DE-6FEA2512C5E1}" destId="{E63BC491-9DDB-42F7-A06D-AC316E229BE0}" srcOrd="5" destOrd="0" parTransId="{B34451E4-3D5A-480D-87A0-05B2B9B16829}" sibTransId="{8FBCF0EE-7BAE-4298-9EF8-A379301EE2D1}"/>
    <dgm:cxn modelId="{9CA7BB1E-5BC9-42AF-B0C8-29206C6557FA}" srcId="{E96CBA39-16C2-4884-B1DE-6FEA2512C5E1}" destId="{B0D421EE-BF9D-4C0F-8360-092B7A49BAEB}" srcOrd="0" destOrd="0" parTransId="{888B5982-A1D2-44CD-9825-41EAA5AF9787}" sibTransId="{51A3F545-A744-4152-B08C-A0A2B4F7BC19}"/>
    <dgm:cxn modelId="{88EF6F33-0C0B-42FE-AF2C-A5C25391E9F0}" type="presOf" srcId="{B0D421EE-BF9D-4C0F-8360-092B7A49BAEB}" destId="{6C68B4ED-72EB-41EE-9D83-7B2B4D02203D}" srcOrd="0" destOrd="0" presId="urn:microsoft.com/office/officeart/2005/8/layout/radial4"/>
    <dgm:cxn modelId="{F456B933-B201-4716-8BF0-6AA50129D67D}" type="presOf" srcId="{3E3B4D68-0280-47D6-AE0E-28B34DB8D307}" destId="{93BBDF70-D9BD-4A0A-84C9-5AC62E9056C9}" srcOrd="0" destOrd="0" presId="urn:microsoft.com/office/officeart/2005/8/layout/radial4"/>
    <dgm:cxn modelId="{9A1E043F-D0AE-49D8-9953-D52C09ECC2EC}" type="presOf" srcId="{B34451E4-3D5A-480D-87A0-05B2B9B16829}" destId="{0615BB54-5005-43B8-A5DB-DF63843997D0}" srcOrd="0" destOrd="0" presId="urn:microsoft.com/office/officeart/2005/8/layout/radial4"/>
    <dgm:cxn modelId="{79603B3F-9DC9-4534-894B-197E9573999C}" type="presOf" srcId="{CD83E50B-3D59-4ADC-B671-9E26F2730532}" destId="{2FDE60FA-BD0F-47A1-93AE-689B8D834EED}" srcOrd="0" destOrd="0" presId="urn:microsoft.com/office/officeart/2005/8/layout/radial4"/>
    <dgm:cxn modelId="{7C7DA667-8CAA-40D5-BDB0-7B4A7055EEB2}" type="presOf" srcId="{523E2A86-D6A3-4482-AA9A-BF1477B3911E}" destId="{FD50F836-A01A-4077-8262-0E66EFF14E48}" srcOrd="0" destOrd="0" presId="urn:microsoft.com/office/officeart/2005/8/layout/radial4"/>
    <dgm:cxn modelId="{15317772-923F-46AA-8214-6823CE4C1F17}" type="presOf" srcId="{F38B7811-E17E-47BC-937F-E55E50498197}" destId="{E125A3CA-FADD-4F20-B662-6F94505A6338}" srcOrd="0" destOrd="0" presId="urn:microsoft.com/office/officeart/2005/8/layout/radial4"/>
    <dgm:cxn modelId="{74F36D56-AB4D-4F57-9485-0BBFBD6AAD64}" type="presOf" srcId="{680A751F-A3D8-4F8E-8C43-50B9E6459763}" destId="{23A10D7B-8B75-4A9C-9EFC-FB9EBF74814A}" srcOrd="0" destOrd="0" presId="urn:microsoft.com/office/officeart/2005/8/layout/radial4"/>
    <dgm:cxn modelId="{76B0417C-C59D-4706-86A5-E71F3568379F}" srcId="{E96CBA39-16C2-4884-B1DE-6FEA2512C5E1}" destId="{52B86FC9-ADCB-4646-931D-0BC6D7BFBE45}" srcOrd="1" destOrd="0" parTransId="{3F5035F5-F667-490B-BD7C-F8B8309FAD7C}" sibTransId="{58FB1A64-F001-4C70-B04B-E5A688C44700}"/>
    <dgm:cxn modelId="{250C5D84-C8AB-43F8-A697-E23F3F093D10}" type="presOf" srcId="{DAA24941-B641-430E-884A-FF90A59BDADF}" destId="{1729A613-ECA3-43BE-8484-CB700A3A048C}" srcOrd="0" destOrd="0" presId="urn:microsoft.com/office/officeart/2005/8/layout/radial4"/>
    <dgm:cxn modelId="{8F5B7988-4E50-4858-BD32-61C29AAAD21D}" type="presOf" srcId="{5FF526C4-64F8-4F31-B53F-FC48D98C2DD9}" destId="{1E240375-9B7D-485B-810A-61294FA701A9}" srcOrd="0" destOrd="0" presId="urn:microsoft.com/office/officeart/2005/8/layout/radial4"/>
    <dgm:cxn modelId="{2F398897-B731-4918-A874-5DB427390D33}" type="presOf" srcId="{E63BC491-9DDB-42F7-A06D-AC316E229BE0}" destId="{068F369B-E0D5-4161-A0F5-9249CC3B7189}" srcOrd="0" destOrd="0" presId="urn:microsoft.com/office/officeart/2005/8/layout/radial4"/>
    <dgm:cxn modelId="{08DB039F-3149-40A7-9047-62C8D2F31A9B}" type="presOf" srcId="{B80992B9-9FDA-4589-950F-CF3261ECEB6E}" destId="{E5E0D666-8A0A-4954-80EC-77D286CE323F}" srcOrd="0" destOrd="0" presId="urn:microsoft.com/office/officeart/2005/8/layout/radial4"/>
    <dgm:cxn modelId="{11C077A6-EA62-431B-A9D9-CE191B5D9028}" srcId="{E96CBA39-16C2-4884-B1DE-6FEA2512C5E1}" destId="{DAA24941-B641-430E-884A-FF90A59BDADF}" srcOrd="2" destOrd="0" parTransId="{F38B7811-E17E-47BC-937F-E55E50498197}" sibTransId="{DB8DDE04-5116-4DE5-848B-06F42D8C302F}"/>
    <dgm:cxn modelId="{916848B4-3A54-4440-85DC-836ED4722C0A}" type="presOf" srcId="{FE2B5121-FEDF-4205-90BE-6160D1CB0975}" destId="{D6EFDDC1-3C96-49C5-BAC0-2C0126D15D9D}" srcOrd="0" destOrd="0" presId="urn:microsoft.com/office/officeart/2005/8/layout/radial4"/>
    <dgm:cxn modelId="{DAE979B4-FBF4-4B91-B2D8-AFD21E34F9FF}" type="presOf" srcId="{888B5982-A1D2-44CD-9825-41EAA5AF9787}" destId="{7DBD7795-2350-4BC7-B18C-969FA56B61B0}" srcOrd="0" destOrd="0" presId="urn:microsoft.com/office/officeart/2005/8/layout/radial4"/>
    <dgm:cxn modelId="{8B2FD3C4-BB0E-41F8-A22A-62E3B6025B2A}" type="presOf" srcId="{E96CBA39-16C2-4884-B1DE-6FEA2512C5E1}" destId="{2FB080E2-C4A5-4C7B-BD55-C4CCE395D8C3}" srcOrd="0" destOrd="0" presId="urn:microsoft.com/office/officeart/2005/8/layout/radial4"/>
    <dgm:cxn modelId="{15FC85CE-BA59-45E2-A7AE-E33D6E65E8EC}" type="presOf" srcId="{3F5035F5-F667-490B-BD7C-F8B8309FAD7C}" destId="{E58415AC-EBF0-4A8D-94F6-40AF0CA106DF}" srcOrd="0" destOrd="0" presId="urn:microsoft.com/office/officeart/2005/8/layout/radial4"/>
    <dgm:cxn modelId="{DF1669D0-D7E1-4B56-AE34-8A69E1A26732}" srcId="{E96CBA39-16C2-4884-B1DE-6FEA2512C5E1}" destId="{5FF526C4-64F8-4F31-B53F-FC48D98C2DD9}" srcOrd="4" destOrd="0" parTransId="{680A751F-A3D8-4F8E-8C43-50B9E6459763}" sibTransId="{9044CB7C-4040-4272-A8F7-FD0076720D33}"/>
    <dgm:cxn modelId="{B17E15D9-4616-42E6-B5BD-EAB0C864F3AE}" srcId="{E96CBA39-16C2-4884-B1DE-6FEA2512C5E1}" destId="{FE2B5121-FEDF-4205-90BE-6160D1CB0975}" srcOrd="3" destOrd="0" parTransId="{B80992B9-9FDA-4589-950F-CF3261ECEB6E}" sibTransId="{67E88617-9E41-4AFB-8384-5C9A1EC3B084}"/>
    <dgm:cxn modelId="{064383DC-62FA-4E63-8402-A11B2CC48236}" srcId="{E96CBA39-16C2-4884-B1DE-6FEA2512C5E1}" destId="{CD83E50B-3D59-4ADC-B671-9E26F2730532}" srcOrd="6" destOrd="0" parTransId="{3E3B4D68-0280-47D6-AE0E-28B34DB8D307}" sibTransId="{68A70FAA-913E-491E-A6A0-C49706552A39}"/>
    <dgm:cxn modelId="{771165EA-B86E-4308-9545-439B502206D4}" type="presOf" srcId="{52B86FC9-ADCB-4646-931D-0BC6D7BFBE45}" destId="{D869D0EF-3867-4050-B4ED-65701607F968}" srcOrd="0" destOrd="0" presId="urn:microsoft.com/office/officeart/2005/8/layout/radial4"/>
    <dgm:cxn modelId="{0D190212-E038-45C2-B108-CBDE2284C87C}" type="presParOf" srcId="{FD50F836-A01A-4077-8262-0E66EFF14E48}" destId="{2FB080E2-C4A5-4C7B-BD55-C4CCE395D8C3}" srcOrd="0" destOrd="0" presId="urn:microsoft.com/office/officeart/2005/8/layout/radial4"/>
    <dgm:cxn modelId="{8C5AFB79-9114-43FA-817D-591E3A92C329}" type="presParOf" srcId="{FD50F836-A01A-4077-8262-0E66EFF14E48}" destId="{7DBD7795-2350-4BC7-B18C-969FA56B61B0}" srcOrd="1" destOrd="0" presId="urn:microsoft.com/office/officeart/2005/8/layout/radial4"/>
    <dgm:cxn modelId="{B4CF1E4A-B9CA-42A1-B2BA-058E0DEFA5D4}" type="presParOf" srcId="{FD50F836-A01A-4077-8262-0E66EFF14E48}" destId="{6C68B4ED-72EB-41EE-9D83-7B2B4D02203D}" srcOrd="2" destOrd="0" presId="urn:microsoft.com/office/officeart/2005/8/layout/radial4"/>
    <dgm:cxn modelId="{8C11652D-77E6-4E67-B6C8-E46769352B19}" type="presParOf" srcId="{FD50F836-A01A-4077-8262-0E66EFF14E48}" destId="{E58415AC-EBF0-4A8D-94F6-40AF0CA106DF}" srcOrd="3" destOrd="0" presId="urn:microsoft.com/office/officeart/2005/8/layout/radial4"/>
    <dgm:cxn modelId="{6257C7D9-C673-4941-858D-7C4B410C3C76}" type="presParOf" srcId="{FD50F836-A01A-4077-8262-0E66EFF14E48}" destId="{D869D0EF-3867-4050-B4ED-65701607F968}" srcOrd="4" destOrd="0" presId="urn:microsoft.com/office/officeart/2005/8/layout/radial4"/>
    <dgm:cxn modelId="{0A5E0875-E8F6-497B-BCE8-BC888DB37BC2}" type="presParOf" srcId="{FD50F836-A01A-4077-8262-0E66EFF14E48}" destId="{E125A3CA-FADD-4F20-B662-6F94505A6338}" srcOrd="5" destOrd="0" presId="urn:microsoft.com/office/officeart/2005/8/layout/radial4"/>
    <dgm:cxn modelId="{89601946-1AE2-4CCF-9F22-F90E19E7AF4A}" type="presParOf" srcId="{FD50F836-A01A-4077-8262-0E66EFF14E48}" destId="{1729A613-ECA3-43BE-8484-CB700A3A048C}" srcOrd="6" destOrd="0" presId="urn:microsoft.com/office/officeart/2005/8/layout/radial4"/>
    <dgm:cxn modelId="{0D08BFAA-93A3-4A61-B888-5E157AA0A2B5}" type="presParOf" srcId="{FD50F836-A01A-4077-8262-0E66EFF14E48}" destId="{E5E0D666-8A0A-4954-80EC-77D286CE323F}" srcOrd="7" destOrd="0" presId="urn:microsoft.com/office/officeart/2005/8/layout/radial4"/>
    <dgm:cxn modelId="{8DE188CE-9446-4402-828F-05CC5EDD5ACC}" type="presParOf" srcId="{FD50F836-A01A-4077-8262-0E66EFF14E48}" destId="{D6EFDDC1-3C96-49C5-BAC0-2C0126D15D9D}" srcOrd="8" destOrd="0" presId="urn:microsoft.com/office/officeart/2005/8/layout/radial4"/>
    <dgm:cxn modelId="{6CE0494B-8DDC-4C6E-A769-116387AF71B0}" type="presParOf" srcId="{FD50F836-A01A-4077-8262-0E66EFF14E48}" destId="{23A10D7B-8B75-4A9C-9EFC-FB9EBF74814A}" srcOrd="9" destOrd="0" presId="urn:microsoft.com/office/officeart/2005/8/layout/radial4"/>
    <dgm:cxn modelId="{D63D5295-EECE-4332-98DA-B1376A72AB39}" type="presParOf" srcId="{FD50F836-A01A-4077-8262-0E66EFF14E48}" destId="{1E240375-9B7D-485B-810A-61294FA701A9}" srcOrd="10" destOrd="0" presId="urn:microsoft.com/office/officeart/2005/8/layout/radial4"/>
    <dgm:cxn modelId="{C3D95684-7356-4D8D-B7F8-598F1FF6438F}" type="presParOf" srcId="{FD50F836-A01A-4077-8262-0E66EFF14E48}" destId="{0615BB54-5005-43B8-A5DB-DF63843997D0}" srcOrd="11" destOrd="0" presId="urn:microsoft.com/office/officeart/2005/8/layout/radial4"/>
    <dgm:cxn modelId="{7C8EFD85-1FDE-43F8-B2DB-8C559F795875}" type="presParOf" srcId="{FD50F836-A01A-4077-8262-0E66EFF14E48}" destId="{068F369B-E0D5-4161-A0F5-9249CC3B7189}" srcOrd="12" destOrd="0" presId="urn:microsoft.com/office/officeart/2005/8/layout/radial4"/>
    <dgm:cxn modelId="{6C7BE1C0-C4CF-493B-8DDC-59CEE9980FC1}" type="presParOf" srcId="{FD50F836-A01A-4077-8262-0E66EFF14E48}" destId="{93BBDF70-D9BD-4A0A-84C9-5AC62E9056C9}" srcOrd="13" destOrd="0" presId="urn:microsoft.com/office/officeart/2005/8/layout/radial4"/>
    <dgm:cxn modelId="{E2D9B6FB-B516-409D-AB10-0D069B80EA7B}" type="presParOf" srcId="{FD50F836-A01A-4077-8262-0E66EFF14E48}" destId="{2FDE60FA-BD0F-47A1-93AE-689B8D834EED}" srcOrd="14" destOrd="0" presId="urn:microsoft.com/office/officeart/2005/8/layout/radial4"/>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523E2A86-D6A3-4482-AA9A-BF1477B3911E}" type="doc">
      <dgm:prSet loTypeId="urn:microsoft.com/office/officeart/2005/8/layout/radial4" loCatId="relationship" qsTypeId="urn:microsoft.com/office/officeart/2005/8/quickstyle/simple1" qsCatId="simple" csTypeId="urn:microsoft.com/office/officeart/2005/8/colors/accent1_2" csCatId="accent1" phldr="1"/>
      <dgm:spPr/>
      <dgm:t>
        <a:bodyPr/>
        <a:lstStyle/>
        <a:p>
          <a:endParaRPr lang="en-IN"/>
        </a:p>
      </dgm:t>
    </dgm:pt>
    <dgm:pt modelId="{E96CBA39-16C2-4884-B1DE-6FEA2512C5E1}">
      <dgm:prSet phldrT="[Text]"/>
      <dgm:spPr/>
      <dgm:t>
        <a:bodyPr/>
        <a:lstStyle/>
        <a:p>
          <a:r>
            <a:rPr lang="en-IN"/>
            <a:t>B, D Unit &amp; 44, 49, 50 Plot Filling Total = 3544 CUM</a:t>
          </a:r>
        </a:p>
      </dgm:t>
    </dgm:pt>
    <dgm:pt modelId="{E8CFD710-2972-4E47-A8CB-8A8835EC3BF0}" type="parTrans" cxnId="{3CABD600-2B0E-46D5-8B30-43D69A73B64C}">
      <dgm:prSet/>
      <dgm:spPr/>
      <dgm:t>
        <a:bodyPr/>
        <a:lstStyle/>
        <a:p>
          <a:endParaRPr lang="en-IN"/>
        </a:p>
      </dgm:t>
    </dgm:pt>
    <dgm:pt modelId="{64C8D2E6-B4DB-4D9E-9594-E0ADBC469DD4}" type="sibTrans" cxnId="{3CABD600-2B0E-46D5-8B30-43D69A73B64C}">
      <dgm:prSet/>
      <dgm:spPr/>
      <dgm:t>
        <a:bodyPr/>
        <a:lstStyle/>
        <a:p>
          <a:endParaRPr lang="en-IN"/>
        </a:p>
      </dgm:t>
    </dgm:pt>
    <dgm:pt modelId="{B0D421EE-BF9D-4C0F-8360-092B7A49BAEB}">
      <dgm:prSet phldrT="[Text]"/>
      <dgm:spPr/>
      <dgm:t>
        <a:bodyPr/>
        <a:lstStyle/>
        <a:p>
          <a:r>
            <a:rPr lang="en-IN"/>
            <a:t>Unit-A 1025 CUM</a:t>
          </a:r>
        </a:p>
      </dgm:t>
    </dgm:pt>
    <dgm:pt modelId="{888B5982-A1D2-44CD-9825-41EAA5AF9787}" type="parTrans" cxnId="{9CA7BB1E-5BC9-42AF-B0C8-29206C6557FA}">
      <dgm:prSet/>
      <dgm:spPr/>
      <dgm:t>
        <a:bodyPr/>
        <a:lstStyle/>
        <a:p>
          <a:endParaRPr lang="en-IN"/>
        </a:p>
      </dgm:t>
    </dgm:pt>
    <dgm:pt modelId="{51A3F545-A744-4152-B08C-A0A2B4F7BC19}" type="sibTrans" cxnId="{9CA7BB1E-5BC9-42AF-B0C8-29206C6557FA}">
      <dgm:prSet/>
      <dgm:spPr/>
      <dgm:t>
        <a:bodyPr/>
        <a:lstStyle/>
        <a:p>
          <a:endParaRPr lang="en-IN"/>
        </a:p>
      </dgm:t>
    </dgm:pt>
    <dgm:pt modelId="{52B86FC9-ADCB-4646-931D-0BC6D7BFBE45}">
      <dgm:prSet phldrT="[Text]"/>
      <dgm:spPr/>
      <dgm:t>
        <a:bodyPr/>
        <a:lstStyle/>
        <a:p>
          <a:r>
            <a:rPr lang="en-IN"/>
            <a:t>Plot-51 283 CUM</a:t>
          </a:r>
        </a:p>
      </dgm:t>
    </dgm:pt>
    <dgm:pt modelId="{3F5035F5-F667-490B-BD7C-F8B8309FAD7C}" type="parTrans" cxnId="{76B0417C-C59D-4706-86A5-E71F3568379F}">
      <dgm:prSet/>
      <dgm:spPr/>
      <dgm:t>
        <a:bodyPr/>
        <a:lstStyle/>
        <a:p>
          <a:endParaRPr lang="en-IN"/>
        </a:p>
      </dgm:t>
    </dgm:pt>
    <dgm:pt modelId="{58FB1A64-F001-4C70-B04B-E5A688C44700}" type="sibTrans" cxnId="{76B0417C-C59D-4706-86A5-E71F3568379F}">
      <dgm:prSet/>
      <dgm:spPr/>
      <dgm:t>
        <a:bodyPr/>
        <a:lstStyle/>
        <a:p>
          <a:endParaRPr lang="en-IN"/>
        </a:p>
      </dgm:t>
    </dgm:pt>
    <dgm:pt modelId="{DAA24941-B641-430E-884A-FF90A59BDADF}">
      <dgm:prSet phldrT="[Text]"/>
      <dgm:spPr/>
      <dgm:t>
        <a:bodyPr/>
        <a:lstStyle/>
        <a:p>
          <a:r>
            <a:rPr lang="en-IN"/>
            <a:t>Plot-52 255 CUM</a:t>
          </a:r>
        </a:p>
      </dgm:t>
    </dgm:pt>
    <dgm:pt modelId="{F38B7811-E17E-47BC-937F-E55E50498197}" type="parTrans" cxnId="{11C077A6-EA62-431B-A9D9-CE191B5D9028}">
      <dgm:prSet/>
      <dgm:spPr/>
      <dgm:t>
        <a:bodyPr/>
        <a:lstStyle/>
        <a:p>
          <a:endParaRPr lang="en-IN"/>
        </a:p>
      </dgm:t>
    </dgm:pt>
    <dgm:pt modelId="{DB8DDE04-5116-4DE5-848B-06F42D8C302F}" type="sibTrans" cxnId="{11C077A6-EA62-431B-A9D9-CE191B5D9028}">
      <dgm:prSet/>
      <dgm:spPr/>
      <dgm:t>
        <a:bodyPr/>
        <a:lstStyle/>
        <a:p>
          <a:endParaRPr lang="en-IN"/>
        </a:p>
      </dgm:t>
    </dgm:pt>
    <dgm:pt modelId="{FE2B5121-FEDF-4205-90BE-6160D1CB0975}">
      <dgm:prSet phldrT="[Text]"/>
      <dgm:spPr/>
      <dgm:t>
        <a:bodyPr/>
        <a:lstStyle/>
        <a:p>
          <a:r>
            <a:rPr lang="en-IN"/>
            <a:t>Total Cutting = 3480</a:t>
          </a:r>
        </a:p>
      </dgm:t>
    </dgm:pt>
    <dgm:pt modelId="{B80992B9-9FDA-4589-950F-CF3261ECEB6E}" type="parTrans" cxnId="{B17E15D9-4616-42E6-B5BD-EAB0C864F3AE}">
      <dgm:prSet/>
      <dgm:spPr/>
      <dgm:t>
        <a:bodyPr/>
        <a:lstStyle/>
        <a:p>
          <a:endParaRPr lang="en-IN"/>
        </a:p>
      </dgm:t>
    </dgm:pt>
    <dgm:pt modelId="{67E88617-9E41-4AFB-8384-5C9A1EC3B084}" type="sibTrans" cxnId="{B17E15D9-4616-42E6-B5BD-EAB0C864F3AE}">
      <dgm:prSet/>
      <dgm:spPr/>
      <dgm:t>
        <a:bodyPr/>
        <a:lstStyle/>
        <a:p>
          <a:endParaRPr lang="en-IN"/>
        </a:p>
      </dgm:t>
    </dgm:pt>
    <dgm:pt modelId="{0A9464CA-7EB9-4CAB-8C46-0436C9A5AEBC}">
      <dgm:prSet phldrT="[Text]"/>
      <dgm:spPr/>
      <dgm:t>
        <a:bodyPr/>
        <a:lstStyle/>
        <a:p>
          <a:r>
            <a:rPr lang="en-IN"/>
            <a:t>Plot-53 155 CUM</a:t>
          </a:r>
        </a:p>
      </dgm:t>
    </dgm:pt>
    <dgm:pt modelId="{75704CAD-BEE0-490B-8C1F-CCEE894BCA1B}" type="parTrans" cxnId="{CC6D1C39-4900-426A-99BA-853F7C1F4E1F}">
      <dgm:prSet/>
      <dgm:spPr/>
      <dgm:t>
        <a:bodyPr/>
        <a:lstStyle/>
        <a:p>
          <a:endParaRPr lang="en-IN"/>
        </a:p>
      </dgm:t>
    </dgm:pt>
    <dgm:pt modelId="{AE7CF9EF-2F07-4943-A3EC-CF6562B243D3}" type="sibTrans" cxnId="{CC6D1C39-4900-426A-99BA-853F7C1F4E1F}">
      <dgm:prSet/>
      <dgm:spPr/>
      <dgm:t>
        <a:bodyPr/>
        <a:lstStyle/>
        <a:p>
          <a:endParaRPr lang="en-IN"/>
        </a:p>
      </dgm:t>
    </dgm:pt>
    <dgm:pt modelId="{A4DDB59D-1476-4A12-86CF-4BFAEC9D68AF}">
      <dgm:prSet phldrT="[Text]"/>
      <dgm:spPr/>
      <dgm:t>
        <a:bodyPr/>
        <a:lstStyle/>
        <a:p>
          <a:r>
            <a:rPr lang="en-IN"/>
            <a:t>Plot-54 240 CUM</a:t>
          </a:r>
        </a:p>
      </dgm:t>
    </dgm:pt>
    <dgm:pt modelId="{FFC6D6A9-76CF-43A5-ACF7-257DE89A5B34}" type="parTrans" cxnId="{0C968E68-5D8D-4EF9-956F-ACAB2E4B1433}">
      <dgm:prSet/>
      <dgm:spPr/>
      <dgm:t>
        <a:bodyPr/>
        <a:lstStyle/>
        <a:p>
          <a:endParaRPr lang="en-IN"/>
        </a:p>
      </dgm:t>
    </dgm:pt>
    <dgm:pt modelId="{AB045916-2C47-4868-BAF6-E8041B324675}" type="sibTrans" cxnId="{0C968E68-5D8D-4EF9-956F-ACAB2E4B1433}">
      <dgm:prSet/>
      <dgm:spPr/>
      <dgm:t>
        <a:bodyPr/>
        <a:lstStyle/>
        <a:p>
          <a:endParaRPr lang="en-IN"/>
        </a:p>
      </dgm:t>
    </dgm:pt>
    <dgm:pt modelId="{B5DC500E-DA29-452F-9DDC-830960A680E8}">
      <dgm:prSet phldrT="[Text]"/>
      <dgm:spPr/>
      <dgm:t>
        <a:bodyPr/>
        <a:lstStyle/>
        <a:p>
          <a:r>
            <a:rPr lang="en-IN"/>
            <a:t>Plot-55 361 CUM</a:t>
          </a:r>
        </a:p>
      </dgm:t>
    </dgm:pt>
    <dgm:pt modelId="{A3513ADB-2882-4F4A-AE46-133D22ED660B}" type="parTrans" cxnId="{F49E0ACC-3570-4380-AD32-E09AF1F0A1FA}">
      <dgm:prSet/>
      <dgm:spPr/>
      <dgm:t>
        <a:bodyPr/>
        <a:lstStyle/>
        <a:p>
          <a:endParaRPr lang="en-IN"/>
        </a:p>
      </dgm:t>
    </dgm:pt>
    <dgm:pt modelId="{BAC53566-CD2E-4EB0-B78C-C48CE6D776DE}" type="sibTrans" cxnId="{F49E0ACC-3570-4380-AD32-E09AF1F0A1FA}">
      <dgm:prSet/>
      <dgm:spPr/>
      <dgm:t>
        <a:bodyPr/>
        <a:lstStyle/>
        <a:p>
          <a:endParaRPr lang="en-IN"/>
        </a:p>
      </dgm:t>
    </dgm:pt>
    <dgm:pt modelId="{0CED0966-6B5F-4018-BFAE-C95D7C089207}">
      <dgm:prSet phldrT="[Text]"/>
      <dgm:spPr/>
      <dgm:t>
        <a:bodyPr/>
        <a:lstStyle/>
        <a:p>
          <a:r>
            <a:rPr lang="en-IN"/>
            <a:t>Plot-56 888 CUM</a:t>
          </a:r>
        </a:p>
      </dgm:t>
    </dgm:pt>
    <dgm:pt modelId="{B02986DB-33C2-4C5E-94DD-37D5EC88F761}" type="parTrans" cxnId="{4C1A0962-282C-4449-AA86-C2A82CB261C8}">
      <dgm:prSet/>
      <dgm:spPr/>
      <dgm:t>
        <a:bodyPr/>
        <a:lstStyle/>
        <a:p>
          <a:endParaRPr lang="en-IN"/>
        </a:p>
      </dgm:t>
    </dgm:pt>
    <dgm:pt modelId="{E321F72A-E82A-487F-AA79-3AC1C0378E6D}" type="sibTrans" cxnId="{4C1A0962-282C-4449-AA86-C2A82CB261C8}">
      <dgm:prSet/>
      <dgm:spPr/>
      <dgm:t>
        <a:bodyPr/>
        <a:lstStyle/>
        <a:p>
          <a:endParaRPr lang="en-IN"/>
        </a:p>
      </dgm:t>
    </dgm:pt>
    <dgm:pt modelId="{FD50F836-A01A-4077-8262-0E66EFF14E48}" type="pres">
      <dgm:prSet presAssocID="{523E2A86-D6A3-4482-AA9A-BF1477B3911E}" presName="cycle" presStyleCnt="0">
        <dgm:presLayoutVars>
          <dgm:chMax val="1"/>
          <dgm:dir/>
          <dgm:animLvl val="ctr"/>
          <dgm:resizeHandles val="exact"/>
        </dgm:presLayoutVars>
      </dgm:prSet>
      <dgm:spPr/>
    </dgm:pt>
    <dgm:pt modelId="{2FB080E2-C4A5-4C7B-BD55-C4CCE395D8C3}" type="pres">
      <dgm:prSet presAssocID="{E96CBA39-16C2-4884-B1DE-6FEA2512C5E1}" presName="centerShape" presStyleLbl="node0" presStyleIdx="0" presStyleCnt="1" custScaleX="122715" custScaleY="103375"/>
      <dgm:spPr/>
    </dgm:pt>
    <dgm:pt modelId="{7DBD7795-2350-4BC7-B18C-969FA56B61B0}" type="pres">
      <dgm:prSet presAssocID="{888B5982-A1D2-44CD-9825-41EAA5AF9787}" presName="parTrans" presStyleLbl="bgSibTrans2D1" presStyleIdx="0" presStyleCnt="8"/>
      <dgm:spPr/>
    </dgm:pt>
    <dgm:pt modelId="{6C68B4ED-72EB-41EE-9D83-7B2B4D02203D}" type="pres">
      <dgm:prSet presAssocID="{B0D421EE-BF9D-4C0F-8360-092B7A49BAEB}" presName="node" presStyleLbl="node1" presStyleIdx="0" presStyleCnt="8">
        <dgm:presLayoutVars>
          <dgm:bulletEnabled val="1"/>
        </dgm:presLayoutVars>
      </dgm:prSet>
      <dgm:spPr/>
    </dgm:pt>
    <dgm:pt modelId="{E58415AC-EBF0-4A8D-94F6-40AF0CA106DF}" type="pres">
      <dgm:prSet presAssocID="{3F5035F5-F667-490B-BD7C-F8B8309FAD7C}" presName="parTrans" presStyleLbl="bgSibTrans2D1" presStyleIdx="1" presStyleCnt="8"/>
      <dgm:spPr/>
    </dgm:pt>
    <dgm:pt modelId="{D869D0EF-3867-4050-B4ED-65701607F968}" type="pres">
      <dgm:prSet presAssocID="{52B86FC9-ADCB-4646-931D-0BC6D7BFBE45}" presName="node" presStyleLbl="node1" presStyleIdx="1" presStyleCnt="8">
        <dgm:presLayoutVars>
          <dgm:bulletEnabled val="1"/>
        </dgm:presLayoutVars>
      </dgm:prSet>
      <dgm:spPr/>
    </dgm:pt>
    <dgm:pt modelId="{E125A3CA-FADD-4F20-B662-6F94505A6338}" type="pres">
      <dgm:prSet presAssocID="{F38B7811-E17E-47BC-937F-E55E50498197}" presName="parTrans" presStyleLbl="bgSibTrans2D1" presStyleIdx="2" presStyleCnt="8"/>
      <dgm:spPr/>
    </dgm:pt>
    <dgm:pt modelId="{1729A613-ECA3-43BE-8484-CB700A3A048C}" type="pres">
      <dgm:prSet presAssocID="{DAA24941-B641-430E-884A-FF90A59BDADF}" presName="node" presStyleLbl="node1" presStyleIdx="2" presStyleCnt="8">
        <dgm:presLayoutVars>
          <dgm:bulletEnabled val="1"/>
        </dgm:presLayoutVars>
      </dgm:prSet>
      <dgm:spPr/>
    </dgm:pt>
    <dgm:pt modelId="{A5B413BC-A0D2-4FF8-A568-1DAD013C5E1F}" type="pres">
      <dgm:prSet presAssocID="{75704CAD-BEE0-490B-8C1F-CCEE894BCA1B}" presName="parTrans" presStyleLbl="bgSibTrans2D1" presStyleIdx="3" presStyleCnt="8"/>
      <dgm:spPr/>
    </dgm:pt>
    <dgm:pt modelId="{D0CDAAA9-C7AA-4610-B3EA-50E4B84A3386}" type="pres">
      <dgm:prSet presAssocID="{0A9464CA-7EB9-4CAB-8C46-0436C9A5AEBC}" presName="node" presStyleLbl="node1" presStyleIdx="3" presStyleCnt="8">
        <dgm:presLayoutVars>
          <dgm:bulletEnabled val="1"/>
        </dgm:presLayoutVars>
      </dgm:prSet>
      <dgm:spPr/>
    </dgm:pt>
    <dgm:pt modelId="{33EBC30B-9E2A-4F0B-8848-0E308932E378}" type="pres">
      <dgm:prSet presAssocID="{FFC6D6A9-76CF-43A5-ACF7-257DE89A5B34}" presName="parTrans" presStyleLbl="bgSibTrans2D1" presStyleIdx="4" presStyleCnt="8"/>
      <dgm:spPr/>
    </dgm:pt>
    <dgm:pt modelId="{B9F98B2A-C98B-4164-A8C9-9A2CA7CB542A}" type="pres">
      <dgm:prSet presAssocID="{A4DDB59D-1476-4A12-86CF-4BFAEC9D68AF}" presName="node" presStyleLbl="node1" presStyleIdx="4" presStyleCnt="8">
        <dgm:presLayoutVars>
          <dgm:bulletEnabled val="1"/>
        </dgm:presLayoutVars>
      </dgm:prSet>
      <dgm:spPr/>
    </dgm:pt>
    <dgm:pt modelId="{DF1B0A99-714B-4222-8073-F661393A1BE9}" type="pres">
      <dgm:prSet presAssocID="{A3513ADB-2882-4F4A-AE46-133D22ED660B}" presName="parTrans" presStyleLbl="bgSibTrans2D1" presStyleIdx="5" presStyleCnt="8"/>
      <dgm:spPr/>
    </dgm:pt>
    <dgm:pt modelId="{58BC1615-A8F4-4E37-959C-4A9BBC576FF6}" type="pres">
      <dgm:prSet presAssocID="{B5DC500E-DA29-452F-9DDC-830960A680E8}" presName="node" presStyleLbl="node1" presStyleIdx="5" presStyleCnt="8">
        <dgm:presLayoutVars>
          <dgm:bulletEnabled val="1"/>
        </dgm:presLayoutVars>
      </dgm:prSet>
      <dgm:spPr/>
    </dgm:pt>
    <dgm:pt modelId="{9ACBB33B-69DF-4C70-BA2E-E5D8F1431E26}" type="pres">
      <dgm:prSet presAssocID="{B02986DB-33C2-4C5E-94DD-37D5EC88F761}" presName="parTrans" presStyleLbl="bgSibTrans2D1" presStyleIdx="6" presStyleCnt="8"/>
      <dgm:spPr/>
    </dgm:pt>
    <dgm:pt modelId="{EEA4D5CC-C0F8-4886-9F96-50DB9CE025E7}" type="pres">
      <dgm:prSet presAssocID="{0CED0966-6B5F-4018-BFAE-C95D7C089207}" presName="node" presStyleLbl="node1" presStyleIdx="6" presStyleCnt="8">
        <dgm:presLayoutVars>
          <dgm:bulletEnabled val="1"/>
        </dgm:presLayoutVars>
      </dgm:prSet>
      <dgm:spPr/>
    </dgm:pt>
    <dgm:pt modelId="{E5E0D666-8A0A-4954-80EC-77D286CE323F}" type="pres">
      <dgm:prSet presAssocID="{B80992B9-9FDA-4589-950F-CF3261ECEB6E}" presName="parTrans" presStyleLbl="bgSibTrans2D1" presStyleIdx="7" presStyleCnt="8"/>
      <dgm:spPr/>
    </dgm:pt>
    <dgm:pt modelId="{D6EFDDC1-3C96-49C5-BAC0-2C0126D15D9D}" type="pres">
      <dgm:prSet presAssocID="{FE2B5121-FEDF-4205-90BE-6160D1CB0975}" presName="node" presStyleLbl="node1" presStyleIdx="7" presStyleCnt="8">
        <dgm:presLayoutVars>
          <dgm:bulletEnabled val="1"/>
        </dgm:presLayoutVars>
      </dgm:prSet>
      <dgm:spPr/>
    </dgm:pt>
  </dgm:ptLst>
  <dgm:cxnLst>
    <dgm:cxn modelId="{3CABD600-2B0E-46D5-8B30-43D69A73B64C}" srcId="{523E2A86-D6A3-4482-AA9A-BF1477B3911E}" destId="{E96CBA39-16C2-4884-B1DE-6FEA2512C5E1}" srcOrd="0" destOrd="0" parTransId="{E8CFD710-2972-4E47-A8CB-8A8835EC3BF0}" sibTransId="{64C8D2E6-B4DB-4D9E-9594-E0ADBC469DD4}"/>
    <dgm:cxn modelId="{60B17419-852E-4869-9E91-773005582152}" type="presOf" srcId="{FFC6D6A9-76CF-43A5-ACF7-257DE89A5B34}" destId="{33EBC30B-9E2A-4F0B-8848-0E308932E378}" srcOrd="0" destOrd="0" presId="urn:microsoft.com/office/officeart/2005/8/layout/radial4"/>
    <dgm:cxn modelId="{9CA7BB1E-5BC9-42AF-B0C8-29206C6557FA}" srcId="{E96CBA39-16C2-4884-B1DE-6FEA2512C5E1}" destId="{B0D421EE-BF9D-4C0F-8360-092B7A49BAEB}" srcOrd="0" destOrd="0" parTransId="{888B5982-A1D2-44CD-9825-41EAA5AF9787}" sibTransId="{51A3F545-A744-4152-B08C-A0A2B4F7BC19}"/>
    <dgm:cxn modelId="{FA96A824-F744-4BF8-AF03-A590763A6D55}" type="presOf" srcId="{B02986DB-33C2-4C5E-94DD-37D5EC88F761}" destId="{9ACBB33B-69DF-4C70-BA2E-E5D8F1431E26}" srcOrd="0" destOrd="0" presId="urn:microsoft.com/office/officeart/2005/8/layout/radial4"/>
    <dgm:cxn modelId="{88EF6F33-0C0B-42FE-AF2C-A5C25391E9F0}" type="presOf" srcId="{B0D421EE-BF9D-4C0F-8360-092B7A49BAEB}" destId="{6C68B4ED-72EB-41EE-9D83-7B2B4D02203D}" srcOrd="0" destOrd="0" presId="urn:microsoft.com/office/officeart/2005/8/layout/radial4"/>
    <dgm:cxn modelId="{CC6D1C39-4900-426A-99BA-853F7C1F4E1F}" srcId="{E96CBA39-16C2-4884-B1DE-6FEA2512C5E1}" destId="{0A9464CA-7EB9-4CAB-8C46-0436C9A5AEBC}" srcOrd="3" destOrd="0" parTransId="{75704CAD-BEE0-490B-8C1F-CCEE894BCA1B}" sibTransId="{AE7CF9EF-2F07-4943-A3EC-CF6562B243D3}"/>
    <dgm:cxn modelId="{4C1A0962-282C-4449-AA86-C2A82CB261C8}" srcId="{E96CBA39-16C2-4884-B1DE-6FEA2512C5E1}" destId="{0CED0966-6B5F-4018-BFAE-C95D7C089207}" srcOrd="6" destOrd="0" parTransId="{B02986DB-33C2-4C5E-94DD-37D5EC88F761}" sibTransId="{E321F72A-E82A-487F-AA79-3AC1C0378E6D}"/>
    <dgm:cxn modelId="{7C7DA667-8CAA-40D5-BDB0-7B4A7055EEB2}" type="presOf" srcId="{523E2A86-D6A3-4482-AA9A-BF1477B3911E}" destId="{FD50F836-A01A-4077-8262-0E66EFF14E48}" srcOrd="0" destOrd="0" presId="urn:microsoft.com/office/officeart/2005/8/layout/radial4"/>
    <dgm:cxn modelId="{0C968E68-5D8D-4EF9-956F-ACAB2E4B1433}" srcId="{E96CBA39-16C2-4884-B1DE-6FEA2512C5E1}" destId="{A4DDB59D-1476-4A12-86CF-4BFAEC9D68AF}" srcOrd="4" destOrd="0" parTransId="{FFC6D6A9-76CF-43A5-ACF7-257DE89A5B34}" sibTransId="{AB045916-2C47-4868-BAF6-E8041B324675}"/>
    <dgm:cxn modelId="{785CE449-8190-4860-A3EF-EC0249D8D733}" type="presOf" srcId="{0A9464CA-7EB9-4CAB-8C46-0436C9A5AEBC}" destId="{D0CDAAA9-C7AA-4610-B3EA-50E4B84A3386}" srcOrd="0" destOrd="0" presId="urn:microsoft.com/office/officeart/2005/8/layout/radial4"/>
    <dgm:cxn modelId="{15317772-923F-46AA-8214-6823CE4C1F17}" type="presOf" srcId="{F38B7811-E17E-47BC-937F-E55E50498197}" destId="{E125A3CA-FADD-4F20-B662-6F94505A6338}" srcOrd="0" destOrd="0" presId="urn:microsoft.com/office/officeart/2005/8/layout/radial4"/>
    <dgm:cxn modelId="{F6DD617A-C348-4E93-B154-8DCEBC4244AF}" type="presOf" srcId="{B5DC500E-DA29-452F-9DDC-830960A680E8}" destId="{58BC1615-A8F4-4E37-959C-4A9BBC576FF6}" srcOrd="0" destOrd="0" presId="urn:microsoft.com/office/officeart/2005/8/layout/radial4"/>
    <dgm:cxn modelId="{76B0417C-C59D-4706-86A5-E71F3568379F}" srcId="{E96CBA39-16C2-4884-B1DE-6FEA2512C5E1}" destId="{52B86FC9-ADCB-4646-931D-0BC6D7BFBE45}" srcOrd="1" destOrd="0" parTransId="{3F5035F5-F667-490B-BD7C-F8B8309FAD7C}" sibTransId="{58FB1A64-F001-4C70-B04B-E5A688C44700}"/>
    <dgm:cxn modelId="{412B8B82-2073-4E6A-A7A2-BFE3FFC4A8CF}" type="presOf" srcId="{75704CAD-BEE0-490B-8C1F-CCEE894BCA1B}" destId="{A5B413BC-A0D2-4FF8-A568-1DAD013C5E1F}" srcOrd="0" destOrd="0" presId="urn:microsoft.com/office/officeart/2005/8/layout/radial4"/>
    <dgm:cxn modelId="{250C5D84-C8AB-43F8-A697-E23F3F093D10}" type="presOf" srcId="{DAA24941-B641-430E-884A-FF90A59BDADF}" destId="{1729A613-ECA3-43BE-8484-CB700A3A048C}" srcOrd="0" destOrd="0" presId="urn:microsoft.com/office/officeart/2005/8/layout/radial4"/>
    <dgm:cxn modelId="{08DB039F-3149-40A7-9047-62C8D2F31A9B}" type="presOf" srcId="{B80992B9-9FDA-4589-950F-CF3261ECEB6E}" destId="{E5E0D666-8A0A-4954-80EC-77D286CE323F}" srcOrd="0" destOrd="0" presId="urn:microsoft.com/office/officeart/2005/8/layout/radial4"/>
    <dgm:cxn modelId="{11C077A6-EA62-431B-A9D9-CE191B5D9028}" srcId="{E96CBA39-16C2-4884-B1DE-6FEA2512C5E1}" destId="{DAA24941-B641-430E-884A-FF90A59BDADF}" srcOrd="2" destOrd="0" parTransId="{F38B7811-E17E-47BC-937F-E55E50498197}" sibTransId="{DB8DDE04-5116-4DE5-848B-06F42D8C302F}"/>
    <dgm:cxn modelId="{916848B4-3A54-4440-85DC-836ED4722C0A}" type="presOf" srcId="{FE2B5121-FEDF-4205-90BE-6160D1CB0975}" destId="{D6EFDDC1-3C96-49C5-BAC0-2C0126D15D9D}" srcOrd="0" destOrd="0" presId="urn:microsoft.com/office/officeart/2005/8/layout/radial4"/>
    <dgm:cxn modelId="{DAE979B4-FBF4-4B91-B2D8-AFD21E34F9FF}" type="presOf" srcId="{888B5982-A1D2-44CD-9825-41EAA5AF9787}" destId="{7DBD7795-2350-4BC7-B18C-969FA56B61B0}" srcOrd="0" destOrd="0" presId="urn:microsoft.com/office/officeart/2005/8/layout/radial4"/>
    <dgm:cxn modelId="{7CBFE5B5-50A0-4C57-9F85-223DA78CCD94}" type="presOf" srcId="{0CED0966-6B5F-4018-BFAE-C95D7C089207}" destId="{EEA4D5CC-C0F8-4886-9F96-50DB9CE025E7}" srcOrd="0" destOrd="0" presId="urn:microsoft.com/office/officeart/2005/8/layout/radial4"/>
    <dgm:cxn modelId="{8B2FD3C4-BB0E-41F8-A22A-62E3B6025B2A}" type="presOf" srcId="{E96CBA39-16C2-4884-B1DE-6FEA2512C5E1}" destId="{2FB080E2-C4A5-4C7B-BD55-C4CCE395D8C3}" srcOrd="0" destOrd="0" presId="urn:microsoft.com/office/officeart/2005/8/layout/radial4"/>
    <dgm:cxn modelId="{28DB8BCB-E707-45B1-88E8-7171247B1A58}" type="presOf" srcId="{A3513ADB-2882-4F4A-AE46-133D22ED660B}" destId="{DF1B0A99-714B-4222-8073-F661393A1BE9}" srcOrd="0" destOrd="0" presId="urn:microsoft.com/office/officeart/2005/8/layout/radial4"/>
    <dgm:cxn modelId="{F49E0ACC-3570-4380-AD32-E09AF1F0A1FA}" srcId="{E96CBA39-16C2-4884-B1DE-6FEA2512C5E1}" destId="{B5DC500E-DA29-452F-9DDC-830960A680E8}" srcOrd="5" destOrd="0" parTransId="{A3513ADB-2882-4F4A-AE46-133D22ED660B}" sibTransId="{BAC53566-CD2E-4EB0-B78C-C48CE6D776DE}"/>
    <dgm:cxn modelId="{15FC85CE-BA59-45E2-A7AE-E33D6E65E8EC}" type="presOf" srcId="{3F5035F5-F667-490B-BD7C-F8B8309FAD7C}" destId="{E58415AC-EBF0-4A8D-94F6-40AF0CA106DF}" srcOrd="0" destOrd="0" presId="urn:microsoft.com/office/officeart/2005/8/layout/radial4"/>
    <dgm:cxn modelId="{4918FAD1-456F-4A87-9534-58AB7690782B}" type="presOf" srcId="{A4DDB59D-1476-4A12-86CF-4BFAEC9D68AF}" destId="{B9F98B2A-C98B-4164-A8C9-9A2CA7CB542A}" srcOrd="0" destOrd="0" presId="urn:microsoft.com/office/officeart/2005/8/layout/radial4"/>
    <dgm:cxn modelId="{B17E15D9-4616-42E6-B5BD-EAB0C864F3AE}" srcId="{E96CBA39-16C2-4884-B1DE-6FEA2512C5E1}" destId="{FE2B5121-FEDF-4205-90BE-6160D1CB0975}" srcOrd="7" destOrd="0" parTransId="{B80992B9-9FDA-4589-950F-CF3261ECEB6E}" sibTransId="{67E88617-9E41-4AFB-8384-5C9A1EC3B084}"/>
    <dgm:cxn modelId="{771165EA-B86E-4308-9545-439B502206D4}" type="presOf" srcId="{52B86FC9-ADCB-4646-931D-0BC6D7BFBE45}" destId="{D869D0EF-3867-4050-B4ED-65701607F968}" srcOrd="0" destOrd="0" presId="urn:microsoft.com/office/officeart/2005/8/layout/radial4"/>
    <dgm:cxn modelId="{0D190212-E038-45C2-B108-CBDE2284C87C}" type="presParOf" srcId="{FD50F836-A01A-4077-8262-0E66EFF14E48}" destId="{2FB080E2-C4A5-4C7B-BD55-C4CCE395D8C3}" srcOrd="0" destOrd="0" presId="urn:microsoft.com/office/officeart/2005/8/layout/radial4"/>
    <dgm:cxn modelId="{8C5AFB79-9114-43FA-817D-591E3A92C329}" type="presParOf" srcId="{FD50F836-A01A-4077-8262-0E66EFF14E48}" destId="{7DBD7795-2350-4BC7-B18C-969FA56B61B0}" srcOrd="1" destOrd="0" presId="urn:microsoft.com/office/officeart/2005/8/layout/radial4"/>
    <dgm:cxn modelId="{B4CF1E4A-B9CA-42A1-B2BA-058E0DEFA5D4}" type="presParOf" srcId="{FD50F836-A01A-4077-8262-0E66EFF14E48}" destId="{6C68B4ED-72EB-41EE-9D83-7B2B4D02203D}" srcOrd="2" destOrd="0" presId="urn:microsoft.com/office/officeart/2005/8/layout/radial4"/>
    <dgm:cxn modelId="{8C11652D-77E6-4E67-B6C8-E46769352B19}" type="presParOf" srcId="{FD50F836-A01A-4077-8262-0E66EFF14E48}" destId="{E58415AC-EBF0-4A8D-94F6-40AF0CA106DF}" srcOrd="3" destOrd="0" presId="urn:microsoft.com/office/officeart/2005/8/layout/radial4"/>
    <dgm:cxn modelId="{6257C7D9-C673-4941-858D-7C4B410C3C76}" type="presParOf" srcId="{FD50F836-A01A-4077-8262-0E66EFF14E48}" destId="{D869D0EF-3867-4050-B4ED-65701607F968}" srcOrd="4" destOrd="0" presId="urn:microsoft.com/office/officeart/2005/8/layout/radial4"/>
    <dgm:cxn modelId="{0A5E0875-E8F6-497B-BCE8-BC888DB37BC2}" type="presParOf" srcId="{FD50F836-A01A-4077-8262-0E66EFF14E48}" destId="{E125A3CA-FADD-4F20-B662-6F94505A6338}" srcOrd="5" destOrd="0" presId="urn:microsoft.com/office/officeart/2005/8/layout/radial4"/>
    <dgm:cxn modelId="{89601946-1AE2-4CCF-9F22-F90E19E7AF4A}" type="presParOf" srcId="{FD50F836-A01A-4077-8262-0E66EFF14E48}" destId="{1729A613-ECA3-43BE-8484-CB700A3A048C}" srcOrd="6" destOrd="0" presId="urn:microsoft.com/office/officeart/2005/8/layout/radial4"/>
    <dgm:cxn modelId="{82136B0D-FF49-4EEF-A0D3-39779D14F3EC}" type="presParOf" srcId="{FD50F836-A01A-4077-8262-0E66EFF14E48}" destId="{A5B413BC-A0D2-4FF8-A568-1DAD013C5E1F}" srcOrd="7" destOrd="0" presId="urn:microsoft.com/office/officeart/2005/8/layout/radial4"/>
    <dgm:cxn modelId="{21E82C09-6121-4783-9141-29267B54B155}" type="presParOf" srcId="{FD50F836-A01A-4077-8262-0E66EFF14E48}" destId="{D0CDAAA9-C7AA-4610-B3EA-50E4B84A3386}" srcOrd="8" destOrd="0" presId="urn:microsoft.com/office/officeart/2005/8/layout/radial4"/>
    <dgm:cxn modelId="{79908C66-51C5-4C20-B89E-B98667E159A0}" type="presParOf" srcId="{FD50F836-A01A-4077-8262-0E66EFF14E48}" destId="{33EBC30B-9E2A-4F0B-8848-0E308932E378}" srcOrd="9" destOrd="0" presId="urn:microsoft.com/office/officeart/2005/8/layout/radial4"/>
    <dgm:cxn modelId="{57BFFC89-0180-4FD2-8D9F-BCA63BE7FDB8}" type="presParOf" srcId="{FD50F836-A01A-4077-8262-0E66EFF14E48}" destId="{B9F98B2A-C98B-4164-A8C9-9A2CA7CB542A}" srcOrd="10" destOrd="0" presId="urn:microsoft.com/office/officeart/2005/8/layout/radial4"/>
    <dgm:cxn modelId="{7FBA34C6-87D1-4751-AB48-5D46CAA845D9}" type="presParOf" srcId="{FD50F836-A01A-4077-8262-0E66EFF14E48}" destId="{DF1B0A99-714B-4222-8073-F661393A1BE9}" srcOrd="11" destOrd="0" presId="urn:microsoft.com/office/officeart/2005/8/layout/radial4"/>
    <dgm:cxn modelId="{9B732D12-AAAC-4866-8C5B-8FB18C92BBFE}" type="presParOf" srcId="{FD50F836-A01A-4077-8262-0E66EFF14E48}" destId="{58BC1615-A8F4-4E37-959C-4A9BBC576FF6}" srcOrd="12" destOrd="0" presId="urn:microsoft.com/office/officeart/2005/8/layout/radial4"/>
    <dgm:cxn modelId="{125DF202-ABD8-4CCE-8D62-56C8A1A84A8F}" type="presParOf" srcId="{FD50F836-A01A-4077-8262-0E66EFF14E48}" destId="{9ACBB33B-69DF-4C70-BA2E-E5D8F1431E26}" srcOrd="13" destOrd="0" presId="urn:microsoft.com/office/officeart/2005/8/layout/radial4"/>
    <dgm:cxn modelId="{2807D78F-4967-44CC-89CA-621A9597D06B}" type="presParOf" srcId="{FD50F836-A01A-4077-8262-0E66EFF14E48}" destId="{EEA4D5CC-C0F8-4886-9F96-50DB9CE025E7}" srcOrd="14" destOrd="0" presId="urn:microsoft.com/office/officeart/2005/8/layout/radial4"/>
    <dgm:cxn modelId="{0D08BFAA-93A3-4A61-B888-5E157AA0A2B5}" type="presParOf" srcId="{FD50F836-A01A-4077-8262-0E66EFF14E48}" destId="{E5E0D666-8A0A-4954-80EC-77D286CE323F}" srcOrd="15" destOrd="0" presId="urn:microsoft.com/office/officeart/2005/8/layout/radial4"/>
    <dgm:cxn modelId="{8DE188CE-9446-4402-828F-05CC5EDD5ACC}" type="presParOf" srcId="{FD50F836-A01A-4077-8262-0E66EFF14E48}" destId="{D6EFDDC1-3C96-49C5-BAC0-2C0126D15D9D}" srcOrd="16" destOrd="0" presId="urn:microsoft.com/office/officeart/2005/8/layout/radial4"/>
  </dgm:cxnLst>
  <dgm:bg/>
  <dgm:whole/>
  <dgm:extLst>
    <a:ext uri="http://schemas.microsoft.com/office/drawing/2008/diagram">
      <dsp:dataModelExt xmlns:dsp="http://schemas.microsoft.com/office/drawing/2008/diagram" relId="rId25"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523E2A86-D6A3-4482-AA9A-BF1477B3911E}" type="doc">
      <dgm:prSet loTypeId="urn:microsoft.com/office/officeart/2005/8/layout/radial4" loCatId="relationship" qsTypeId="urn:microsoft.com/office/officeart/2005/8/quickstyle/simple1" qsCatId="simple" csTypeId="urn:microsoft.com/office/officeart/2005/8/colors/accent1_2" csCatId="accent1" phldr="1"/>
      <dgm:spPr/>
      <dgm:t>
        <a:bodyPr/>
        <a:lstStyle/>
        <a:p>
          <a:endParaRPr lang="en-IN"/>
        </a:p>
      </dgm:t>
    </dgm:pt>
    <dgm:pt modelId="{E96CBA39-16C2-4884-B1DE-6FEA2512C5E1}">
      <dgm:prSet phldrT="[Text]"/>
      <dgm:spPr/>
      <dgm:t>
        <a:bodyPr/>
        <a:lstStyle/>
        <a:p>
          <a:r>
            <a:rPr lang="en-IN"/>
            <a:t>47 Plot Filling Total = 217 CUM</a:t>
          </a:r>
        </a:p>
      </dgm:t>
    </dgm:pt>
    <dgm:pt modelId="{E8CFD710-2972-4E47-A8CB-8A8835EC3BF0}" type="parTrans" cxnId="{3CABD600-2B0E-46D5-8B30-43D69A73B64C}">
      <dgm:prSet/>
      <dgm:spPr/>
      <dgm:t>
        <a:bodyPr/>
        <a:lstStyle/>
        <a:p>
          <a:endParaRPr lang="en-IN"/>
        </a:p>
      </dgm:t>
    </dgm:pt>
    <dgm:pt modelId="{64C8D2E6-B4DB-4D9E-9594-E0ADBC469DD4}" type="sibTrans" cxnId="{3CABD600-2B0E-46D5-8B30-43D69A73B64C}">
      <dgm:prSet/>
      <dgm:spPr/>
      <dgm:t>
        <a:bodyPr/>
        <a:lstStyle/>
        <a:p>
          <a:endParaRPr lang="en-IN"/>
        </a:p>
      </dgm:t>
    </dgm:pt>
    <dgm:pt modelId="{B0D421EE-BF9D-4C0F-8360-092B7A49BAEB}">
      <dgm:prSet phldrT="[Text]"/>
      <dgm:spPr/>
      <dgm:t>
        <a:bodyPr/>
        <a:lstStyle/>
        <a:p>
          <a:r>
            <a:rPr lang="en-IN"/>
            <a:t>Plot-41   32 CUM</a:t>
          </a:r>
        </a:p>
      </dgm:t>
    </dgm:pt>
    <dgm:pt modelId="{888B5982-A1D2-44CD-9825-41EAA5AF9787}" type="parTrans" cxnId="{9CA7BB1E-5BC9-42AF-B0C8-29206C6557FA}">
      <dgm:prSet/>
      <dgm:spPr/>
      <dgm:t>
        <a:bodyPr/>
        <a:lstStyle/>
        <a:p>
          <a:endParaRPr lang="en-IN"/>
        </a:p>
      </dgm:t>
    </dgm:pt>
    <dgm:pt modelId="{51A3F545-A744-4152-B08C-A0A2B4F7BC19}" type="sibTrans" cxnId="{9CA7BB1E-5BC9-42AF-B0C8-29206C6557FA}">
      <dgm:prSet/>
      <dgm:spPr/>
      <dgm:t>
        <a:bodyPr/>
        <a:lstStyle/>
        <a:p>
          <a:endParaRPr lang="en-IN"/>
        </a:p>
      </dgm:t>
    </dgm:pt>
    <dgm:pt modelId="{52B86FC9-ADCB-4646-931D-0BC6D7BFBE45}">
      <dgm:prSet phldrT="[Text]"/>
      <dgm:spPr/>
      <dgm:t>
        <a:bodyPr/>
        <a:lstStyle/>
        <a:p>
          <a:r>
            <a:rPr lang="en-IN"/>
            <a:t>Plot-43   38 CUM</a:t>
          </a:r>
        </a:p>
      </dgm:t>
    </dgm:pt>
    <dgm:pt modelId="{3F5035F5-F667-490B-BD7C-F8B8309FAD7C}" type="parTrans" cxnId="{76B0417C-C59D-4706-86A5-E71F3568379F}">
      <dgm:prSet/>
      <dgm:spPr/>
      <dgm:t>
        <a:bodyPr/>
        <a:lstStyle/>
        <a:p>
          <a:endParaRPr lang="en-IN"/>
        </a:p>
      </dgm:t>
    </dgm:pt>
    <dgm:pt modelId="{58FB1A64-F001-4C70-B04B-E5A688C44700}" type="sibTrans" cxnId="{76B0417C-C59D-4706-86A5-E71F3568379F}">
      <dgm:prSet/>
      <dgm:spPr/>
      <dgm:t>
        <a:bodyPr/>
        <a:lstStyle/>
        <a:p>
          <a:endParaRPr lang="en-IN"/>
        </a:p>
      </dgm:t>
    </dgm:pt>
    <dgm:pt modelId="{DAA24941-B641-430E-884A-FF90A59BDADF}">
      <dgm:prSet phldrT="[Text]"/>
      <dgm:spPr/>
      <dgm:t>
        <a:bodyPr/>
        <a:lstStyle/>
        <a:p>
          <a:r>
            <a:rPr lang="en-IN"/>
            <a:t>Plot-45   200 CUM</a:t>
          </a:r>
        </a:p>
      </dgm:t>
    </dgm:pt>
    <dgm:pt modelId="{F38B7811-E17E-47BC-937F-E55E50498197}" type="parTrans" cxnId="{11C077A6-EA62-431B-A9D9-CE191B5D9028}">
      <dgm:prSet/>
      <dgm:spPr/>
      <dgm:t>
        <a:bodyPr/>
        <a:lstStyle/>
        <a:p>
          <a:endParaRPr lang="en-IN"/>
        </a:p>
      </dgm:t>
    </dgm:pt>
    <dgm:pt modelId="{DB8DDE04-5116-4DE5-848B-06F42D8C302F}" type="sibTrans" cxnId="{11C077A6-EA62-431B-A9D9-CE191B5D9028}">
      <dgm:prSet/>
      <dgm:spPr/>
      <dgm:t>
        <a:bodyPr/>
        <a:lstStyle/>
        <a:p>
          <a:endParaRPr lang="en-IN"/>
        </a:p>
      </dgm:t>
    </dgm:pt>
    <dgm:pt modelId="{FE2B5121-FEDF-4205-90BE-6160D1CB0975}">
      <dgm:prSet phldrT="[Text]"/>
      <dgm:spPr/>
      <dgm:t>
        <a:bodyPr/>
        <a:lstStyle/>
        <a:p>
          <a:r>
            <a:rPr lang="en-IN"/>
            <a:t>Total Cutting = 270</a:t>
          </a:r>
        </a:p>
      </dgm:t>
    </dgm:pt>
    <dgm:pt modelId="{B80992B9-9FDA-4589-950F-CF3261ECEB6E}" type="parTrans" cxnId="{B17E15D9-4616-42E6-B5BD-EAB0C864F3AE}">
      <dgm:prSet/>
      <dgm:spPr/>
      <dgm:t>
        <a:bodyPr/>
        <a:lstStyle/>
        <a:p>
          <a:endParaRPr lang="en-IN"/>
        </a:p>
      </dgm:t>
    </dgm:pt>
    <dgm:pt modelId="{67E88617-9E41-4AFB-8384-5C9A1EC3B084}" type="sibTrans" cxnId="{B17E15D9-4616-42E6-B5BD-EAB0C864F3AE}">
      <dgm:prSet/>
      <dgm:spPr/>
      <dgm:t>
        <a:bodyPr/>
        <a:lstStyle/>
        <a:p>
          <a:endParaRPr lang="en-IN"/>
        </a:p>
      </dgm:t>
    </dgm:pt>
    <dgm:pt modelId="{FD50F836-A01A-4077-8262-0E66EFF14E48}" type="pres">
      <dgm:prSet presAssocID="{523E2A86-D6A3-4482-AA9A-BF1477B3911E}" presName="cycle" presStyleCnt="0">
        <dgm:presLayoutVars>
          <dgm:chMax val="1"/>
          <dgm:dir/>
          <dgm:animLvl val="ctr"/>
          <dgm:resizeHandles val="exact"/>
        </dgm:presLayoutVars>
      </dgm:prSet>
      <dgm:spPr/>
    </dgm:pt>
    <dgm:pt modelId="{2FB080E2-C4A5-4C7B-BD55-C4CCE395D8C3}" type="pres">
      <dgm:prSet presAssocID="{E96CBA39-16C2-4884-B1DE-6FEA2512C5E1}" presName="centerShape" presStyleLbl="node0" presStyleIdx="0" presStyleCnt="1" custScaleX="105223" custScaleY="76815"/>
      <dgm:spPr/>
    </dgm:pt>
    <dgm:pt modelId="{7DBD7795-2350-4BC7-B18C-969FA56B61B0}" type="pres">
      <dgm:prSet presAssocID="{888B5982-A1D2-44CD-9825-41EAA5AF9787}" presName="parTrans" presStyleLbl="bgSibTrans2D1" presStyleIdx="0" presStyleCnt="4"/>
      <dgm:spPr/>
    </dgm:pt>
    <dgm:pt modelId="{6C68B4ED-72EB-41EE-9D83-7B2B4D02203D}" type="pres">
      <dgm:prSet presAssocID="{B0D421EE-BF9D-4C0F-8360-092B7A49BAEB}" presName="node" presStyleLbl="node1" presStyleIdx="0" presStyleCnt="4">
        <dgm:presLayoutVars>
          <dgm:bulletEnabled val="1"/>
        </dgm:presLayoutVars>
      </dgm:prSet>
      <dgm:spPr/>
    </dgm:pt>
    <dgm:pt modelId="{E58415AC-EBF0-4A8D-94F6-40AF0CA106DF}" type="pres">
      <dgm:prSet presAssocID="{3F5035F5-F667-490B-BD7C-F8B8309FAD7C}" presName="parTrans" presStyleLbl="bgSibTrans2D1" presStyleIdx="1" presStyleCnt="4"/>
      <dgm:spPr/>
    </dgm:pt>
    <dgm:pt modelId="{D869D0EF-3867-4050-B4ED-65701607F968}" type="pres">
      <dgm:prSet presAssocID="{52B86FC9-ADCB-4646-931D-0BC6D7BFBE45}" presName="node" presStyleLbl="node1" presStyleIdx="1" presStyleCnt="4">
        <dgm:presLayoutVars>
          <dgm:bulletEnabled val="1"/>
        </dgm:presLayoutVars>
      </dgm:prSet>
      <dgm:spPr/>
    </dgm:pt>
    <dgm:pt modelId="{E125A3CA-FADD-4F20-B662-6F94505A6338}" type="pres">
      <dgm:prSet presAssocID="{F38B7811-E17E-47BC-937F-E55E50498197}" presName="parTrans" presStyleLbl="bgSibTrans2D1" presStyleIdx="2" presStyleCnt="4"/>
      <dgm:spPr/>
    </dgm:pt>
    <dgm:pt modelId="{1729A613-ECA3-43BE-8484-CB700A3A048C}" type="pres">
      <dgm:prSet presAssocID="{DAA24941-B641-430E-884A-FF90A59BDADF}" presName="node" presStyleLbl="node1" presStyleIdx="2" presStyleCnt="4">
        <dgm:presLayoutVars>
          <dgm:bulletEnabled val="1"/>
        </dgm:presLayoutVars>
      </dgm:prSet>
      <dgm:spPr/>
    </dgm:pt>
    <dgm:pt modelId="{E5E0D666-8A0A-4954-80EC-77D286CE323F}" type="pres">
      <dgm:prSet presAssocID="{B80992B9-9FDA-4589-950F-CF3261ECEB6E}" presName="parTrans" presStyleLbl="bgSibTrans2D1" presStyleIdx="3" presStyleCnt="4"/>
      <dgm:spPr/>
    </dgm:pt>
    <dgm:pt modelId="{D6EFDDC1-3C96-49C5-BAC0-2C0126D15D9D}" type="pres">
      <dgm:prSet presAssocID="{FE2B5121-FEDF-4205-90BE-6160D1CB0975}" presName="node" presStyleLbl="node1" presStyleIdx="3" presStyleCnt="4">
        <dgm:presLayoutVars>
          <dgm:bulletEnabled val="1"/>
        </dgm:presLayoutVars>
      </dgm:prSet>
      <dgm:spPr/>
    </dgm:pt>
  </dgm:ptLst>
  <dgm:cxnLst>
    <dgm:cxn modelId="{3CABD600-2B0E-46D5-8B30-43D69A73B64C}" srcId="{523E2A86-D6A3-4482-AA9A-BF1477B3911E}" destId="{E96CBA39-16C2-4884-B1DE-6FEA2512C5E1}" srcOrd="0" destOrd="0" parTransId="{E8CFD710-2972-4E47-A8CB-8A8835EC3BF0}" sibTransId="{64C8D2E6-B4DB-4D9E-9594-E0ADBC469DD4}"/>
    <dgm:cxn modelId="{9CA7BB1E-5BC9-42AF-B0C8-29206C6557FA}" srcId="{E96CBA39-16C2-4884-B1DE-6FEA2512C5E1}" destId="{B0D421EE-BF9D-4C0F-8360-092B7A49BAEB}" srcOrd="0" destOrd="0" parTransId="{888B5982-A1D2-44CD-9825-41EAA5AF9787}" sibTransId="{51A3F545-A744-4152-B08C-A0A2B4F7BC19}"/>
    <dgm:cxn modelId="{88EF6F33-0C0B-42FE-AF2C-A5C25391E9F0}" type="presOf" srcId="{B0D421EE-BF9D-4C0F-8360-092B7A49BAEB}" destId="{6C68B4ED-72EB-41EE-9D83-7B2B4D02203D}" srcOrd="0" destOrd="0" presId="urn:microsoft.com/office/officeart/2005/8/layout/radial4"/>
    <dgm:cxn modelId="{7C7DA667-8CAA-40D5-BDB0-7B4A7055EEB2}" type="presOf" srcId="{523E2A86-D6A3-4482-AA9A-BF1477B3911E}" destId="{FD50F836-A01A-4077-8262-0E66EFF14E48}" srcOrd="0" destOrd="0" presId="urn:microsoft.com/office/officeart/2005/8/layout/radial4"/>
    <dgm:cxn modelId="{15317772-923F-46AA-8214-6823CE4C1F17}" type="presOf" srcId="{F38B7811-E17E-47BC-937F-E55E50498197}" destId="{E125A3CA-FADD-4F20-B662-6F94505A6338}" srcOrd="0" destOrd="0" presId="urn:microsoft.com/office/officeart/2005/8/layout/radial4"/>
    <dgm:cxn modelId="{76B0417C-C59D-4706-86A5-E71F3568379F}" srcId="{E96CBA39-16C2-4884-B1DE-6FEA2512C5E1}" destId="{52B86FC9-ADCB-4646-931D-0BC6D7BFBE45}" srcOrd="1" destOrd="0" parTransId="{3F5035F5-F667-490B-BD7C-F8B8309FAD7C}" sibTransId="{58FB1A64-F001-4C70-B04B-E5A688C44700}"/>
    <dgm:cxn modelId="{250C5D84-C8AB-43F8-A697-E23F3F093D10}" type="presOf" srcId="{DAA24941-B641-430E-884A-FF90A59BDADF}" destId="{1729A613-ECA3-43BE-8484-CB700A3A048C}" srcOrd="0" destOrd="0" presId="urn:microsoft.com/office/officeart/2005/8/layout/radial4"/>
    <dgm:cxn modelId="{08DB039F-3149-40A7-9047-62C8D2F31A9B}" type="presOf" srcId="{B80992B9-9FDA-4589-950F-CF3261ECEB6E}" destId="{E5E0D666-8A0A-4954-80EC-77D286CE323F}" srcOrd="0" destOrd="0" presId="urn:microsoft.com/office/officeart/2005/8/layout/radial4"/>
    <dgm:cxn modelId="{11C077A6-EA62-431B-A9D9-CE191B5D9028}" srcId="{E96CBA39-16C2-4884-B1DE-6FEA2512C5E1}" destId="{DAA24941-B641-430E-884A-FF90A59BDADF}" srcOrd="2" destOrd="0" parTransId="{F38B7811-E17E-47BC-937F-E55E50498197}" sibTransId="{DB8DDE04-5116-4DE5-848B-06F42D8C302F}"/>
    <dgm:cxn modelId="{916848B4-3A54-4440-85DC-836ED4722C0A}" type="presOf" srcId="{FE2B5121-FEDF-4205-90BE-6160D1CB0975}" destId="{D6EFDDC1-3C96-49C5-BAC0-2C0126D15D9D}" srcOrd="0" destOrd="0" presId="urn:microsoft.com/office/officeart/2005/8/layout/radial4"/>
    <dgm:cxn modelId="{DAE979B4-FBF4-4B91-B2D8-AFD21E34F9FF}" type="presOf" srcId="{888B5982-A1D2-44CD-9825-41EAA5AF9787}" destId="{7DBD7795-2350-4BC7-B18C-969FA56B61B0}" srcOrd="0" destOrd="0" presId="urn:microsoft.com/office/officeart/2005/8/layout/radial4"/>
    <dgm:cxn modelId="{8B2FD3C4-BB0E-41F8-A22A-62E3B6025B2A}" type="presOf" srcId="{E96CBA39-16C2-4884-B1DE-6FEA2512C5E1}" destId="{2FB080E2-C4A5-4C7B-BD55-C4CCE395D8C3}" srcOrd="0" destOrd="0" presId="urn:microsoft.com/office/officeart/2005/8/layout/radial4"/>
    <dgm:cxn modelId="{15FC85CE-BA59-45E2-A7AE-E33D6E65E8EC}" type="presOf" srcId="{3F5035F5-F667-490B-BD7C-F8B8309FAD7C}" destId="{E58415AC-EBF0-4A8D-94F6-40AF0CA106DF}" srcOrd="0" destOrd="0" presId="urn:microsoft.com/office/officeart/2005/8/layout/radial4"/>
    <dgm:cxn modelId="{B17E15D9-4616-42E6-B5BD-EAB0C864F3AE}" srcId="{E96CBA39-16C2-4884-B1DE-6FEA2512C5E1}" destId="{FE2B5121-FEDF-4205-90BE-6160D1CB0975}" srcOrd="3" destOrd="0" parTransId="{B80992B9-9FDA-4589-950F-CF3261ECEB6E}" sibTransId="{67E88617-9E41-4AFB-8384-5C9A1EC3B084}"/>
    <dgm:cxn modelId="{771165EA-B86E-4308-9545-439B502206D4}" type="presOf" srcId="{52B86FC9-ADCB-4646-931D-0BC6D7BFBE45}" destId="{D869D0EF-3867-4050-B4ED-65701607F968}" srcOrd="0" destOrd="0" presId="urn:microsoft.com/office/officeart/2005/8/layout/radial4"/>
    <dgm:cxn modelId="{0D190212-E038-45C2-B108-CBDE2284C87C}" type="presParOf" srcId="{FD50F836-A01A-4077-8262-0E66EFF14E48}" destId="{2FB080E2-C4A5-4C7B-BD55-C4CCE395D8C3}" srcOrd="0" destOrd="0" presId="urn:microsoft.com/office/officeart/2005/8/layout/radial4"/>
    <dgm:cxn modelId="{8C5AFB79-9114-43FA-817D-591E3A92C329}" type="presParOf" srcId="{FD50F836-A01A-4077-8262-0E66EFF14E48}" destId="{7DBD7795-2350-4BC7-B18C-969FA56B61B0}" srcOrd="1" destOrd="0" presId="urn:microsoft.com/office/officeart/2005/8/layout/radial4"/>
    <dgm:cxn modelId="{B4CF1E4A-B9CA-42A1-B2BA-058E0DEFA5D4}" type="presParOf" srcId="{FD50F836-A01A-4077-8262-0E66EFF14E48}" destId="{6C68B4ED-72EB-41EE-9D83-7B2B4D02203D}" srcOrd="2" destOrd="0" presId="urn:microsoft.com/office/officeart/2005/8/layout/radial4"/>
    <dgm:cxn modelId="{8C11652D-77E6-4E67-B6C8-E46769352B19}" type="presParOf" srcId="{FD50F836-A01A-4077-8262-0E66EFF14E48}" destId="{E58415AC-EBF0-4A8D-94F6-40AF0CA106DF}" srcOrd="3" destOrd="0" presId="urn:microsoft.com/office/officeart/2005/8/layout/radial4"/>
    <dgm:cxn modelId="{6257C7D9-C673-4941-858D-7C4B410C3C76}" type="presParOf" srcId="{FD50F836-A01A-4077-8262-0E66EFF14E48}" destId="{D869D0EF-3867-4050-B4ED-65701607F968}" srcOrd="4" destOrd="0" presId="urn:microsoft.com/office/officeart/2005/8/layout/radial4"/>
    <dgm:cxn modelId="{0A5E0875-E8F6-497B-BCE8-BC888DB37BC2}" type="presParOf" srcId="{FD50F836-A01A-4077-8262-0E66EFF14E48}" destId="{E125A3CA-FADD-4F20-B662-6F94505A6338}" srcOrd="5" destOrd="0" presId="urn:microsoft.com/office/officeart/2005/8/layout/radial4"/>
    <dgm:cxn modelId="{89601946-1AE2-4CCF-9F22-F90E19E7AF4A}" type="presParOf" srcId="{FD50F836-A01A-4077-8262-0E66EFF14E48}" destId="{1729A613-ECA3-43BE-8484-CB700A3A048C}" srcOrd="6" destOrd="0" presId="urn:microsoft.com/office/officeart/2005/8/layout/radial4"/>
    <dgm:cxn modelId="{0D08BFAA-93A3-4A61-B888-5E157AA0A2B5}" type="presParOf" srcId="{FD50F836-A01A-4077-8262-0E66EFF14E48}" destId="{E5E0D666-8A0A-4954-80EC-77D286CE323F}" srcOrd="7" destOrd="0" presId="urn:microsoft.com/office/officeart/2005/8/layout/radial4"/>
    <dgm:cxn modelId="{8DE188CE-9446-4402-828F-05CC5EDD5ACC}" type="presParOf" srcId="{FD50F836-A01A-4077-8262-0E66EFF14E48}" destId="{D6EFDDC1-3C96-49C5-BAC0-2C0126D15D9D}" srcOrd="8" destOrd="0" presId="urn:microsoft.com/office/officeart/2005/8/layout/radial4"/>
  </dgm:cxnLst>
  <dgm:bg/>
  <dgm:whole/>
  <dgm:extLst>
    <a:ext uri="http://schemas.microsoft.com/office/drawing/2008/diagram">
      <dsp:dataModelExt xmlns:dsp="http://schemas.microsoft.com/office/drawing/2008/diagram" relId="rId30"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523E2A86-D6A3-4482-AA9A-BF1477B3911E}" type="doc">
      <dgm:prSet loTypeId="urn:microsoft.com/office/officeart/2005/8/layout/radial4" loCatId="relationship" qsTypeId="urn:microsoft.com/office/officeart/2005/8/quickstyle/simple1" qsCatId="simple" csTypeId="urn:microsoft.com/office/officeart/2005/8/colors/accent1_2" csCatId="accent1" phldr="1"/>
      <dgm:spPr/>
      <dgm:t>
        <a:bodyPr/>
        <a:lstStyle/>
        <a:p>
          <a:endParaRPr lang="en-IN"/>
        </a:p>
      </dgm:t>
    </dgm:pt>
    <dgm:pt modelId="{E96CBA39-16C2-4884-B1DE-6FEA2512C5E1}">
      <dgm:prSet phldrT="[Text]"/>
      <dgm:spPr/>
      <dgm:t>
        <a:bodyPr/>
        <a:lstStyle/>
        <a:p>
          <a:r>
            <a:rPr lang="en-IN"/>
            <a:t>C, H Unit &amp; 48 Plot Filling Total = 4827 CUM</a:t>
          </a:r>
        </a:p>
      </dgm:t>
    </dgm:pt>
    <dgm:pt modelId="{E8CFD710-2972-4E47-A8CB-8A8835EC3BF0}" type="parTrans" cxnId="{3CABD600-2B0E-46D5-8B30-43D69A73B64C}">
      <dgm:prSet/>
      <dgm:spPr/>
      <dgm:t>
        <a:bodyPr/>
        <a:lstStyle/>
        <a:p>
          <a:endParaRPr lang="en-IN"/>
        </a:p>
      </dgm:t>
    </dgm:pt>
    <dgm:pt modelId="{64C8D2E6-B4DB-4D9E-9594-E0ADBC469DD4}" type="sibTrans" cxnId="{3CABD600-2B0E-46D5-8B30-43D69A73B64C}">
      <dgm:prSet/>
      <dgm:spPr/>
      <dgm:t>
        <a:bodyPr/>
        <a:lstStyle/>
        <a:p>
          <a:endParaRPr lang="en-IN"/>
        </a:p>
      </dgm:t>
    </dgm:pt>
    <dgm:pt modelId="{B0D421EE-BF9D-4C0F-8360-092B7A49BAEB}">
      <dgm:prSet phldrT="[Text]"/>
      <dgm:spPr/>
      <dgm:t>
        <a:bodyPr/>
        <a:lstStyle/>
        <a:p>
          <a:r>
            <a:rPr lang="en-IN"/>
            <a:t>Plot-36   220 CUM</a:t>
          </a:r>
        </a:p>
      </dgm:t>
    </dgm:pt>
    <dgm:pt modelId="{888B5982-A1D2-44CD-9825-41EAA5AF9787}" type="parTrans" cxnId="{9CA7BB1E-5BC9-42AF-B0C8-29206C6557FA}">
      <dgm:prSet/>
      <dgm:spPr/>
      <dgm:t>
        <a:bodyPr/>
        <a:lstStyle/>
        <a:p>
          <a:endParaRPr lang="en-IN"/>
        </a:p>
      </dgm:t>
    </dgm:pt>
    <dgm:pt modelId="{51A3F545-A744-4152-B08C-A0A2B4F7BC19}" type="sibTrans" cxnId="{9CA7BB1E-5BC9-42AF-B0C8-29206C6557FA}">
      <dgm:prSet/>
      <dgm:spPr/>
      <dgm:t>
        <a:bodyPr/>
        <a:lstStyle/>
        <a:p>
          <a:endParaRPr lang="en-IN"/>
        </a:p>
      </dgm:t>
    </dgm:pt>
    <dgm:pt modelId="{52B86FC9-ADCB-4646-931D-0BC6D7BFBE45}">
      <dgm:prSet phldrT="[Text]"/>
      <dgm:spPr/>
      <dgm:t>
        <a:bodyPr/>
        <a:lstStyle/>
        <a:p>
          <a:r>
            <a:rPr lang="en-IN"/>
            <a:t>Plot-37    162 CUM</a:t>
          </a:r>
        </a:p>
      </dgm:t>
    </dgm:pt>
    <dgm:pt modelId="{3F5035F5-F667-490B-BD7C-F8B8309FAD7C}" type="parTrans" cxnId="{76B0417C-C59D-4706-86A5-E71F3568379F}">
      <dgm:prSet/>
      <dgm:spPr/>
      <dgm:t>
        <a:bodyPr/>
        <a:lstStyle/>
        <a:p>
          <a:endParaRPr lang="en-IN"/>
        </a:p>
      </dgm:t>
    </dgm:pt>
    <dgm:pt modelId="{58FB1A64-F001-4C70-B04B-E5A688C44700}" type="sibTrans" cxnId="{76B0417C-C59D-4706-86A5-E71F3568379F}">
      <dgm:prSet/>
      <dgm:spPr/>
      <dgm:t>
        <a:bodyPr/>
        <a:lstStyle/>
        <a:p>
          <a:endParaRPr lang="en-IN"/>
        </a:p>
      </dgm:t>
    </dgm:pt>
    <dgm:pt modelId="{DAA24941-B641-430E-884A-FF90A59BDADF}">
      <dgm:prSet phldrT="[Text]"/>
      <dgm:spPr/>
      <dgm:t>
        <a:bodyPr/>
        <a:lstStyle/>
        <a:p>
          <a:r>
            <a:rPr lang="en-IN"/>
            <a:t>Plot-38   104 CUM</a:t>
          </a:r>
        </a:p>
      </dgm:t>
    </dgm:pt>
    <dgm:pt modelId="{F38B7811-E17E-47BC-937F-E55E50498197}" type="parTrans" cxnId="{11C077A6-EA62-431B-A9D9-CE191B5D9028}">
      <dgm:prSet/>
      <dgm:spPr/>
      <dgm:t>
        <a:bodyPr/>
        <a:lstStyle/>
        <a:p>
          <a:endParaRPr lang="en-IN"/>
        </a:p>
      </dgm:t>
    </dgm:pt>
    <dgm:pt modelId="{DB8DDE04-5116-4DE5-848B-06F42D8C302F}" type="sibTrans" cxnId="{11C077A6-EA62-431B-A9D9-CE191B5D9028}">
      <dgm:prSet/>
      <dgm:spPr/>
      <dgm:t>
        <a:bodyPr/>
        <a:lstStyle/>
        <a:p>
          <a:endParaRPr lang="en-IN"/>
        </a:p>
      </dgm:t>
    </dgm:pt>
    <dgm:pt modelId="{CD83E50B-3D59-4ADC-B671-9E26F2730532}">
      <dgm:prSet phldrT="[Text]"/>
      <dgm:spPr/>
      <dgm:t>
        <a:bodyPr/>
        <a:lstStyle/>
        <a:p>
          <a:r>
            <a:rPr lang="en-IN"/>
            <a:t>Total Cutting = 4565</a:t>
          </a:r>
        </a:p>
      </dgm:t>
    </dgm:pt>
    <dgm:pt modelId="{3E3B4D68-0280-47D6-AE0E-28B34DB8D307}" type="parTrans" cxnId="{064383DC-62FA-4E63-8402-A11B2CC48236}">
      <dgm:prSet/>
      <dgm:spPr/>
      <dgm:t>
        <a:bodyPr/>
        <a:lstStyle/>
        <a:p>
          <a:endParaRPr lang="en-IN"/>
        </a:p>
      </dgm:t>
    </dgm:pt>
    <dgm:pt modelId="{68A70FAA-913E-491E-A6A0-C49706552A39}" type="sibTrans" cxnId="{064383DC-62FA-4E63-8402-A11B2CC48236}">
      <dgm:prSet/>
      <dgm:spPr/>
      <dgm:t>
        <a:bodyPr/>
        <a:lstStyle/>
        <a:p>
          <a:endParaRPr lang="en-IN"/>
        </a:p>
      </dgm:t>
    </dgm:pt>
    <dgm:pt modelId="{FE2B5121-FEDF-4205-90BE-6160D1CB0975}">
      <dgm:prSet phldrT="[Text]"/>
      <dgm:spPr/>
      <dgm:t>
        <a:bodyPr/>
        <a:lstStyle/>
        <a:p>
          <a:r>
            <a:rPr lang="en-IN"/>
            <a:t>Plot-39    47 CUM</a:t>
          </a:r>
        </a:p>
      </dgm:t>
    </dgm:pt>
    <dgm:pt modelId="{B80992B9-9FDA-4589-950F-CF3261ECEB6E}" type="parTrans" cxnId="{B17E15D9-4616-42E6-B5BD-EAB0C864F3AE}">
      <dgm:prSet/>
      <dgm:spPr/>
      <dgm:t>
        <a:bodyPr/>
        <a:lstStyle/>
        <a:p>
          <a:endParaRPr lang="en-IN"/>
        </a:p>
      </dgm:t>
    </dgm:pt>
    <dgm:pt modelId="{67E88617-9E41-4AFB-8384-5C9A1EC3B084}" type="sibTrans" cxnId="{B17E15D9-4616-42E6-B5BD-EAB0C864F3AE}">
      <dgm:prSet/>
      <dgm:spPr/>
      <dgm:t>
        <a:bodyPr/>
        <a:lstStyle/>
        <a:p>
          <a:endParaRPr lang="en-IN"/>
        </a:p>
      </dgm:t>
    </dgm:pt>
    <dgm:pt modelId="{5FF526C4-64F8-4F31-B53F-FC48D98C2DD9}">
      <dgm:prSet phldrT="[Text]"/>
      <dgm:spPr/>
      <dgm:t>
        <a:bodyPr/>
        <a:lstStyle/>
        <a:p>
          <a:r>
            <a:rPr lang="en-IN"/>
            <a:t>Plot-57   1461 CUM</a:t>
          </a:r>
        </a:p>
      </dgm:t>
    </dgm:pt>
    <dgm:pt modelId="{680A751F-A3D8-4F8E-8C43-50B9E6459763}" type="parTrans" cxnId="{DF1669D0-D7E1-4B56-AE34-8A69E1A26732}">
      <dgm:prSet/>
      <dgm:spPr/>
      <dgm:t>
        <a:bodyPr/>
        <a:lstStyle/>
        <a:p>
          <a:endParaRPr lang="en-IN"/>
        </a:p>
      </dgm:t>
    </dgm:pt>
    <dgm:pt modelId="{9044CB7C-4040-4272-A8F7-FD0076720D33}" type="sibTrans" cxnId="{DF1669D0-D7E1-4B56-AE34-8A69E1A26732}">
      <dgm:prSet/>
      <dgm:spPr/>
      <dgm:t>
        <a:bodyPr/>
        <a:lstStyle/>
        <a:p>
          <a:endParaRPr lang="en-IN"/>
        </a:p>
      </dgm:t>
    </dgm:pt>
    <dgm:pt modelId="{E63BC491-9DDB-42F7-A06D-AC316E229BE0}">
      <dgm:prSet phldrT="[Text]"/>
      <dgm:spPr/>
      <dgm:t>
        <a:bodyPr/>
        <a:lstStyle/>
        <a:p>
          <a:r>
            <a:rPr lang="en-IN"/>
            <a:t>Plot-58  240 CUM</a:t>
          </a:r>
        </a:p>
      </dgm:t>
    </dgm:pt>
    <dgm:pt modelId="{B34451E4-3D5A-480D-87A0-05B2B9B16829}" type="parTrans" cxnId="{A87C6810-7168-40C4-AE51-5E07B76ACC44}">
      <dgm:prSet/>
      <dgm:spPr/>
      <dgm:t>
        <a:bodyPr/>
        <a:lstStyle/>
        <a:p>
          <a:endParaRPr lang="en-IN"/>
        </a:p>
      </dgm:t>
    </dgm:pt>
    <dgm:pt modelId="{8FBCF0EE-7BAE-4298-9EF8-A379301EE2D1}" type="sibTrans" cxnId="{A87C6810-7168-40C4-AE51-5E07B76ACC44}">
      <dgm:prSet/>
      <dgm:spPr/>
      <dgm:t>
        <a:bodyPr/>
        <a:lstStyle/>
        <a:p>
          <a:endParaRPr lang="en-IN"/>
        </a:p>
      </dgm:t>
    </dgm:pt>
    <dgm:pt modelId="{948C3B40-9B6F-47F8-BA80-BC25A550C525}">
      <dgm:prSet phldrT="[Text]"/>
      <dgm:spPr/>
      <dgm:t>
        <a:bodyPr/>
        <a:lstStyle/>
        <a:p>
          <a:r>
            <a:rPr lang="en-IN"/>
            <a:t>Plot-59  2331 CUM</a:t>
          </a:r>
        </a:p>
      </dgm:t>
    </dgm:pt>
    <dgm:pt modelId="{854E8EB6-C312-4F98-A768-CEF82F38BEF6}" type="parTrans" cxnId="{D2BEF400-8E81-45FA-8E7E-A0A7F83BE4E2}">
      <dgm:prSet/>
      <dgm:spPr/>
      <dgm:t>
        <a:bodyPr/>
        <a:lstStyle/>
        <a:p>
          <a:endParaRPr lang="en-IN"/>
        </a:p>
      </dgm:t>
    </dgm:pt>
    <dgm:pt modelId="{BBD4215E-2311-442C-A530-39B83660A966}" type="sibTrans" cxnId="{D2BEF400-8E81-45FA-8E7E-A0A7F83BE4E2}">
      <dgm:prSet/>
      <dgm:spPr/>
      <dgm:t>
        <a:bodyPr/>
        <a:lstStyle/>
        <a:p>
          <a:endParaRPr lang="en-IN"/>
        </a:p>
      </dgm:t>
    </dgm:pt>
    <dgm:pt modelId="{FD50F836-A01A-4077-8262-0E66EFF14E48}" type="pres">
      <dgm:prSet presAssocID="{523E2A86-D6A3-4482-AA9A-BF1477B3911E}" presName="cycle" presStyleCnt="0">
        <dgm:presLayoutVars>
          <dgm:chMax val="1"/>
          <dgm:dir/>
          <dgm:animLvl val="ctr"/>
          <dgm:resizeHandles val="exact"/>
        </dgm:presLayoutVars>
      </dgm:prSet>
      <dgm:spPr/>
    </dgm:pt>
    <dgm:pt modelId="{2FB080E2-C4A5-4C7B-BD55-C4CCE395D8C3}" type="pres">
      <dgm:prSet presAssocID="{E96CBA39-16C2-4884-B1DE-6FEA2512C5E1}" presName="centerShape" presStyleLbl="node0" presStyleIdx="0" presStyleCnt="1" custScaleX="105223" custScaleY="76815"/>
      <dgm:spPr/>
    </dgm:pt>
    <dgm:pt modelId="{7DBD7795-2350-4BC7-B18C-969FA56B61B0}" type="pres">
      <dgm:prSet presAssocID="{888B5982-A1D2-44CD-9825-41EAA5AF9787}" presName="parTrans" presStyleLbl="bgSibTrans2D1" presStyleIdx="0" presStyleCnt="8"/>
      <dgm:spPr/>
    </dgm:pt>
    <dgm:pt modelId="{6C68B4ED-72EB-41EE-9D83-7B2B4D02203D}" type="pres">
      <dgm:prSet presAssocID="{B0D421EE-BF9D-4C0F-8360-092B7A49BAEB}" presName="node" presStyleLbl="node1" presStyleIdx="0" presStyleCnt="8">
        <dgm:presLayoutVars>
          <dgm:bulletEnabled val="1"/>
        </dgm:presLayoutVars>
      </dgm:prSet>
      <dgm:spPr/>
    </dgm:pt>
    <dgm:pt modelId="{E58415AC-EBF0-4A8D-94F6-40AF0CA106DF}" type="pres">
      <dgm:prSet presAssocID="{3F5035F5-F667-490B-BD7C-F8B8309FAD7C}" presName="parTrans" presStyleLbl="bgSibTrans2D1" presStyleIdx="1" presStyleCnt="8"/>
      <dgm:spPr/>
    </dgm:pt>
    <dgm:pt modelId="{D869D0EF-3867-4050-B4ED-65701607F968}" type="pres">
      <dgm:prSet presAssocID="{52B86FC9-ADCB-4646-931D-0BC6D7BFBE45}" presName="node" presStyleLbl="node1" presStyleIdx="1" presStyleCnt="8">
        <dgm:presLayoutVars>
          <dgm:bulletEnabled val="1"/>
        </dgm:presLayoutVars>
      </dgm:prSet>
      <dgm:spPr/>
    </dgm:pt>
    <dgm:pt modelId="{E125A3CA-FADD-4F20-B662-6F94505A6338}" type="pres">
      <dgm:prSet presAssocID="{F38B7811-E17E-47BC-937F-E55E50498197}" presName="parTrans" presStyleLbl="bgSibTrans2D1" presStyleIdx="2" presStyleCnt="8"/>
      <dgm:spPr/>
    </dgm:pt>
    <dgm:pt modelId="{1729A613-ECA3-43BE-8484-CB700A3A048C}" type="pres">
      <dgm:prSet presAssocID="{DAA24941-B641-430E-884A-FF90A59BDADF}" presName="node" presStyleLbl="node1" presStyleIdx="2" presStyleCnt="8">
        <dgm:presLayoutVars>
          <dgm:bulletEnabled val="1"/>
        </dgm:presLayoutVars>
      </dgm:prSet>
      <dgm:spPr/>
    </dgm:pt>
    <dgm:pt modelId="{E5E0D666-8A0A-4954-80EC-77D286CE323F}" type="pres">
      <dgm:prSet presAssocID="{B80992B9-9FDA-4589-950F-CF3261ECEB6E}" presName="parTrans" presStyleLbl="bgSibTrans2D1" presStyleIdx="3" presStyleCnt="8"/>
      <dgm:spPr/>
    </dgm:pt>
    <dgm:pt modelId="{D6EFDDC1-3C96-49C5-BAC0-2C0126D15D9D}" type="pres">
      <dgm:prSet presAssocID="{FE2B5121-FEDF-4205-90BE-6160D1CB0975}" presName="node" presStyleLbl="node1" presStyleIdx="3" presStyleCnt="8">
        <dgm:presLayoutVars>
          <dgm:bulletEnabled val="1"/>
        </dgm:presLayoutVars>
      </dgm:prSet>
      <dgm:spPr/>
    </dgm:pt>
    <dgm:pt modelId="{23A10D7B-8B75-4A9C-9EFC-FB9EBF74814A}" type="pres">
      <dgm:prSet presAssocID="{680A751F-A3D8-4F8E-8C43-50B9E6459763}" presName="parTrans" presStyleLbl="bgSibTrans2D1" presStyleIdx="4" presStyleCnt="8"/>
      <dgm:spPr/>
    </dgm:pt>
    <dgm:pt modelId="{1E240375-9B7D-485B-810A-61294FA701A9}" type="pres">
      <dgm:prSet presAssocID="{5FF526C4-64F8-4F31-B53F-FC48D98C2DD9}" presName="node" presStyleLbl="node1" presStyleIdx="4" presStyleCnt="8">
        <dgm:presLayoutVars>
          <dgm:bulletEnabled val="1"/>
        </dgm:presLayoutVars>
      </dgm:prSet>
      <dgm:spPr/>
    </dgm:pt>
    <dgm:pt modelId="{0615BB54-5005-43B8-A5DB-DF63843997D0}" type="pres">
      <dgm:prSet presAssocID="{B34451E4-3D5A-480D-87A0-05B2B9B16829}" presName="parTrans" presStyleLbl="bgSibTrans2D1" presStyleIdx="5" presStyleCnt="8"/>
      <dgm:spPr/>
    </dgm:pt>
    <dgm:pt modelId="{068F369B-E0D5-4161-A0F5-9249CC3B7189}" type="pres">
      <dgm:prSet presAssocID="{E63BC491-9DDB-42F7-A06D-AC316E229BE0}" presName="node" presStyleLbl="node1" presStyleIdx="5" presStyleCnt="8">
        <dgm:presLayoutVars>
          <dgm:bulletEnabled val="1"/>
        </dgm:presLayoutVars>
      </dgm:prSet>
      <dgm:spPr/>
    </dgm:pt>
    <dgm:pt modelId="{4FDB9A58-998A-4D36-A45B-3E5B0DC8C490}" type="pres">
      <dgm:prSet presAssocID="{854E8EB6-C312-4F98-A768-CEF82F38BEF6}" presName="parTrans" presStyleLbl="bgSibTrans2D1" presStyleIdx="6" presStyleCnt="8"/>
      <dgm:spPr/>
    </dgm:pt>
    <dgm:pt modelId="{4CD4BB9D-B69D-475F-A6B8-E7047E260E37}" type="pres">
      <dgm:prSet presAssocID="{948C3B40-9B6F-47F8-BA80-BC25A550C525}" presName="node" presStyleLbl="node1" presStyleIdx="6" presStyleCnt="8">
        <dgm:presLayoutVars>
          <dgm:bulletEnabled val="1"/>
        </dgm:presLayoutVars>
      </dgm:prSet>
      <dgm:spPr/>
    </dgm:pt>
    <dgm:pt modelId="{93BBDF70-D9BD-4A0A-84C9-5AC62E9056C9}" type="pres">
      <dgm:prSet presAssocID="{3E3B4D68-0280-47D6-AE0E-28B34DB8D307}" presName="parTrans" presStyleLbl="bgSibTrans2D1" presStyleIdx="7" presStyleCnt="8"/>
      <dgm:spPr/>
    </dgm:pt>
    <dgm:pt modelId="{2FDE60FA-BD0F-47A1-93AE-689B8D834EED}" type="pres">
      <dgm:prSet presAssocID="{CD83E50B-3D59-4ADC-B671-9E26F2730532}" presName="node" presStyleLbl="node1" presStyleIdx="7" presStyleCnt="8">
        <dgm:presLayoutVars>
          <dgm:bulletEnabled val="1"/>
        </dgm:presLayoutVars>
      </dgm:prSet>
      <dgm:spPr/>
    </dgm:pt>
  </dgm:ptLst>
  <dgm:cxnLst>
    <dgm:cxn modelId="{3CABD600-2B0E-46D5-8B30-43D69A73B64C}" srcId="{523E2A86-D6A3-4482-AA9A-BF1477B3911E}" destId="{E96CBA39-16C2-4884-B1DE-6FEA2512C5E1}" srcOrd="0" destOrd="0" parTransId="{E8CFD710-2972-4E47-A8CB-8A8835EC3BF0}" sibTransId="{64C8D2E6-B4DB-4D9E-9594-E0ADBC469DD4}"/>
    <dgm:cxn modelId="{D2BEF400-8E81-45FA-8E7E-A0A7F83BE4E2}" srcId="{E96CBA39-16C2-4884-B1DE-6FEA2512C5E1}" destId="{948C3B40-9B6F-47F8-BA80-BC25A550C525}" srcOrd="6" destOrd="0" parTransId="{854E8EB6-C312-4F98-A768-CEF82F38BEF6}" sibTransId="{BBD4215E-2311-442C-A530-39B83660A966}"/>
    <dgm:cxn modelId="{A87C6810-7168-40C4-AE51-5E07B76ACC44}" srcId="{E96CBA39-16C2-4884-B1DE-6FEA2512C5E1}" destId="{E63BC491-9DDB-42F7-A06D-AC316E229BE0}" srcOrd="5" destOrd="0" parTransId="{B34451E4-3D5A-480D-87A0-05B2B9B16829}" sibTransId="{8FBCF0EE-7BAE-4298-9EF8-A379301EE2D1}"/>
    <dgm:cxn modelId="{9CA7BB1E-5BC9-42AF-B0C8-29206C6557FA}" srcId="{E96CBA39-16C2-4884-B1DE-6FEA2512C5E1}" destId="{B0D421EE-BF9D-4C0F-8360-092B7A49BAEB}" srcOrd="0" destOrd="0" parTransId="{888B5982-A1D2-44CD-9825-41EAA5AF9787}" sibTransId="{51A3F545-A744-4152-B08C-A0A2B4F7BC19}"/>
    <dgm:cxn modelId="{0A5C9724-81E6-420F-9B1B-5CA3E306B0A2}" type="presOf" srcId="{948C3B40-9B6F-47F8-BA80-BC25A550C525}" destId="{4CD4BB9D-B69D-475F-A6B8-E7047E260E37}" srcOrd="0" destOrd="0" presId="urn:microsoft.com/office/officeart/2005/8/layout/radial4"/>
    <dgm:cxn modelId="{88EF6F33-0C0B-42FE-AF2C-A5C25391E9F0}" type="presOf" srcId="{B0D421EE-BF9D-4C0F-8360-092B7A49BAEB}" destId="{6C68B4ED-72EB-41EE-9D83-7B2B4D02203D}" srcOrd="0" destOrd="0" presId="urn:microsoft.com/office/officeart/2005/8/layout/radial4"/>
    <dgm:cxn modelId="{F456B933-B201-4716-8BF0-6AA50129D67D}" type="presOf" srcId="{3E3B4D68-0280-47D6-AE0E-28B34DB8D307}" destId="{93BBDF70-D9BD-4A0A-84C9-5AC62E9056C9}" srcOrd="0" destOrd="0" presId="urn:microsoft.com/office/officeart/2005/8/layout/radial4"/>
    <dgm:cxn modelId="{9A1E043F-D0AE-49D8-9953-D52C09ECC2EC}" type="presOf" srcId="{B34451E4-3D5A-480D-87A0-05B2B9B16829}" destId="{0615BB54-5005-43B8-A5DB-DF63843997D0}" srcOrd="0" destOrd="0" presId="urn:microsoft.com/office/officeart/2005/8/layout/radial4"/>
    <dgm:cxn modelId="{79603B3F-9DC9-4534-894B-197E9573999C}" type="presOf" srcId="{CD83E50B-3D59-4ADC-B671-9E26F2730532}" destId="{2FDE60FA-BD0F-47A1-93AE-689B8D834EED}" srcOrd="0" destOrd="0" presId="urn:microsoft.com/office/officeart/2005/8/layout/radial4"/>
    <dgm:cxn modelId="{F8FAD840-10A8-44F0-8C9B-7DDCD52DB457}" type="presOf" srcId="{854E8EB6-C312-4F98-A768-CEF82F38BEF6}" destId="{4FDB9A58-998A-4D36-A45B-3E5B0DC8C490}" srcOrd="0" destOrd="0" presId="urn:microsoft.com/office/officeart/2005/8/layout/radial4"/>
    <dgm:cxn modelId="{7C7DA667-8CAA-40D5-BDB0-7B4A7055EEB2}" type="presOf" srcId="{523E2A86-D6A3-4482-AA9A-BF1477B3911E}" destId="{FD50F836-A01A-4077-8262-0E66EFF14E48}" srcOrd="0" destOrd="0" presId="urn:microsoft.com/office/officeart/2005/8/layout/radial4"/>
    <dgm:cxn modelId="{15317772-923F-46AA-8214-6823CE4C1F17}" type="presOf" srcId="{F38B7811-E17E-47BC-937F-E55E50498197}" destId="{E125A3CA-FADD-4F20-B662-6F94505A6338}" srcOrd="0" destOrd="0" presId="urn:microsoft.com/office/officeart/2005/8/layout/radial4"/>
    <dgm:cxn modelId="{74F36D56-AB4D-4F57-9485-0BBFBD6AAD64}" type="presOf" srcId="{680A751F-A3D8-4F8E-8C43-50B9E6459763}" destId="{23A10D7B-8B75-4A9C-9EFC-FB9EBF74814A}" srcOrd="0" destOrd="0" presId="urn:microsoft.com/office/officeart/2005/8/layout/radial4"/>
    <dgm:cxn modelId="{76B0417C-C59D-4706-86A5-E71F3568379F}" srcId="{E96CBA39-16C2-4884-B1DE-6FEA2512C5E1}" destId="{52B86FC9-ADCB-4646-931D-0BC6D7BFBE45}" srcOrd="1" destOrd="0" parTransId="{3F5035F5-F667-490B-BD7C-F8B8309FAD7C}" sibTransId="{58FB1A64-F001-4C70-B04B-E5A688C44700}"/>
    <dgm:cxn modelId="{250C5D84-C8AB-43F8-A697-E23F3F093D10}" type="presOf" srcId="{DAA24941-B641-430E-884A-FF90A59BDADF}" destId="{1729A613-ECA3-43BE-8484-CB700A3A048C}" srcOrd="0" destOrd="0" presId="urn:microsoft.com/office/officeart/2005/8/layout/radial4"/>
    <dgm:cxn modelId="{8F5B7988-4E50-4858-BD32-61C29AAAD21D}" type="presOf" srcId="{5FF526C4-64F8-4F31-B53F-FC48D98C2DD9}" destId="{1E240375-9B7D-485B-810A-61294FA701A9}" srcOrd="0" destOrd="0" presId="urn:microsoft.com/office/officeart/2005/8/layout/radial4"/>
    <dgm:cxn modelId="{2F398897-B731-4918-A874-5DB427390D33}" type="presOf" srcId="{E63BC491-9DDB-42F7-A06D-AC316E229BE0}" destId="{068F369B-E0D5-4161-A0F5-9249CC3B7189}" srcOrd="0" destOrd="0" presId="urn:microsoft.com/office/officeart/2005/8/layout/radial4"/>
    <dgm:cxn modelId="{08DB039F-3149-40A7-9047-62C8D2F31A9B}" type="presOf" srcId="{B80992B9-9FDA-4589-950F-CF3261ECEB6E}" destId="{E5E0D666-8A0A-4954-80EC-77D286CE323F}" srcOrd="0" destOrd="0" presId="urn:microsoft.com/office/officeart/2005/8/layout/radial4"/>
    <dgm:cxn modelId="{11C077A6-EA62-431B-A9D9-CE191B5D9028}" srcId="{E96CBA39-16C2-4884-B1DE-6FEA2512C5E1}" destId="{DAA24941-B641-430E-884A-FF90A59BDADF}" srcOrd="2" destOrd="0" parTransId="{F38B7811-E17E-47BC-937F-E55E50498197}" sibTransId="{DB8DDE04-5116-4DE5-848B-06F42D8C302F}"/>
    <dgm:cxn modelId="{916848B4-3A54-4440-85DC-836ED4722C0A}" type="presOf" srcId="{FE2B5121-FEDF-4205-90BE-6160D1CB0975}" destId="{D6EFDDC1-3C96-49C5-BAC0-2C0126D15D9D}" srcOrd="0" destOrd="0" presId="urn:microsoft.com/office/officeart/2005/8/layout/radial4"/>
    <dgm:cxn modelId="{DAE979B4-FBF4-4B91-B2D8-AFD21E34F9FF}" type="presOf" srcId="{888B5982-A1D2-44CD-9825-41EAA5AF9787}" destId="{7DBD7795-2350-4BC7-B18C-969FA56B61B0}" srcOrd="0" destOrd="0" presId="urn:microsoft.com/office/officeart/2005/8/layout/radial4"/>
    <dgm:cxn modelId="{8B2FD3C4-BB0E-41F8-A22A-62E3B6025B2A}" type="presOf" srcId="{E96CBA39-16C2-4884-B1DE-6FEA2512C5E1}" destId="{2FB080E2-C4A5-4C7B-BD55-C4CCE395D8C3}" srcOrd="0" destOrd="0" presId="urn:microsoft.com/office/officeart/2005/8/layout/radial4"/>
    <dgm:cxn modelId="{15FC85CE-BA59-45E2-A7AE-E33D6E65E8EC}" type="presOf" srcId="{3F5035F5-F667-490B-BD7C-F8B8309FAD7C}" destId="{E58415AC-EBF0-4A8D-94F6-40AF0CA106DF}" srcOrd="0" destOrd="0" presId="urn:microsoft.com/office/officeart/2005/8/layout/radial4"/>
    <dgm:cxn modelId="{DF1669D0-D7E1-4B56-AE34-8A69E1A26732}" srcId="{E96CBA39-16C2-4884-B1DE-6FEA2512C5E1}" destId="{5FF526C4-64F8-4F31-B53F-FC48D98C2DD9}" srcOrd="4" destOrd="0" parTransId="{680A751F-A3D8-4F8E-8C43-50B9E6459763}" sibTransId="{9044CB7C-4040-4272-A8F7-FD0076720D33}"/>
    <dgm:cxn modelId="{B17E15D9-4616-42E6-B5BD-EAB0C864F3AE}" srcId="{E96CBA39-16C2-4884-B1DE-6FEA2512C5E1}" destId="{FE2B5121-FEDF-4205-90BE-6160D1CB0975}" srcOrd="3" destOrd="0" parTransId="{B80992B9-9FDA-4589-950F-CF3261ECEB6E}" sibTransId="{67E88617-9E41-4AFB-8384-5C9A1EC3B084}"/>
    <dgm:cxn modelId="{064383DC-62FA-4E63-8402-A11B2CC48236}" srcId="{E96CBA39-16C2-4884-B1DE-6FEA2512C5E1}" destId="{CD83E50B-3D59-4ADC-B671-9E26F2730532}" srcOrd="7" destOrd="0" parTransId="{3E3B4D68-0280-47D6-AE0E-28B34DB8D307}" sibTransId="{68A70FAA-913E-491E-A6A0-C49706552A39}"/>
    <dgm:cxn modelId="{771165EA-B86E-4308-9545-439B502206D4}" type="presOf" srcId="{52B86FC9-ADCB-4646-931D-0BC6D7BFBE45}" destId="{D869D0EF-3867-4050-B4ED-65701607F968}" srcOrd="0" destOrd="0" presId="urn:microsoft.com/office/officeart/2005/8/layout/radial4"/>
    <dgm:cxn modelId="{0D190212-E038-45C2-B108-CBDE2284C87C}" type="presParOf" srcId="{FD50F836-A01A-4077-8262-0E66EFF14E48}" destId="{2FB080E2-C4A5-4C7B-BD55-C4CCE395D8C3}" srcOrd="0" destOrd="0" presId="urn:microsoft.com/office/officeart/2005/8/layout/radial4"/>
    <dgm:cxn modelId="{8C5AFB79-9114-43FA-817D-591E3A92C329}" type="presParOf" srcId="{FD50F836-A01A-4077-8262-0E66EFF14E48}" destId="{7DBD7795-2350-4BC7-B18C-969FA56B61B0}" srcOrd="1" destOrd="0" presId="urn:microsoft.com/office/officeart/2005/8/layout/radial4"/>
    <dgm:cxn modelId="{B4CF1E4A-B9CA-42A1-B2BA-058E0DEFA5D4}" type="presParOf" srcId="{FD50F836-A01A-4077-8262-0E66EFF14E48}" destId="{6C68B4ED-72EB-41EE-9D83-7B2B4D02203D}" srcOrd="2" destOrd="0" presId="urn:microsoft.com/office/officeart/2005/8/layout/radial4"/>
    <dgm:cxn modelId="{8C11652D-77E6-4E67-B6C8-E46769352B19}" type="presParOf" srcId="{FD50F836-A01A-4077-8262-0E66EFF14E48}" destId="{E58415AC-EBF0-4A8D-94F6-40AF0CA106DF}" srcOrd="3" destOrd="0" presId="urn:microsoft.com/office/officeart/2005/8/layout/radial4"/>
    <dgm:cxn modelId="{6257C7D9-C673-4941-858D-7C4B410C3C76}" type="presParOf" srcId="{FD50F836-A01A-4077-8262-0E66EFF14E48}" destId="{D869D0EF-3867-4050-B4ED-65701607F968}" srcOrd="4" destOrd="0" presId="urn:microsoft.com/office/officeart/2005/8/layout/radial4"/>
    <dgm:cxn modelId="{0A5E0875-E8F6-497B-BCE8-BC888DB37BC2}" type="presParOf" srcId="{FD50F836-A01A-4077-8262-0E66EFF14E48}" destId="{E125A3CA-FADD-4F20-B662-6F94505A6338}" srcOrd="5" destOrd="0" presId="urn:microsoft.com/office/officeart/2005/8/layout/radial4"/>
    <dgm:cxn modelId="{89601946-1AE2-4CCF-9F22-F90E19E7AF4A}" type="presParOf" srcId="{FD50F836-A01A-4077-8262-0E66EFF14E48}" destId="{1729A613-ECA3-43BE-8484-CB700A3A048C}" srcOrd="6" destOrd="0" presId="urn:microsoft.com/office/officeart/2005/8/layout/radial4"/>
    <dgm:cxn modelId="{0D08BFAA-93A3-4A61-B888-5E157AA0A2B5}" type="presParOf" srcId="{FD50F836-A01A-4077-8262-0E66EFF14E48}" destId="{E5E0D666-8A0A-4954-80EC-77D286CE323F}" srcOrd="7" destOrd="0" presId="urn:microsoft.com/office/officeart/2005/8/layout/radial4"/>
    <dgm:cxn modelId="{8DE188CE-9446-4402-828F-05CC5EDD5ACC}" type="presParOf" srcId="{FD50F836-A01A-4077-8262-0E66EFF14E48}" destId="{D6EFDDC1-3C96-49C5-BAC0-2C0126D15D9D}" srcOrd="8" destOrd="0" presId="urn:microsoft.com/office/officeart/2005/8/layout/radial4"/>
    <dgm:cxn modelId="{6CE0494B-8DDC-4C6E-A769-116387AF71B0}" type="presParOf" srcId="{FD50F836-A01A-4077-8262-0E66EFF14E48}" destId="{23A10D7B-8B75-4A9C-9EFC-FB9EBF74814A}" srcOrd="9" destOrd="0" presId="urn:microsoft.com/office/officeart/2005/8/layout/radial4"/>
    <dgm:cxn modelId="{D63D5295-EECE-4332-98DA-B1376A72AB39}" type="presParOf" srcId="{FD50F836-A01A-4077-8262-0E66EFF14E48}" destId="{1E240375-9B7D-485B-810A-61294FA701A9}" srcOrd="10" destOrd="0" presId="urn:microsoft.com/office/officeart/2005/8/layout/radial4"/>
    <dgm:cxn modelId="{C3D95684-7356-4D8D-B7F8-598F1FF6438F}" type="presParOf" srcId="{FD50F836-A01A-4077-8262-0E66EFF14E48}" destId="{0615BB54-5005-43B8-A5DB-DF63843997D0}" srcOrd="11" destOrd="0" presId="urn:microsoft.com/office/officeart/2005/8/layout/radial4"/>
    <dgm:cxn modelId="{7C8EFD85-1FDE-43F8-B2DB-8C559F795875}" type="presParOf" srcId="{FD50F836-A01A-4077-8262-0E66EFF14E48}" destId="{068F369B-E0D5-4161-A0F5-9249CC3B7189}" srcOrd="12" destOrd="0" presId="urn:microsoft.com/office/officeart/2005/8/layout/radial4"/>
    <dgm:cxn modelId="{E84D1AF9-0827-4127-8EC7-BBB082A21E38}" type="presParOf" srcId="{FD50F836-A01A-4077-8262-0E66EFF14E48}" destId="{4FDB9A58-998A-4D36-A45B-3E5B0DC8C490}" srcOrd="13" destOrd="0" presId="urn:microsoft.com/office/officeart/2005/8/layout/radial4"/>
    <dgm:cxn modelId="{0166762E-F9E1-4716-90EA-1BDD5B907063}" type="presParOf" srcId="{FD50F836-A01A-4077-8262-0E66EFF14E48}" destId="{4CD4BB9D-B69D-475F-A6B8-E7047E260E37}" srcOrd="14" destOrd="0" presId="urn:microsoft.com/office/officeart/2005/8/layout/radial4"/>
    <dgm:cxn modelId="{6C7BE1C0-C4CF-493B-8DDC-59CEE9980FC1}" type="presParOf" srcId="{FD50F836-A01A-4077-8262-0E66EFF14E48}" destId="{93BBDF70-D9BD-4A0A-84C9-5AC62E9056C9}" srcOrd="15" destOrd="0" presId="urn:microsoft.com/office/officeart/2005/8/layout/radial4"/>
    <dgm:cxn modelId="{E2D9B6FB-B516-409D-AB10-0D069B80EA7B}" type="presParOf" srcId="{FD50F836-A01A-4077-8262-0E66EFF14E48}" destId="{2FDE60FA-BD0F-47A1-93AE-689B8D834EED}" srcOrd="16" destOrd="0" presId="urn:microsoft.com/office/officeart/2005/8/layout/radial4"/>
  </dgm:cxnLst>
  <dgm:bg/>
  <dgm:whole/>
  <dgm:extLst>
    <a:ext uri="http://schemas.microsoft.com/office/drawing/2008/diagram">
      <dsp:dataModelExt xmlns:dsp="http://schemas.microsoft.com/office/drawing/2008/diagram" relId="rId35"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523E2A86-D6A3-4482-AA9A-BF1477B3911E}" type="doc">
      <dgm:prSet loTypeId="urn:microsoft.com/office/officeart/2005/8/layout/radial4" loCatId="relationship" qsTypeId="urn:microsoft.com/office/officeart/2005/8/quickstyle/simple1" qsCatId="simple" csTypeId="urn:microsoft.com/office/officeart/2005/8/colors/accent1_2" csCatId="accent1" phldr="1"/>
      <dgm:spPr/>
      <dgm:t>
        <a:bodyPr/>
        <a:lstStyle/>
        <a:p>
          <a:endParaRPr lang="en-IN"/>
        </a:p>
      </dgm:t>
    </dgm:pt>
    <dgm:pt modelId="{E96CBA39-16C2-4884-B1DE-6FEA2512C5E1}">
      <dgm:prSet phldrT="[Text]"/>
      <dgm:spPr/>
      <dgm:t>
        <a:bodyPr/>
        <a:lstStyle/>
        <a:p>
          <a:r>
            <a:rPr lang="en-IN"/>
            <a:t>I, J Unit Filling Total = 4031 CUM</a:t>
          </a:r>
        </a:p>
      </dgm:t>
    </dgm:pt>
    <dgm:pt modelId="{E8CFD710-2972-4E47-A8CB-8A8835EC3BF0}" type="parTrans" cxnId="{3CABD600-2B0E-46D5-8B30-43D69A73B64C}">
      <dgm:prSet/>
      <dgm:spPr/>
      <dgm:t>
        <a:bodyPr/>
        <a:lstStyle/>
        <a:p>
          <a:endParaRPr lang="en-IN"/>
        </a:p>
      </dgm:t>
    </dgm:pt>
    <dgm:pt modelId="{64C8D2E6-B4DB-4D9E-9594-E0ADBC469DD4}" type="sibTrans" cxnId="{3CABD600-2B0E-46D5-8B30-43D69A73B64C}">
      <dgm:prSet/>
      <dgm:spPr/>
      <dgm:t>
        <a:bodyPr/>
        <a:lstStyle/>
        <a:p>
          <a:endParaRPr lang="en-IN"/>
        </a:p>
      </dgm:t>
    </dgm:pt>
    <dgm:pt modelId="{B0D421EE-BF9D-4C0F-8360-092B7A49BAEB}">
      <dgm:prSet phldrT="[Text]"/>
      <dgm:spPr/>
      <dgm:t>
        <a:bodyPr/>
        <a:lstStyle/>
        <a:p>
          <a:r>
            <a:rPr lang="en-IN"/>
            <a:t>Unit-F   552 CUM</a:t>
          </a:r>
        </a:p>
      </dgm:t>
    </dgm:pt>
    <dgm:pt modelId="{888B5982-A1D2-44CD-9825-41EAA5AF9787}" type="parTrans" cxnId="{9CA7BB1E-5BC9-42AF-B0C8-29206C6557FA}">
      <dgm:prSet/>
      <dgm:spPr/>
      <dgm:t>
        <a:bodyPr/>
        <a:lstStyle/>
        <a:p>
          <a:endParaRPr lang="en-IN"/>
        </a:p>
      </dgm:t>
    </dgm:pt>
    <dgm:pt modelId="{51A3F545-A744-4152-B08C-A0A2B4F7BC19}" type="sibTrans" cxnId="{9CA7BB1E-5BC9-42AF-B0C8-29206C6557FA}">
      <dgm:prSet/>
      <dgm:spPr/>
      <dgm:t>
        <a:bodyPr/>
        <a:lstStyle/>
        <a:p>
          <a:endParaRPr lang="en-IN"/>
        </a:p>
      </dgm:t>
    </dgm:pt>
    <dgm:pt modelId="{52B86FC9-ADCB-4646-931D-0BC6D7BFBE45}">
      <dgm:prSet phldrT="[Text]"/>
      <dgm:spPr/>
      <dgm:t>
        <a:bodyPr/>
        <a:lstStyle/>
        <a:p>
          <a:r>
            <a:rPr lang="en-IN"/>
            <a:t>Unit-G  1577 CUM</a:t>
          </a:r>
        </a:p>
      </dgm:t>
    </dgm:pt>
    <dgm:pt modelId="{3F5035F5-F667-490B-BD7C-F8B8309FAD7C}" type="parTrans" cxnId="{76B0417C-C59D-4706-86A5-E71F3568379F}">
      <dgm:prSet/>
      <dgm:spPr/>
      <dgm:t>
        <a:bodyPr/>
        <a:lstStyle/>
        <a:p>
          <a:endParaRPr lang="en-IN"/>
        </a:p>
      </dgm:t>
    </dgm:pt>
    <dgm:pt modelId="{58FB1A64-F001-4C70-B04B-E5A688C44700}" type="sibTrans" cxnId="{76B0417C-C59D-4706-86A5-E71F3568379F}">
      <dgm:prSet/>
      <dgm:spPr/>
      <dgm:t>
        <a:bodyPr/>
        <a:lstStyle/>
        <a:p>
          <a:endParaRPr lang="en-IN"/>
        </a:p>
      </dgm:t>
    </dgm:pt>
    <dgm:pt modelId="{DAA24941-B641-430E-884A-FF90A59BDADF}">
      <dgm:prSet phldrT="[Text]"/>
      <dgm:spPr/>
      <dgm:t>
        <a:bodyPr/>
        <a:lstStyle/>
        <a:p>
          <a:r>
            <a:rPr lang="en-IN"/>
            <a:t>Plot-30   172 CUM</a:t>
          </a:r>
        </a:p>
      </dgm:t>
    </dgm:pt>
    <dgm:pt modelId="{F38B7811-E17E-47BC-937F-E55E50498197}" type="parTrans" cxnId="{11C077A6-EA62-431B-A9D9-CE191B5D9028}">
      <dgm:prSet/>
      <dgm:spPr/>
      <dgm:t>
        <a:bodyPr/>
        <a:lstStyle/>
        <a:p>
          <a:endParaRPr lang="en-IN"/>
        </a:p>
      </dgm:t>
    </dgm:pt>
    <dgm:pt modelId="{DB8DDE04-5116-4DE5-848B-06F42D8C302F}" type="sibTrans" cxnId="{11C077A6-EA62-431B-A9D9-CE191B5D9028}">
      <dgm:prSet/>
      <dgm:spPr/>
      <dgm:t>
        <a:bodyPr/>
        <a:lstStyle/>
        <a:p>
          <a:endParaRPr lang="en-IN"/>
        </a:p>
      </dgm:t>
    </dgm:pt>
    <dgm:pt modelId="{CD83E50B-3D59-4ADC-B671-9E26F2730532}">
      <dgm:prSet phldrT="[Text]"/>
      <dgm:spPr/>
      <dgm:t>
        <a:bodyPr/>
        <a:lstStyle/>
        <a:p>
          <a:r>
            <a:rPr lang="en-IN"/>
            <a:t>Total Cutting = 4067</a:t>
          </a:r>
        </a:p>
      </dgm:t>
    </dgm:pt>
    <dgm:pt modelId="{3E3B4D68-0280-47D6-AE0E-28B34DB8D307}" type="parTrans" cxnId="{064383DC-62FA-4E63-8402-A11B2CC48236}">
      <dgm:prSet/>
      <dgm:spPr/>
      <dgm:t>
        <a:bodyPr/>
        <a:lstStyle/>
        <a:p>
          <a:endParaRPr lang="en-IN"/>
        </a:p>
      </dgm:t>
    </dgm:pt>
    <dgm:pt modelId="{68A70FAA-913E-491E-A6A0-C49706552A39}" type="sibTrans" cxnId="{064383DC-62FA-4E63-8402-A11B2CC48236}">
      <dgm:prSet/>
      <dgm:spPr/>
      <dgm:t>
        <a:bodyPr/>
        <a:lstStyle/>
        <a:p>
          <a:endParaRPr lang="en-IN"/>
        </a:p>
      </dgm:t>
    </dgm:pt>
    <dgm:pt modelId="{FE2B5121-FEDF-4205-90BE-6160D1CB0975}">
      <dgm:prSet phldrT="[Text]"/>
      <dgm:spPr/>
      <dgm:t>
        <a:bodyPr/>
        <a:lstStyle/>
        <a:p>
          <a:r>
            <a:rPr lang="en-IN"/>
            <a:t>Plot-31    314 CUM</a:t>
          </a:r>
        </a:p>
      </dgm:t>
    </dgm:pt>
    <dgm:pt modelId="{B80992B9-9FDA-4589-950F-CF3261ECEB6E}" type="parTrans" cxnId="{B17E15D9-4616-42E6-B5BD-EAB0C864F3AE}">
      <dgm:prSet/>
      <dgm:spPr/>
      <dgm:t>
        <a:bodyPr/>
        <a:lstStyle/>
        <a:p>
          <a:endParaRPr lang="en-IN"/>
        </a:p>
      </dgm:t>
    </dgm:pt>
    <dgm:pt modelId="{67E88617-9E41-4AFB-8384-5C9A1EC3B084}" type="sibTrans" cxnId="{B17E15D9-4616-42E6-B5BD-EAB0C864F3AE}">
      <dgm:prSet/>
      <dgm:spPr/>
      <dgm:t>
        <a:bodyPr/>
        <a:lstStyle/>
        <a:p>
          <a:endParaRPr lang="en-IN"/>
        </a:p>
      </dgm:t>
    </dgm:pt>
    <dgm:pt modelId="{5FF526C4-64F8-4F31-B53F-FC48D98C2DD9}">
      <dgm:prSet phldrT="[Text]"/>
      <dgm:spPr/>
      <dgm:t>
        <a:bodyPr/>
        <a:lstStyle/>
        <a:p>
          <a:r>
            <a:rPr lang="en-IN"/>
            <a:t>Plot-32   55 CUM</a:t>
          </a:r>
        </a:p>
      </dgm:t>
    </dgm:pt>
    <dgm:pt modelId="{680A751F-A3D8-4F8E-8C43-50B9E6459763}" type="parTrans" cxnId="{DF1669D0-D7E1-4B56-AE34-8A69E1A26732}">
      <dgm:prSet/>
      <dgm:spPr/>
      <dgm:t>
        <a:bodyPr/>
        <a:lstStyle/>
        <a:p>
          <a:endParaRPr lang="en-IN"/>
        </a:p>
      </dgm:t>
    </dgm:pt>
    <dgm:pt modelId="{9044CB7C-4040-4272-A8F7-FD0076720D33}" type="sibTrans" cxnId="{DF1669D0-D7E1-4B56-AE34-8A69E1A26732}">
      <dgm:prSet/>
      <dgm:spPr/>
      <dgm:t>
        <a:bodyPr/>
        <a:lstStyle/>
        <a:p>
          <a:endParaRPr lang="en-IN"/>
        </a:p>
      </dgm:t>
    </dgm:pt>
    <dgm:pt modelId="{E63BC491-9DDB-42F7-A06D-AC316E229BE0}">
      <dgm:prSet phldrT="[Text]"/>
      <dgm:spPr/>
      <dgm:t>
        <a:bodyPr/>
        <a:lstStyle/>
        <a:p>
          <a:r>
            <a:rPr lang="en-IN"/>
            <a:t>Plot-33  149 CUM</a:t>
          </a:r>
        </a:p>
      </dgm:t>
    </dgm:pt>
    <dgm:pt modelId="{B34451E4-3D5A-480D-87A0-05B2B9B16829}" type="parTrans" cxnId="{A87C6810-7168-40C4-AE51-5E07B76ACC44}">
      <dgm:prSet/>
      <dgm:spPr/>
      <dgm:t>
        <a:bodyPr/>
        <a:lstStyle/>
        <a:p>
          <a:endParaRPr lang="en-IN"/>
        </a:p>
      </dgm:t>
    </dgm:pt>
    <dgm:pt modelId="{8FBCF0EE-7BAE-4298-9EF8-A379301EE2D1}" type="sibTrans" cxnId="{A87C6810-7168-40C4-AE51-5E07B76ACC44}">
      <dgm:prSet/>
      <dgm:spPr/>
      <dgm:t>
        <a:bodyPr/>
        <a:lstStyle/>
        <a:p>
          <a:endParaRPr lang="en-IN"/>
        </a:p>
      </dgm:t>
    </dgm:pt>
    <dgm:pt modelId="{8C9D5826-54D4-4C61-9D76-1B2CB3F2C61E}">
      <dgm:prSet phldrT="[Text]"/>
      <dgm:spPr/>
      <dgm:t>
        <a:bodyPr/>
        <a:lstStyle/>
        <a:p>
          <a:r>
            <a:rPr lang="en-IN"/>
            <a:t>Plot-34   168 CUM</a:t>
          </a:r>
        </a:p>
      </dgm:t>
    </dgm:pt>
    <dgm:pt modelId="{408D3341-1667-4506-9E9C-0826AEC9CCDD}" type="parTrans" cxnId="{C87F8581-DFC3-4CA5-AE9C-EF387D3D8857}">
      <dgm:prSet/>
      <dgm:spPr/>
      <dgm:t>
        <a:bodyPr/>
        <a:lstStyle/>
        <a:p>
          <a:endParaRPr lang="en-IN"/>
        </a:p>
      </dgm:t>
    </dgm:pt>
    <dgm:pt modelId="{A58C7E1B-794A-4F77-8FA0-B3FCA69522C3}" type="sibTrans" cxnId="{C87F8581-DFC3-4CA5-AE9C-EF387D3D8857}">
      <dgm:prSet/>
      <dgm:spPr/>
      <dgm:t>
        <a:bodyPr/>
        <a:lstStyle/>
        <a:p>
          <a:endParaRPr lang="en-IN"/>
        </a:p>
      </dgm:t>
    </dgm:pt>
    <dgm:pt modelId="{385D4706-3392-47FE-B503-0692DD8C0BBE}">
      <dgm:prSet phldrT="[Text]"/>
      <dgm:spPr/>
      <dgm:t>
        <a:bodyPr/>
        <a:lstStyle/>
        <a:p>
          <a:r>
            <a:rPr lang="en-IN"/>
            <a:t>Plot-60  310 CUM</a:t>
          </a:r>
        </a:p>
      </dgm:t>
    </dgm:pt>
    <dgm:pt modelId="{E3E97EEE-4416-4405-AC88-ADAA56A691F0}" type="parTrans" cxnId="{20E5A02E-7B9B-4E9D-A167-29367D9E2DE7}">
      <dgm:prSet/>
      <dgm:spPr/>
      <dgm:t>
        <a:bodyPr/>
        <a:lstStyle/>
        <a:p>
          <a:endParaRPr lang="en-IN"/>
        </a:p>
      </dgm:t>
    </dgm:pt>
    <dgm:pt modelId="{2433CB9B-16B9-4709-94FA-5576BDD02B9E}" type="sibTrans" cxnId="{20E5A02E-7B9B-4E9D-A167-29367D9E2DE7}">
      <dgm:prSet/>
      <dgm:spPr/>
      <dgm:t>
        <a:bodyPr/>
        <a:lstStyle/>
        <a:p>
          <a:endParaRPr lang="en-IN"/>
        </a:p>
      </dgm:t>
    </dgm:pt>
    <dgm:pt modelId="{6BE34EE7-5C49-4F55-9F87-27F2593530D1}">
      <dgm:prSet phldrT="[Text]"/>
      <dgm:spPr/>
      <dgm:t>
        <a:bodyPr/>
        <a:lstStyle/>
        <a:p>
          <a:r>
            <a:rPr lang="en-IN"/>
            <a:t>Plot-61  770 CUM</a:t>
          </a:r>
        </a:p>
      </dgm:t>
    </dgm:pt>
    <dgm:pt modelId="{AE7E926C-CE84-409E-9A11-E0F0E43C5492}" type="parTrans" cxnId="{CC21ECD9-88DD-46EA-8ADA-464AA67E96DE}">
      <dgm:prSet/>
      <dgm:spPr/>
      <dgm:t>
        <a:bodyPr/>
        <a:lstStyle/>
        <a:p>
          <a:endParaRPr lang="en-IN"/>
        </a:p>
      </dgm:t>
    </dgm:pt>
    <dgm:pt modelId="{6BA23A30-8430-4D3C-A88F-44DE674CA535}" type="sibTrans" cxnId="{CC21ECD9-88DD-46EA-8ADA-464AA67E96DE}">
      <dgm:prSet/>
      <dgm:spPr/>
      <dgm:t>
        <a:bodyPr/>
        <a:lstStyle/>
        <a:p>
          <a:endParaRPr lang="en-IN"/>
        </a:p>
      </dgm:t>
    </dgm:pt>
    <dgm:pt modelId="{FD50F836-A01A-4077-8262-0E66EFF14E48}" type="pres">
      <dgm:prSet presAssocID="{523E2A86-D6A3-4482-AA9A-BF1477B3911E}" presName="cycle" presStyleCnt="0">
        <dgm:presLayoutVars>
          <dgm:chMax val="1"/>
          <dgm:dir/>
          <dgm:animLvl val="ctr"/>
          <dgm:resizeHandles val="exact"/>
        </dgm:presLayoutVars>
      </dgm:prSet>
      <dgm:spPr/>
    </dgm:pt>
    <dgm:pt modelId="{2FB080E2-C4A5-4C7B-BD55-C4CCE395D8C3}" type="pres">
      <dgm:prSet presAssocID="{E96CBA39-16C2-4884-B1DE-6FEA2512C5E1}" presName="centerShape" presStyleLbl="node0" presStyleIdx="0" presStyleCnt="1" custScaleX="232258" custScaleY="190441"/>
      <dgm:spPr/>
    </dgm:pt>
    <dgm:pt modelId="{7DBD7795-2350-4BC7-B18C-969FA56B61B0}" type="pres">
      <dgm:prSet presAssocID="{888B5982-A1D2-44CD-9825-41EAA5AF9787}" presName="parTrans" presStyleLbl="bgSibTrans2D1" presStyleIdx="0" presStyleCnt="10"/>
      <dgm:spPr/>
    </dgm:pt>
    <dgm:pt modelId="{6C68B4ED-72EB-41EE-9D83-7B2B4D02203D}" type="pres">
      <dgm:prSet presAssocID="{B0D421EE-BF9D-4C0F-8360-092B7A49BAEB}" presName="node" presStyleLbl="node1" presStyleIdx="0" presStyleCnt="10" custScaleX="134850" custScaleY="153752">
        <dgm:presLayoutVars>
          <dgm:bulletEnabled val="1"/>
        </dgm:presLayoutVars>
      </dgm:prSet>
      <dgm:spPr/>
    </dgm:pt>
    <dgm:pt modelId="{E58415AC-EBF0-4A8D-94F6-40AF0CA106DF}" type="pres">
      <dgm:prSet presAssocID="{3F5035F5-F667-490B-BD7C-F8B8309FAD7C}" presName="parTrans" presStyleLbl="bgSibTrans2D1" presStyleIdx="1" presStyleCnt="10"/>
      <dgm:spPr/>
    </dgm:pt>
    <dgm:pt modelId="{D869D0EF-3867-4050-B4ED-65701607F968}" type="pres">
      <dgm:prSet presAssocID="{52B86FC9-ADCB-4646-931D-0BC6D7BFBE45}" presName="node" presStyleLbl="node1" presStyleIdx="1" presStyleCnt="10" custScaleX="134850" custScaleY="153752">
        <dgm:presLayoutVars>
          <dgm:bulletEnabled val="1"/>
        </dgm:presLayoutVars>
      </dgm:prSet>
      <dgm:spPr/>
    </dgm:pt>
    <dgm:pt modelId="{E125A3CA-FADD-4F20-B662-6F94505A6338}" type="pres">
      <dgm:prSet presAssocID="{F38B7811-E17E-47BC-937F-E55E50498197}" presName="parTrans" presStyleLbl="bgSibTrans2D1" presStyleIdx="2" presStyleCnt="10"/>
      <dgm:spPr/>
    </dgm:pt>
    <dgm:pt modelId="{1729A613-ECA3-43BE-8484-CB700A3A048C}" type="pres">
      <dgm:prSet presAssocID="{DAA24941-B641-430E-884A-FF90A59BDADF}" presName="node" presStyleLbl="node1" presStyleIdx="2" presStyleCnt="10" custScaleX="134850" custScaleY="153752">
        <dgm:presLayoutVars>
          <dgm:bulletEnabled val="1"/>
        </dgm:presLayoutVars>
      </dgm:prSet>
      <dgm:spPr/>
    </dgm:pt>
    <dgm:pt modelId="{E5E0D666-8A0A-4954-80EC-77D286CE323F}" type="pres">
      <dgm:prSet presAssocID="{B80992B9-9FDA-4589-950F-CF3261ECEB6E}" presName="parTrans" presStyleLbl="bgSibTrans2D1" presStyleIdx="3" presStyleCnt="10"/>
      <dgm:spPr/>
    </dgm:pt>
    <dgm:pt modelId="{D6EFDDC1-3C96-49C5-BAC0-2C0126D15D9D}" type="pres">
      <dgm:prSet presAssocID="{FE2B5121-FEDF-4205-90BE-6160D1CB0975}" presName="node" presStyleLbl="node1" presStyleIdx="3" presStyleCnt="10" custScaleX="134850" custScaleY="153752">
        <dgm:presLayoutVars>
          <dgm:bulletEnabled val="1"/>
        </dgm:presLayoutVars>
      </dgm:prSet>
      <dgm:spPr/>
    </dgm:pt>
    <dgm:pt modelId="{23A10D7B-8B75-4A9C-9EFC-FB9EBF74814A}" type="pres">
      <dgm:prSet presAssocID="{680A751F-A3D8-4F8E-8C43-50B9E6459763}" presName="parTrans" presStyleLbl="bgSibTrans2D1" presStyleIdx="4" presStyleCnt="10"/>
      <dgm:spPr/>
    </dgm:pt>
    <dgm:pt modelId="{1E240375-9B7D-485B-810A-61294FA701A9}" type="pres">
      <dgm:prSet presAssocID="{5FF526C4-64F8-4F31-B53F-FC48D98C2DD9}" presName="node" presStyleLbl="node1" presStyleIdx="4" presStyleCnt="10" custScaleX="134850" custScaleY="153752">
        <dgm:presLayoutVars>
          <dgm:bulletEnabled val="1"/>
        </dgm:presLayoutVars>
      </dgm:prSet>
      <dgm:spPr/>
    </dgm:pt>
    <dgm:pt modelId="{0615BB54-5005-43B8-A5DB-DF63843997D0}" type="pres">
      <dgm:prSet presAssocID="{B34451E4-3D5A-480D-87A0-05B2B9B16829}" presName="parTrans" presStyleLbl="bgSibTrans2D1" presStyleIdx="5" presStyleCnt="10"/>
      <dgm:spPr/>
    </dgm:pt>
    <dgm:pt modelId="{068F369B-E0D5-4161-A0F5-9249CC3B7189}" type="pres">
      <dgm:prSet presAssocID="{E63BC491-9DDB-42F7-A06D-AC316E229BE0}" presName="node" presStyleLbl="node1" presStyleIdx="5" presStyleCnt="10" custScaleX="134850" custScaleY="153752">
        <dgm:presLayoutVars>
          <dgm:bulletEnabled val="1"/>
        </dgm:presLayoutVars>
      </dgm:prSet>
      <dgm:spPr/>
    </dgm:pt>
    <dgm:pt modelId="{AE599E08-90A5-4665-BD56-1D768F16ACC9}" type="pres">
      <dgm:prSet presAssocID="{408D3341-1667-4506-9E9C-0826AEC9CCDD}" presName="parTrans" presStyleLbl="bgSibTrans2D1" presStyleIdx="6" presStyleCnt="10"/>
      <dgm:spPr/>
    </dgm:pt>
    <dgm:pt modelId="{8E7B8E5D-2F85-40DB-BB94-61BE5EEB3A38}" type="pres">
      <dgm:prSet presAssocID="{8C9D5826-54D4-4C61-9D76-1B2CB3F2C61E}" presName="node" presStyleLbl="node1" presStyleIdx="6" presStyleCnt="10" custScaleX="134850" custScaleY="153752">
        <dgm:presLayoutVars>
          <dgm:bulletEnabled val="1"/>
        </dgm:presLayoutVars>
      </dgm:prSet>
      <dgm:spPr/>
    </dgm:pt>
    <dgm:pt modelId="{DCAE1F11-0BBB-4360-B226-024DB1436D8E}" type="pres">
      <dgm:prSet presAssocID="{E3E97EEE-4416-4405-AC88-ADAA56A691F0}" presName="parTrans" presStyleLbl="bgSibTrans2D1" presStyleIdx="7" presStyleCnt="10"/>
      <dgm:spPr/>
    </dgm:pt>
    <dgm:pt modelId="{733BB7BF-F314-4E6B-8258-23054CAB6DEE}" type="pres">
      <dgm:prSet presAssocID="{385D4706-3392-47FE-B503-0692DD8C0BBE}" presName="node" presStyleLbl="node1" presStyleIdx="7" presStyleCnt="10" custScaleX="134850" custScaleY="153752">
        <dgm:presLayoutVars>
          <dgm:bulletEnabled val="1"/>
        </dgm:presLayoutVars>
      </dgm:prSet>
      <dgm:spPr/>
    </dgm:pt>
    <dgm:pt modelId="{97E2ED3C-7867-4CE8-8F53-030ECFAD189F}" type="pres">
      <dgm:prSet presAssocID="{AE7E926C-CE84-409E-9A11-E0F0E43C5492}" presName="parTrans" presStyleLbl="bgSibTrans2D1" presStyleIdx="8" presStyleCnt="10"/>
      <dgm:spPr/>
    </dgm:pt>
    <dgm:pt modelId="{39149562-4EE7-4D4E-B3EF-B94A437B56C4}" type="pres">
      <dgm:prSet presAssocID="{6BE34EE7-5C49-4F55-9F87-27F2593530D1}" presName="node" presStyleLbl="node1" presStyleIdx="8" presStyleCnt="10" custScaleX="134850" custScaleY="153752">
        <dgm:presLayoutVars>
          <dgm:bulletEnabled val="1"/>
        </dgm:presLayoutVars>
      </dgm:prSet>
      <dgm:spPr/>
    </dgm:pt>
    <dgm:pt modelId="{93BBDF70-D9BD-4A0A-84C9-5AC62E9056C9}" type="pres">
      <dgm:prSet presAssocID="{3E3B4D68-0280-47D6-AE0E-28B34DB8D307}" presName="parTrans" presStyleLbl="bgSibTrans2D1" presStyleIdx="9" presStyleCnt="10"/>
      <dgm:spPr/>
    </dgm:pt>
    <dgm:pt modelId="{2FDE60FA-BD0F-47A1-93AE-689B8D834EED}" type="pres">
      <dgm:prSet presAssocID="{CD83E50B-3D59-4ADC-B671-9E26F2730532}" presName="node" presStyleLbl="node1" presStyleIdx="9" presStyleCnt="10" custScaleX="134850" custScaleY="153752">
        <dgm:presLayoutVars>
          <dgm:bulletEnabled val="1"/>
        </dgm:presLayoutVars>
      </dgm:prSet>
      <dgm:spPr/>
    </dgm:pt>
  </dgm:ptLst>
  <dgm:cxnLst>
    <dgm:cxn modelId="{3CABD600-2B0E-46D5-8B30-43D69A73B64C}" srcId="{523E2A86-D6A3-4482-AA9A-BF1477B3911E}" destId="{E96CBA39-16C2-4884-B1DE-6FEA2512C5E1}" srcOrd="0" destOrd="0" parTransId="{E8CFD710-2972-4E47-A8CB-8A8835EC3BF0}" sibTransId="{64C8D2E6-B4DB-4D9E-9594-E0ADBC469DD4}"/>
    <dgm:cxn modelId="{1123D806-57AB-41A2-A4E0-56DAC1CD7360}" type="presOf" srcId="{408D3341-1667-4506-9E9C-0826AEC9CCDD}" destId="{AE599E08-90A5-4665-BD56-1D768F16ACC9}" srcOrd="0" destOrd="0" presId="urn:microsoft.com/office/officeart/2005/8/layout/radial4"/>
    <dgm:cxn modelId="{A87C6810-7168-40C4-AE51-5E07B76ACC44}" srcId="{E96CBA39-16C2-4884-B1DE-6FEA2512C5E1}" destId="{E63BC491-9DDB-42F7-A06D-AC316E229BE0}" srcOrd="5" destOrd="0" parTransId="{B34451E4-3D5A-480D-87A0-05B2B9B16829}" sibTransId="{8FBCF0EE-7BAE-4298-9EF8-A379301EE2D1}"/>
    <dgm:cxn modelId="{9CA7BB1E-5BC9-42AF-B0C8-29206C6557FA}" srcId="{E96CBA39-16C2-4884-B1DE-6FEA2512C5E1}" destId="{B0D421EE-BF9D-4C0F-8360-092B7A49BAEB}" srcOrd="0" destOrd="0" parTransId="{888B5982-A1D2-44CD-9825-41EAA5AF9787}" sibTransId="{51A3F545-A744-4152-B08C-A0A2B4F7BC19}"/>
    <dgm:cxn modelId="{20E5A02E-7B9B-4E9D-A167-29367D9E2DE7}" srcId="{E96CBA39-16C2-4884-B1DE-6FEA2512C5E1}" destId="{385D4706-3392-47FE-B503-0692DD8C0BBE}" srcOrd="7" destOrd="0" parTransId="{E3E97EEE-4416-4405-AC88-ADAA56A691F0}" sibTransId="{2433CB9B-16B9-4709-94FA-5576BDD02B9E}"/>
    <dgm:cxn modelId="{88EF6F33-0C0B-42FE-AF2C-A5C25391E9F0}" type="presOf" srcId="{B0D421EE-BF9D-4C0F-8360-092B7A49BAEB}" destId="{6C68B4ED-72EB-41EE-9D83-7B2B4D02203D}" srcOrd="0" destOrd="0" presId="urn:microsoft.com/office/officeart/2005/8/layout/radial4"/>
    <dgm:cxn modelId="{F456B933-B201-4716-8BF0-6AA50129D67D}" type="presOf" srcId="{3E3B4D68-0280-47D6-AE0E-28B34DB8D307}" destId="{93BBDF70-D9BD-4A0A-84C9-5AC62E9056C9}" srcOrd="0" destOrd="0" presId="urn:microsoft.com/office/officeart/2005/8/layout/radial4"/>
    <dgm:cxn modelId="{9A1E043F-D0AE-49D8-9953-D52C09ECC2EC}" type="presOf" srcId="{B34451E4-3D5A-480D-87A0-05B2B9B16829}" destId="{0615BB54-5005-43B8-A5DB-DF63843997D0}" srcOrd="0" destOrd="0" presId="urn:microsoft.com/office/officeart/2005/8/layout/radial4"/>
    <dgm:cxn modelId="{79603B3F-9DC9-4534-894B-197E9573999C}" type="presOf" srcId="{CD83E50B-3D59-4ADC-B671-9E26F2730532}" destId="{2FDE60FA-BD0F-47A1-93AE-689B8D834EED}" srcOrd="0" destOrd="0" presId="urn:microsoft.com/office/officeart/2005/8/layout/radial4"/>
    <dgm:cxn modelId="{7C7DA667-8CAA-40D5-BDB0-7B4A7055EEB2}" type="presOf" srcId="{523E2A86-D6A3-4482-AA9A-BF1477B3911E}" destId="{FD50F836-A01A-4077-8262-0E66EFF14E48}" srcOrd="0" destOrd="0" presId="urn:microsoft.com/office/officeart/2005/8/layout/radial4"/>
    <dgm:cxn modelId="{9ADACA4B-B409-4197-BAF5-C4B15AF00448}" type="presOf" srcId="{8C9D5826-54D4-4C61-9D76-1B2CB3F2C61E}" destId="{8E7B8E5D-2F85-40DB-BB94-61BE5EEB3A38}" srcOrd="0" destOrd="0" presId="urn:microsoft.com/office/officeart/2005/8/layout/radial4"/>
    <dgm:cxn modelId="{9F1E274E-4F23-451D-A865-43F98819F24F}" type="presOf" srcId="{385D4706-3392-47FE-B503-0692DD8C0BBE}" destId="{733BB7BF-F314-4E6B-8258-23054CAB6DEE}" srcOrd="0" destOrd="0" presId="urn:microsoft.com/office/officeart/2005/8/layout/radial4"/>
    <dgm:cxn modelId="{15317772-923F-46AA-8214-6823CE4C1F17}" type="presOf" srcId="{F38B7811-E17E-47BC-937F-E55E50498197}" destId="{E125A3CA-FADD-4F20-B662-6F94505A6338}" srcOrd="0" destOrd="0" presId="urn:microsoft.com/office/officeart/2005/8/layout/radial4"/>
    <dgm:cxn modelId="{972FB874-0D16-4AC3-B2B4-F40A0AC833AD}" type="presOf" srcId="{6BE34EE7-5C49-4F55-9F87-27F2593530D1}" destId="{39149562-4EE7-4D4E-B3EF-B94A437B56C4}" srcOrd="0" destOrd="0" presId="urn:microsoft.com/office/officeart/2005/8/layout/radial4"/>
    <dgm:cxn modelId="{74F36D56-AB4D-4F57-9485-0BBFBD6AAD64}" type="presOf" srcId="{680A751F-A3D8-4F8E-8C43-50B9E6459763}" destId="{23A10D7B-8B75-4A9C-9EFC-FB9EBF74814A}" srcOrd="0" destOrd="0" presId="urn:microsoft.com/office/officeart/2005/8/layout/radial4"/>
    <dgm:cxn modelId="{76B0417C-C59D-4706-86A5-E71F3568379F}" srcId="{E96CBA39-16C2-4884-B1DE-6FEA2512C5E1}" destId="{52B86FC9-ADCB-4646-931D-0BC6D7BFBE45}" srcOrd="1" destOrd="0" parTransId="{3F5035F5-F667-490B-BD7C-F8B8309FAD7C}" sibTransId="{58FB1A64-F001-4C70-B04B-E5A688C44700}"/>
    <dgm:cxn modelId="{C87F8581-DFC3-4CA5-AE9C-EF387D3D8857}" srcId="{E96CBA39-16C2-4884-B1DE-6FEA2512C5E1}" destId="{8C9D5826-54D4-4C61-9D76-1B2CB3F2C61E}" srcOrd="6" destOrd="0" parTransId="{408D3341-1667-4506-9E9C-0826AEC9CCDD}" sibTransId="{A58C7E1B-794A-4F77-8FA0-B3FCA69522C3}"/>
    <dgm:cxn modelId="{250C5D84-C8AB-43F8-A697-E23F3F093D10}" type="presOf" srcId="{DAA24941-B641-430E-884A-FF90A59BDADF}" destId="{1729A613-ECA3-43BE-8484-CB700A3A048C}" srcOrd="0" destOrd="0" presId="urn:microsoft.com/office/officeart/2005/8/layout/radial4"/>
    <dgm:cxn modelId="{8F5B7988-4E50-4858-BD32-61C29AAAD21D}" type="presOf" srcId="{5FF526C4-64F8-4F31-B53F-FC48D98C2DD9}" destId="{1E240375-9B7D-485B-810A-61294FA701A9}" srcOrd="0" destOrd="0" presId="urn:microsoft.com/office/officeart/2005/8/layout/radial4"/>
    <dgm:cxn modelId="{2F398897-B731-4918-A874-5DB427390D33}" type="presOf" srcId="{E63BC491-9DDB-42F7-A06D-AC316E229BE0}" destId="{068F369B-E0D5-4161-A0F5-9249CC3B7189}" srcOrd="0" destOrd="0" presId="urn:microsoft.com/office/officeart/2005/8/layout/radial4"/>
    <dgm:cxn modelId="{08DB039F-3149-40A7-9047-62C8D2F31A9B}" type="presOf" srcId="{B80992B9-9FDA-4589-950F-CF3261ECEB6E}" destId="{E5E0D666-8A0A-4954-80EC-77D286CE323F}" srcOrd="0" destOrd="0" presId="urn:microsoft.com/office/officeart/2005/8/layout/radial4"/>
    <dgm:cxn modelId="{11C077A6-EA62-431B-A9D9-CE191B5D9028}" srcId="{E96CBA39-16C2-4884-B1DE-6FEA2512C5E1}" destId="{DAA24941-B641-430E-884A-FF90A59BDADF}" srcOrd="2" destOrd="0" parTransId="{F38B7811-E17E-47BC-937F-E55E50498197}" sibTransId="{DB8DDE04-5116-4DE5-848B-06F42D8C302F}"/>
    <dgm:cxn modelId="{916848B4-3A54-4440-85DC-836ED4722C0A}" type="presOf" srcId="{FE2B5121-FEDF-4205-90BE-6160D1CB0975}" destId="{D6EFDDC1-3C96-49C5-BAC0-2C0126D15D9D}" srcOrd="0" destOrd="0" presId="urn:microsoft.com/office/officeart/2005/8/layout/radial4"/>
    <dgm:cxn modelId="{DAE979B4-FBF4-4B91-B2D8-AFD21E34F9FF}" type="presOf" srcId="{888B5982-A1D2-44CD-9825-41EAA5AF9787}" destId="{7DBD7795-2350-4BC7-B18C-969FA56B61B0}" srcOrd="0" destOrd="0" presId="urn:microsoft.com/office/officeart/2005/8/layout/radial4"/>
    <dgm:cxn modelId="{8B2FD3C4-BB0E-41F8-A22A-62E3B6025B2A}" type="presOf" srcId="{E96CBA39-16C2-4884-B1DE-6FEA2512C5E1}" destId="{2FB080E2-C4A5-4C7B-BD55-C4CCE395D8C3}" srcOrd="0" destOrd="0" presId="urn:microsoft.com/office/officeart/2005/8/layout/radial4"/>
    <dgm:cxn modelId="{15FC85CE-BA59-45E2-A7AE-E33D6E65E8EC}" type="presOf" srcId="{3F5035F5-F667-490B-BD7C-F8B8309FAD7C}" destId="{E58415AC-EBF0-4A8D-94F6-40AF0CA106DF}" srcOrd="0" destOrd="0" presId="urn:microsoft.com/office/officeart/2005/8/layout/radial4"/>
    <dgm:cxn modelId="{DF1669D0-D7E1-4B56-AE34-8A69E1A26732}" srcId="{E96CBA39-16C2-4884-B1DE-6FEA2512C5E1}" destId="{5FF526C4-64F8-4F31-B53F-FC48D98C2DD9}" srcOrd="4" destOrd="0" parTransId="{680A751F-A3D8-4F8E-8C43-50B9E6459763}" sibTransId="{9044CB7C-4040-4272-A8F7-FD0076720D33}"/>
    <dgm:cxn modelId="{B17E15D9-4616-42E6-B5BD-EAB0C864F3AE}" srcId="{E96CBA39-16C2-4884-B1DE-6FEA2512C5E1}" destId="{FE2B5121-FEDF-4205-90BE-6160D1CB0975}" srcOrd="3" destOrd="0" parTransId="{B80992B9-9FDA-4589-950F-CF3261ECEB6E}" sibTransId="{67E88617-9E41-4AFB-8384-5C9A1EC3B084}"/>
    <dgm:cxn modelId="{CC21ECD9-88DD-46EA-8ADA-464AA67E96DE}" srcId="{E96CBA39-16C2-4884-B1DE-6FEA2512C5E1}" destId="{6BE34EE7-5C49-4F55-9F87-27F2593530D1}" srcOrd="8" destOrd="0" parTransId="{AE7E926C-CE84-409E-9A11-E0F0E43C5492}" sibTransId="{6BA23A30-8430-4D3C-A88F-44DE674CA535}"/>
    <dgm:cxn modelId="{064383DC-62FA-4E63-8402-A11B2CC48236}" srcId="{E96CBA39-16C2-4884-B1DE-6FEA2512C5E1}" destId="{CD83E50B-3D59-4ADC-B671-9E26F2730532}" srcOrd="9" destOrd="0" parTransId="{3E3B4D68-0280-47D6-AE0E-28B34DB8D307}" sibTransId="{68A70FAA-913E-491E-A6A0-C49706552A39}"/>
    <dgm:cxn modelId="{8AAD1BDF-FCAE-46D7-82E0-A27D8D154BAB}" type="presOf" srcId="{E3E97EEE-4416-4405-AC88-ADAA56A691F0}" destId="{DCAE1F11-0BBB-4360-B226-024DB1436D8E}" srcOrd="0" destOrd="0" presId="urn:microsoft.com/office/officeart/2005/8/layout/radial4"/>
    <dgm:cxn modelId="{90A9E1E0-06B4-4987-B1A1-9CE2018D53A2}" type="presOf" srcId="{AE7E926C-CE84-409E-9A11-E0F0E43C5492}" destId="{97E2ED3C-7867-4CE8-8F53-030ECFAD189F}" srcOrd="0" destOrd="0" presId="urn:microsoft.com/office/officeart/2005/8/layout/radial4"/>
    <dgm:cxn modelId="{771165EA-B86E-4308-9545-439B502206D4}" type="presOf" srcId="{52B86FC9-ADCB-4646-931D-0BC6D7BFBE45}" destId="{D869D0EF-3867-4050-B4ED-65701607F968}" srcOrd="0" destOrd="0" presId="urn:microsoft.com/office/officeart/2005/8/layout/radial4"/>
    <dgm:cxn modelId="{0D190212-E038-45C2-B108-CBDE2284C87C}" type="presParOf" srcId="{FD50F836-A01A-4077-8262-0E66EFF14E48}" destId="{2FB080E2-C4A5-4C7B-BD55-C4CCE395D8C3}" srcOrd="0" destOrd="0" presId="urn:microsoft.com/office/officeart/2005/8/layout/radial4"/>
    <dgm:cxn modelId="{8C5AFB79-9114-43FA-817D-591E3A92C329}" type="presParOf" srcId="{FD50F836-A01A-4077-8262-0E66EFF14E48}" destId="{7DBD7795-2350-4BC7-B18C-969FA56B61B0}" srcOrd="1" destOrd="0" presId="urn:microsoft.com/office/officeart/2005/8/layout/radial4"/>
    <dgm:cxn modelId="{B4CF1E4A-B9CA-42A1-B2BA-058E0DEFA5D4}" type="presParOf" srcId="{FD50F836-A01A-4077-8262-0E66EFF14E48}" destId="{6C68B4ED-72EB-41EE-9D83-7B2B4D02203D}" srcOrd="2" destOrd="0" presId="urn:microsoft.com/office/officeart/2005/8/layout/radial4"/>
    <dgm:cxn modelId="{8C11652D-77E6-4E67-B6C8-E46769352B19}" type="presParOf" srcId="{FD50F836-A01A-4077-8262-0E66EFF14E48}" destId="{E58415AC-EBF0-4A8D-94F6-40AF0CA106DF}" srcOrd="3" destOrd="0" presId="urn:microsoft.com/office/officeart/2005/8/layout/radial4"/>
    <dgm:cxn modelId="{6257C7D9-C673-4941-858D-7C4B410C3C76}" type="presParOf" srcId="{FD50F836-A01A-4077-8262-0E66EFF14E48}" destId="{D869D0EF-3867-4050-B4ED-65701607F968}" srcOrd="4" destOrd="0" presId="urn:microsoft.com/office/officeart/2005/8/layout/radial4"/>
    <dgm:cxn modelId="{0A5E0875-E8F6-497B-BCE8-BC888DB37BC2}" type="presParOf" srcId="{FD50F836-A01A-4077-8262-0E66EFF14E48}" destId="{E125A3CA-FADD-4F20-B662-6F94505A6338}" srcOrd="5" destOrd="0" presId="urn:microsoft.com/office/officeart/2005/8/layout/radial4"/>
    <dgm:cxn modelId="{89601946-1AE2-4CCF-9F22-F90E19E7AF4A}" type="presParOf" srcId="{FD50F836-A01A-4077-8262-0E66EFF14E48}" destId="{1729A613-ECA3-43BE-8484-CB700A3A048C}" srcOrd="6" destOrd="0" presId="urn:microsoft.com/office/officeart/2005/8/layout/radial4"/>
    <dgm:cxn modelId="{0D08BFAA-93A3-4A61-B888-5E157AA0A2B5}" type="presParOf" srcId="{FD50F836-A01A-4077-8262-0E66EFF14E48}" destId="{E5E0D666-8A0A-4954-80EC-77D286CE323F}" srcOrd="7" destOrd="0" presId="urn:microsoft.com/office/officeart/2005/8/layout/radial4"/>
    <dgm:cxn modelId="{8DE188CE-9446-4402-828F-05CC5EDD5ACC}" type="presParOf" srcId="{FD50F836-A01A-4077-8262-0E66EFF14E48}" destId="{D6EFDDC1-3C96-49C5-BAC0-2C0126D15D9D}" srcOrd="8" destOrd="0" presId="urn:microsoft.com/office/officeart/2005/8/layout/radial4"/>
    <dgm:cxn modelId="{6CE0494B-8DDC-4C6E-A769-116387AF71B0}" type="presParOf" srcId="{FD50F836-A01A-4077-8262-0E66EFF14E48}" destId="{23A10D7B-8B75-4A9C-9EFC-FB9EBF74814A}" srcOrd="9" destOrd="0" presId="urn:microsoft.com/office/officeart/2005/8/layout/radial4"/>
    <dgm:cxn modelId="{D63D5295-EECE-4332-98DA-B1376A72AB39}" type="presParOf" srcId="{FD50F836-A01A-4077-8262-0E66EFF14E48}" destId="{1E240375-9B7D-485B-810A-61294FA701A9}" srcOrd="10" destOrd="0" presId="urn:microsoft.com/office/officeart/2005/8/layout/radial4"/>
    <dgm:cxn modelId="{C3D95684-7356-4D8D-B7F8-598F1FF6438F}" type="presParOf" srcId="{FD50F836-A01A-4077-8262-0E66EFF14E48}" destId="{0615BB54-5005-43B8-A5DB-DF63843997D0}" srcOrd="11" destOrd="0" presId="urn:microsoft.com/office/officeart/2005/8/layout/radial4"/>
    <dgm:cxn modelId="{7C8EFD85-1FDE-43F8-B2DB-8C559F795875}" type="presParOf" srcId="{FD50F836-A01A-4077-8262-0E66EFF14E48}" destId="{068F369B-E0D5-4161-A0F5-9249CC3B7189}" srcOrd="12" destOrd="0" presId="urn:microsoft.com/office/officeart/2005/8/layout/radial4"/>
    <dgm:cxn modelId="{5C47A998-4686-4FFC-9924-1369B46C76FB}" type="presParOf" srcId="{FD50F836-A01A-4077-8262-0E66EFF14E48}" destId="{AE599E08-90A5-4665-BD56-1D768F16ACC9}" srcOrd="13" destOrd="0" presId="urn:microsoft.com/office/officeart/2005/8/layout/radial4"/>
    <dgm:cxn modelId="{350AA4E3-09E7-4D28-94C2-660A30844BAD}" type="presParOf" srcId="{FD50F836-A01A-4077-8262-0E66EFF14E48}" destId="{8E7B8E5D-2F85-40DB-BB94-61BE5EEB3A38}" srcOrd="14" destOrd="0" presId="urn:microsoft.com/office/officeart/2005/8/layout/radial4"/>
    <dgm:cxn modelId="{DEF5DB7C-AF93-44BF-BB8A-A4928545B0CE}" type="presParOf" srcId="{FD50F836-A01A-4077-8262-0E66EFF14E48}" destId="{DCAE1F11-0BBB-4360-B226-024DB1436D8E}" srcOrd="15" destOrd="0" presId="urn:microsoft.com/office/officeart/2005/8/layout/radial4"/>
    <dgm:cxn modelId="{31260FEF-6605-4771-8616-2DC2200D4A09}" type="presParOf" srcId="{FD50F836-A01A-4077-8262-0E66EFF14E48}" destId="{733BB7BF-F314-4E6B-8258-23054CAB6DEE}" srcOrd="16" destOrd="0" presId="urn:microsoft.com/office/officeart/2005/8/layout/radial4"/>
    <dgm:cxn modelId="{39D6D2AB-AEF1-46A0-94B9-ECF980D5D703}" type="presParOf" srcId="{FD50F836-A01A-4077-8262-0E66EFF14E48}" destId="{97E2ED3C-7867-4CE8-8F53-030ECFAD189F}" srcOrd="17" destOrd="0" presId="urn:microsoft.com/office/officeart/2005/8/layout/radial4"/>
    <dgm:cxn modelId="{449F2EB2-286A-4A30-91E1-5B343B26BF76}" type="presParOf" srcId="{FD50F836-A01A-4077-8262-0E66EFF14E48}" destId="{39149562-4EE7-4D4E-B3EF-B94A437B56C4}" srcOrd="18" destOrd="0" presId="urn:microsoft.com/office/officeart/2005/8/layout/radial4"/>
    <dgm:cxn modelId="{6C7BE1C0-C4CF-493B-8DDC-59CEE9980FC1}" type="presParOf" srcId="{FD50F836-A01A-4077-8262-0E66EFF14E48}" destId="{93BBDF70-D9BD-4A0A-84C9-5AC62E9056C9}" srcOrd="19" destOrd="0" presId="urn:microsoft.com/office/officeart/2005/8/layout/radial4"/>
    <dgm:cxn modelId="{E2D9B6FB-B516-409D-AB10-0D069B80EA7B}" type="presParOf" srcId="{FD50F836-A01A-4077-8262-0E66EFF14E48}" destId="{2FDE60FA-BD0F-47A1-93AE-689B8D834EED}" srcOrd="20" destOrd="0" presId="urn:microsoft.com/office/officeart/2005/8/layout/radial4"/>
  </dgm:cxnLst>
  <dgm:bg/>
  <dgm:whole/>
  <dgm:extLst>
    <a:ext uri="http://schemas.microsoft.com/office/drawing/2008/diagram">
      <dsp:dataModelExt xmlns:dsp="http://schemas.microsoft.com/office/drawing/2008/diagram" relId="rId40" minVer="http://schemas.openxmlformats.org/drawingml/2006/diagram"/>
    </a:ext>
  </dgm:extLst>
</dgm:dataModel>
</file>

<file path=xl/diagrams/data9.xml><?xml version="1.0" encoding="utf-8"?>
<dgm:dataModel xmlns:dgm="http://schemas.openxmlformats.org/drawingml/2006/diagram" xmlns:a="http://schemas.openxmlformats.org/drawingml/2006/main">
  <dgm:ptLst>
    <dgm:pt modelId="{523E2A86-D6A3-4482-AA9A-BF1477B3911E}" type="doc">
      <dgm:prSet loTypeId="urn:microsoft.com/office/officeart/2005/8/layout/radial4" loCatId="relationship" qsTypeId="urn:microsoft.com/office/officeart/2005/8/quickstyle/simple1" qsCatId="simple" csTypeId="urn:microsoft.com/office/officeart/2005/8/colors/accent1_2" csCatId="accent1" phldr="1"/>
      <dgm:spPr/>
      <dgm:t>
        <a:bodyPr/>
        <a:lstStyle/>
        <a:p>
          <a:endParaRPr lang="en-IN"/>
        </a:p>
      </dgm:t>
    </dgm:pt>
    <dgm:pt modelId="{E96CBA39-16C2-4884-B1DE-6FEA2512C5E1}">
      <dgm:prSet phldrT="[Text]"/>
      <dgm:spPr/>
      <dgm:t>
        <a:bodyPr/>
        <a:lstStyle/>
        <a:p>
          <a:r>
            <a:rPr lang="en-IN"/>
            <a:t>26, 35, 40, 42, 46 Plot Filling Total = 920 CUM</a:t>
          </a:r>
        </a:p>
      </dgm:t>
    </dgm:pt>
    <dgm:pt modelId="{E8CFD710-2972-4E47-A8CB-8A8835EC3BF0}" type="parTrans" cxnId="{3CABD600-2B0E-46D5-8B30-43D69A73B64C}">
      <dgm:prSet/>
      <dgm:spPr/>
      <dgm:t>
        <a:bodyPr/>
        <a:lstStyle/>
        <a:p>
          <a:endParaRPr lang="en-IN"/>
        </a:p>
      </dgm:t>
    </dgm:pt>
    <dgm:pt modelId="{64C8D2E6-B4DB-4D9E-9594-E0ADBC469DD4}" type="sibTrans" cxnId="{3CABD600-2B0E-46D5-8B30-43D69A73B64C}">
      <dgm:prSet/>
      <dgm:spPr/>
      <dgm:t>
        <a:bodyPr/>
        <a:lstStyle/>
        <a:p>
          <a:endParaRPr lang="en-IN"/>
        </a:p>
      </dgm:t>
    </dgm:pt>
    <dgm:pt modelId="{B0D421EE-BF9D-4C0F-8360-092B7A49BAEB}">
      <dgm:prSet phldrT="[Text]"/>
      <dgm:spPr/>
      <dgm:t>
        <a:bodyPr/>
        <a:lstStyle/>
        <a:p>
          <a:r>
            <a:rPr lang="en-IN"/>
            <a:t>Plot-27     1 CUM</a:t>
          </a:r>
        </a:p>
      </dgm:t>
    </dgm:pt>
    <dgm:pt modelId="{888B5982-A1D2-44CD-9825-41EAA5AF9787}" type="parTrans" cxnId="{9CA7BB1E-5BC9-42AF-B0C8-29206C6557FA}">
      <dgm:prSet/>
      <dgm:spPr/>
      <dgm:t>
        <a:bodyPr/>
        <a:lstStyle/>
        <a:p>
          <a:endParaRPr lang="en-IN"/>
        </a:p>
      </dgm:t>
    </dgm:pt>
    <dgm:pt modelId="{51A3F545-A744-4152-B08C-A0A2B4F7BC19}" type="sibTrans" cxnId="{9CA7BB1E-5BC9-42AF-B0C8-29206C6557FA}">
      <dgm:prSet/>
      <dgm:spPr/>
      <dgm:t>
        <a:bodyPr/>
        <a:lstStyle/>
        <a:p>
          <a:endParaRPr lang="en-IN"/>
        </a:p>
      </dgm:t>
    </dgm:pt>
    <dgm:pt modelId="{52B86FC9-ADCB-4646-931D-0BC6D7BFBE45}">
      <dgm:prSet phldrT="[Text]"/>
      <dgm:spPr/>
      <dgm:t>
        <a:bodyPr/>
        <a:lstStyle/>
        <a:p>
          <a:r>
            <a:rPr lang="en-IN"/>
            <a:t>All Road Excavation</a:t>
          </a:r>
        </a:p>
      </dgm:t>
    </dgm:pt>
    <dgm:pt modelId="{3F5035F5-F667-490B-BD7C-F8B8309FAD7C}" type="parTrans" cxnId="{76B0417C-C59D-4706-86A5-E71F3568379F}">
      <dgm:prSet/>
      <dgm:spPr/>
      <dgm:t>
        <a:bodyPr/>
        <a:lstStyle/>
        <a:p>
          <a:endParaRPr lang="en-IN"/>
        </a:p>
      </dgm:t>
    </dgm:pt>
    <dgm:pt modelId="{58FB1A64-F001-4C70-B04B-E5A688C44700}" type="sibTrans" cxnId="{76B0417C-C59D-4706-86A5-E71F3568379F}">
      <dgm:prSet/>
      <dgm:spPr/>
      <dgm:t>
        <a:bodyPr/>
        <a:lstStyle/>
        <a:p>
          <a:endParaRPr lang="en-IN"/>
        </a:p>
      </dgm:t>
    </dgm:pt>
    <dgm:pt modelId="{CD83E50B-3D59-4ADC-B671-9E26F2730532}">
      <dgm:prSet phldrT="[Text]"/>
      <dgm:spPr/>
      <dgm:t>
        <a:bodyPr/>
        <a:lstStyle/>
        <a:p>
          <a:r>
            <a:rPr lang="en-IN"/>
            <a:t>Total Cutting = ***</a:t>
          </a:r>
        </a:p>
      </dgm:t>
    </dgm:pt>
    <dgm:pt modelId="{3E3B4D68-0280-47D6-AE0E-28B34DB8D307}" type="parTrans" cxnId="{064383DC-62FA-4E63-8402-A11B2CC48236}">
      <dgm:prSet/>
      <dgm:spPr/>
      <dgm:t>
        <a:bodyPr/>
        <a:lstStyle/>
        <a:p>
          <a:endParaRPr lang="en-IN"/>
        </a:p>
      </dgm:t>
    </dgm:pt>
    <dgm:pt modelId="{68A70FAA-913E-491E-A6A0-C49706552A39}" type="sibTrans" cxnId="{064383DC-62FA-4E63-8402-A11B2CC48236}">
      <dgm:prSet/>
      <dgm:spPr/>
      <dgm:t>
        <a:bodyPr/>
        <a:lstStyle/>
        <a:p>
          <a:endParaRPr lang="en-IN"/>
        </a:p>
      </dgm:t>
    </dgm:pt>
    <dgm:pt modelId="{FE2B5121-FEDF-4205-90BE-6160D1CB0975}">
      <dgm:prSet phldrT="[Text]"/>
      <dgm:spPr/>
      <dgm:t>
        <a:bodyPr/>
        <a:lstStyle/>
        <a:p>
          <a:r>
            <a:rPr lang="en-IN"/>
            <a:t>All Pond Excavation</a:t>
          </a:r>
        </a:p>
      </dgm:t>
    </dgm:pt>
    <dgm:pt modelId="{B80992B9-9FDA-4589-950F-CF3261ECEB6E}" type="parTrans" cxnId="{B17E15D9-4616-42E6-B5BD-EAB0C864F3AE}">
      <dgm:prSet/>
      <dgm:spPr/>
      <dgm:t>
        <a:bodyPr/>
        <a:lstStyle/>
        <a:p>
          <a:endParaRPr lang="en-IN"/>
        </a:p>
      </dgm:t>
    </dgm:pt>
    <dgm:pt modelId="{67E88617-9E41-4AFB-8384-5C9A1EC3B084}" type="sibTrans" cxnId="{B17E15D9-4616-42E6-B5BD-EAB0C864F3AE}">
      <dgm:prSet/>
      <dgm:spPr/>
      <dgm:t>
        <a:bodyPr/>
        <a:lstStyle/>
        <a:p>
          <a:endParaRPr lang="en-IN"/>
        </a:p>
      </dgm:t>
    </dgm:pt>
    <dgm:pt modelId="{FD50F836-A01A-4077-8262-0E66EFF14E48}" type="pres">
      <dgm:prSet presAssocID="{523E2A86-D6A3-4482-AA9A-BF1477B3911E}" presName="cycle" presStyleCnt="0">
        <dgm:presLayoutVars>
          <dgm:chMax val="1"/>
          <dgm:dir/>
          <dgm:animLvl val="ctr"/>
          <dgm:resizeHandles val="exact"/>
        </dgm:presLayoutVars>
      </dgm:prSet>
      <dgm:spPr/>
    </dgm:pt>
    <dgm:pt modelId="{2FB080E2-C4A5-4C7B-BD55-C4CCE395D8C3}" type="pres">
      <dgm:prSet presAssocID="{E96CBA39-16C2-4884-B1DE-6FEA2512C5E1}" presName="centerShape" presStyleLbl="node0" presStyleIdx="0" presStyleCnt="1" custScaleX="105223" custScaleY="76815"/>
      <dgm:spPr/>
    </dgm:pt>
    <dgm:pt modelId="{7DBD7795-2350-4BC7-B18C-969FA56B61B0}" type="pres">
      <dgm:prSet presAssocID="{888B5982-A1D2-44CD-9825-41EAA5AF9787}" presName="parTrans" presStyleLbl="bgSibTrans2D1" presStyleIdx="0" presStyleCnt="4"/>
      <dgm:spPr/>
    </dgm:pt>
    <dgm:pt modelId="{6C68B4ED-72EB-41EE-9D83-7B2B4D02203D}" type="pres">
      <dgm:prSet presAssocID="{B0D421EE-BF9D-4C0F-8360-092B7A49BAEB}" presName="node" presStyleLbl="node1" presStyleIdx="0" presStyleCnt="4">
        <dgm:presLayoutVars>
          <dgm:bulletEnabled val="1"/>
        </dgm:presLayoutVars>
      </dgm:prSet>
      <dgm:spPr/>
    </dgm:pt>
    <dgm:pt modelId="{E58415AC-EBF0-4A8D-94F6-40AF0CA106DF}" type="pres">
      <dgm:prSet presAssocID="{3F5035F5-F667-490B-BD7C-F8B8309FAD7C}" presName="parTrans" presStyleLbl="bgSibTrans2D1" presStyleIdx="1" presStyleCnt="4"/>
      <dgm:spPr/>
    </dgm:pt>
    <dgm:pt modelId="{D869D0EF-3867-4050-B4ED-65701607F968}" type="pres">
      <dgm:prSet presAssocID="{52B86FC9-ADCB-4646-931D-0BC6D7BFBE45}" presName="node" presStyleLbl="node1" presStyleIdx="1" presStyleCnt="4">
        <dgm:presLayoutVars>
          <dgm:bulletEnabled val="1"/>
        </dgm:presLayoutVars>
      </dgm:prSet>
      <dgm:spPr/>
    </dgm:pt>
    <dgm:pt modelId="{E5E0D666-8A0A-4954-80EC-77D286CE323F}" type="pres">
      <dgm:prSet presAssocID="{B80992B9-9FDA-4589-950F-CF3261ECEB6E}" presName="parTrans" presStyleLbl="bgSibTrans2D1" presStyleIdx="2" presStyleCnt="4"/>
      <dgm:spPr/>
    </dgm:pt>
    <dgm:pt modelId="{D6EFDDC1-3C96-49C5-BAC0-2C0126D15D9D}" type="pres">
      <dgm:prSet presAssocID="{FE2B5121-FEDF-4205-90BE-6160D1CB0975}" presName="node" presStyleLbl="node1" presStyleIdx="2" presStyleCnt="4">
        <dgm:presLayoutVars>
          <dgm:bulletEnabled val="1"/>
        </dgm:presLayoutVars>
      </dgm:prSet>
      <dgm:spPr/>
    </dgm:pt>
    <dgm:pt modelId="{93BBDF70-D9BD-4A0A-84C9-5AC62E9056C9}" type="pres">
      <dgm:prSet presAssocID="{3E3B4D68-0280-47D6-AE0E-28B34DB8D307}" presName="parTrans" presStyleLbl="bgSibTrans2D1" presStyleIdx="3" presStyleCnt="4"/>
      <dgm:spPr/>
    </dgm:pt>
    <dgm:pt modelId="{2FDE60FA-BD0F-47A1-93AE-689B8D834EED}" type="pres">
      <dgm:prSet presAssocID="{CD83E50B-3D59-4ADC-B671-9E26F2730532}" presName="node" presStyleLbl="node1" presStyleIdx="3" presStyleCnt="4">
        <dgm:presLayoutVars>
          <dgm:bulletEnabled val="1"/>
        </dgm:presLayoutVars>
      </dgm:prSet>
      <dgm:spPr/>
    </dgm:pt>
  </dgm:ptLst>
  <dgm:cxnLst>
    <dgm:cxn modelId="{3CABD600-2B0E-46D5-8B30-43D69A73B64C}" srcId="{523E2A86-D6A3-4482-AA9A-BF1477B3911E}" destId="{E96CBA39-16C2-4884-B1DE-6FEA2512C5E1}" srcOrd="0" destOrd="0" parTransId="{E8CFD710-2972-4E47-A8CB-8A8835EC3BF0}" sibTransId="{64C8D2E6-B4DB-4D9E-9594-E0ADBC469DD4}"/>
    <dgm:cxn modelId="{9CA7BB1E-5BC9-42AF-B0C8-29206C6557FA}" srcId="{E96CBA39-16C2-4884-B1DE-6FEA2512C5E1}" destId="{B0D421EE-BF9D-4C0F-8360-092B7A49BAEB}" srcOrd="0" destOrd="0" parTransId="{888B5982-A1D2-44CD-9825-41EAA5AF9787}" sibTransId="{51A3F545-A744-4152-B08C-A0A2B4F7BC19}"/>
    <dgm:cxn modelId="{88EF6F33-0C0B-42FE-AF2C-A5C25391E9F0}" type="presOf" srcId="{B0D421EE-BF9D-4C0F-8360-092B7A49BAEB}" destId="{6C68B4ED-72EB-41EE-9D83-7B2B4D02203D}" srcOrd="0" destOrd="0" presId="urn:microsoft.com/office/officeart/2005/8/layout/radial4"/>
    <dgm:cxn modelId="{F456B933-B201-4716-8BF0-6AA50129D67D}" type="presOf" srcId="{3E3B4D68-0280-47D6-AE0E-28B34DB8D307}" destId="{93BBDF70-D9BD-4A0A-84C9-5AC62E9056C9}" srcOrd="0" destOrd="0" presId="urn:microsoft.com/office/officeart/2005/8/layout/radial4"/>
    <dgm:cxn modelId="{79603B3F-9DC9-4534-894B-197E9573999C}" type="presOf" srcId="{CD83E50B-3D59-4ADC-B671-9E26F2730532}" destId="{2FDE60FA-BD0F-47A1-93AE-689B8D834EED}" srcOrd="0" destOrd="0" presId="urn:microsoft.com/office/officeart/2005/8/layout/radial4"/>
    <dgm:cxn modelId="{7C7DA667-8CAA-40D5-BDB0-7B4A7055EEB2}" type="presOf" srcId="{523E2A86-D6A3-4482-AA9A-BF1477B3911E}" destId="{FD50F836-A01A-4077-8262-0E66EFF14E48}" srcOrd="0" destOrd="0" presId="urn:microsoft.com/office/officeart/2005/8/layout/radial4"/>
    <dgm:cxn modelId="{76B0417C-C59D-4706-86A5-E71F3568379F}" srcId="{E96CBA39-16C2-4884-B1DE-6FEA2512C5E1}" destId="{52B86FC9-ADCB-4646-931D-0BC6D7BFBE45}" srcOrd="1" destOrd="0" parTransId="{3F5035F5-F667-490B-BD7C-F8B8309FAD7C}" sibTransId="{58FB1A64-F001-4C70-B04B-E5A688C44700}"/>
    <dgm:cxn modelId="{08DB039F-3149-40A7-9047-62C8D2F31A9B}" type="presOf" srcId="{B80992B9-9FDA-4589-950F-CF3261ECEB6E}" destId="{E5E0D666-8A0A-4954-80EC-77D286CE323F}" srcOrd="0" destOrd="0" presId="urn:microsoft.com/office/officeart/2005/8/layout/radial4"/>
    <dgm:cxn modelId="{916848B4-3A54-4440-85DC-836ED4722C0A}" type="presOf" srcId="{FE2B5121-FEDF-4205-90BE-6160D1CB0975}" destId="{D6EFDDC1-3C96-49C5-BAC0-2C0126D15D9D}" srcOrd="0" destOrd="0" presId="urn:microsoft.com/office/officeart/2005/8/layout/radial4"/>
    <dgm:cxn modelId="{DAE979B4-FBF4-4B91-B2D8-AFD21E34F9FF}" type="presOf" srcId="{888B5982-A1D2-44CD-9825-41EAA5AF9787}" destId="{7DBD7795-2350-4BC7-B18C-969FA56B61B0}" srcOrd="0" destOrd="0" presId="urn:microsoft.com/office/officeart/2005/8/layout/radial4"/>
    <dgm:cxn modelId="{8B2FD3C4-BB0E-41F8-A22A-62E3B6025B2A}" type="presOf" srcId="{E96CBA39-16C2-4884-B1DE-6FEA2512C5E1}" destId="{2FB080E2-C4A5-4C7B-BD55-C4CCE395D8C3}" srcOrd="0" destOrd="0" presId="urn:microsoft.com/office/officeart/2005/8/layout/radial4"/>
    <dgm:cxn modelId="{15FC85CE-BA59-45E2-A7AE-E33D6E65E8EC}" type="presOf" srcId="{3F5035F5-F667-490B-BD7C-F8B8309FAD7C}" destId="{E58415AC-EBF0-4A8D-94F6-40AF0CA106DF}" srcOrd="0" destOrd="0" presId="urn:microsoft.com/office/officeart/2005/8/layout/radial4"/>
    <dgm:cxn modelId="{B17E15D9-4616-42E6-B5BD-EAB0C864F3AE}" srcId="{E96CBA39-16C2-4884-B1DE-6FEA2512C5E1}" destId="{FE2B5121-FEDF-4205-90BE-6160D1CB0975}" srcOrd="2" destOrd="0" parTransId="{B80992B9-9FDA-4589-950F-CF3261ECEB6E}" sibTransId="{67E88617-9E41-4AFB-8384-5C9A1EC3B084}"/>
    <dgm:cxn modelId="{064383DC-62FA-4E63-8402-A11B2CC48236}" srcId="{E96CBA39-16C2-4884-B1DE-6FEA2512C5E1}" destId="{CD83E50B-3D59-4ADC-B671-9E26F2730532}" srcOrd="3" destOrd="0" parTransId="{3E3B4D68-0280-47D6-AE0E-28B34DB8D307}" sibTransId="{68A70FAA-913E-491E-A6A0-C49706552A39}"/>
    <dgm:cxn modelId="{771165EA-B86E-4308-9545-439B502206D4}" type="presOf" srcId="{52B86FC9-ADCB-4646-931D-0BC6D7BFBE45}" destId="{D869D0EF-3867-4050-B4ED-65701607F968}" srcOrd="0" destOrd="0" presId="urn:microsoft.com/office/officeart/2005/8/layout/radial4"/>
    <dgm:cxn modelId="{0D190212-E038-45C2-B108-CBDE2284C87C}" type="presParOf" srcId="{FD50F836-A01A-4077-8262-0E66EFF14E48}" destId="{2FB080E2-C4A5-4C7B-BD55-C4CCE395D8C3}" srcOrd="0" destOrd="0" presId="urn:microsoft.com/office/officeart/2005/8/layout/radial4"/>
    <dgm:cxn modelId="{8C5AFB79-9114-43FA-817D-591E3A92C329}" type="presParOf" srcId="{FD50F836-A01A-4077-8262-0E66EFF14E48}" destId="{7DBD7795-2350-4BC7-B18C-969FA56B61B0}" srcOrd="1" destOrd="0" presId="urn:microsoft.com/office/officeart/2005/8/layout/radial4"/>
    <dgm:cxn modelId="{B4CF1E4A-B9CA-42A1-B2BA-058E0DEFA5D4}" type="presParOf" srcId="{FD50F836-A01A-4077-8262-0E66EFF14E48}" destId="{6C68B4ED-72EB-41EE-9D83-7B2B4D02203D}" srcOrd="2" destOrd="0" presId="urn:microsoft.com/office/officeart/2005/8/layout/radial4"/>
    <dgm:cxn modelId="{8C11652D-77E6-4E67-B6C8-E46769352B19}" type="presParOf" srcId="{FD50F836-A01A-4077-8262-0E66EFF14E48}" destId="{E58415AC-EBF0-4A8D-94F6-40AF0CA106DF}" srcOrd="3" destOrd="0" presId="urn:microsoft.com/office/officeart/2005/8/layout/radial4"/>
    <dgm:cxn modelId="{6257C7D9-C673-4941-858D-7C4B410C3C76}" type="presParOf" srcId="{FD50F836-A01A-4077-8262-0E66EFF14E48}" destId="{D869D0EF-3867-4050-B4ED-65701607F968}" srcOrd="4" destOrd="0" presId="urn:microsoft.com/office/officeart/2005/8/layout/radial4"/>
    <dgm:cxn modelId="{0D08BFAA-93A3-4A61-B888-5E157AA0A2B5}" type="presParOf" srcId="{FD50F836-A01A-4077-8262-0E66EFF14E48}" destId="{E5E0D666-8A0A-4954-80EC-77D286CE323F}" srcOrd="5" destOrd="0" presId="urn:microsoft.com/office/officeart/2005/8/layout/radial4"/>
    <dgm:cxn modelId="{8DE188CE-9446-4402-828F-05CC5EDD5ACC}" type="presParOf" srcId="{FD50F836-A01A-4077-8262-0E66EFF14E48}" destId="{D6EFDDC1-3C96-49C5-BAC0-2C0126D15D9D}" srcOrd="6" destOrd="0" presId="urn:microsoft.com/office/officeart/2005/8/layout/radial4"/>
    <dgm:cxn modelId="{6C7BE1C0-C4CF-493B-8DDC-59CEE9980FC1}" type="presParOf" srcId="{FD50F836-A01A-4077-8262-0E66EFF14E48}" destId="{93BBDF70-D9BD-4A0A-84C9-5AC62E9056C9}" srcOrd="7" destOrd="0" presId="urn:microsoft.com/office/officeart/2005/8/layout/radial4"/>
    <dgm:cxn modelId="{E2D9B6FB-B516-409D-AB10-0D069B80EA7B}" type="presParOf" srcId="{FD50F836-A01A-4077-8262-0E66EFF14E48}" destId="{2FDE60FA-BD0F-47A1-93AE-689B8D834EED}" srcOrd="8" destOrd="0" presId="urn:microsoft.com/office/officeart/2005/8/layout/radial4"/>
  </dgm:cxnLst>
  <dgm:bg/>
  <dgm:whole/>
  <dgm:extLst>
    <a:ext uri="http://schemas.microsoft.com/office/drawing/2008/diagram">
      <dsp:dataModelExt xmlns:dsp="http://schemas.microsoft.com/office/drawing/2008/diagram" relId="rId4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FB080E2-C4A5-4C7B-BD55-C4CCE395D8C3}">
      <dsp:nvSpPr>
        <dsp:cNvPr id="0" name=""/>
        <dsp:cNvSpPr/>
      </dsp:nvSpPr>
      <dsp:spPr>
        <a:xfrm>
          <a:off x="1669766" y="1404614"/>
          <a:ext cx="1371419" cy="1209259"/>
        </a:xfrm>
        <a:prstGeom prst="ellipse">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IN" sz="1400" kern="1200"/>
            <a:t>O - Unit &amp; Plot-9 Fillling Total = 1579 CUM</a:t>
          </a:r>
        </a:p>
      </dsp:txBody>
      <dsp:txXfrm>
        <a:off x="1870606" y="1581706"/>
        <a:ext cx="969739" cy="855075"/>
      </dsp:txXfrm>
    </dsp:sp>
    <dsp:sp modelId="{7DBD7795-2350-4BC7-B18C-969FA56B61B0}">
      <dsp:nvSpPr>
        <dsp:cNvPr id="0" name=""/>
        <dsp:cNvSpPr/>
      </dsp:nvSpPr>
      <dsp:spPr>
        <a:xfrm rot="10800000">
          <a:off x="602060" y="1859320"/>
          <a:ext cx="1008982" cy="299847"/>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6C68B4ED-72EB-41EE-9D83-7B2B4D02203D}">
      <dsp:nvSpPr>
        <dsp:cNvPr id="0" name=""/>
        <dsp:cNvSpPr/>
      </dsp:nvSpPr>
      <dsp:spPr>
        <a:xfrm>
          <a:off x="233826" y="1714656"/>
          <a:ext cx="736468" cy="589174"/>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2860" tIns="22860" rIns="22860" bIns="22860" numCol="1" spcCol="1270" anchor="ctr" anchorCtr="0">
          <a:noAutofit/>
        </a:bodyPr>
        <a:lstStyle/>
        <a:p>
          <a:pPr marL="0" lvl="0" indent="0" algn="ctr" defTabSz="533400">
            <a:lnSpc>
              <a:spcPct val="90000"/>
            </a:lnSpc>
            <a:spcBef>
              <a:spcPct val="0"/>
            </a:spcBef>
            <a:spcAft>
              <a:spcPct val="35000"/>
            </a:spcAft>
            <a:buNone/>
          </a:pPr>
          <a:r>
            <a:rPr lang="en-IN" sz="1200" kern="1200"/>
            <a:t>Plot-1  539 CUM</a:t>
          </a:r>
        </a:p>
      </dsp:txBody>
      <dsp:txXfrm>
        <a:off x="251082" y="1731912"/>
        <a:ext cx="701956" cy="554662"/>
      </dsp:txXfrm>
    </dsp:sp>
    <dsp:sp modelId="{E58415AC-EBF0-4A8D-94F6-40AF0CA106DF}">
      <dsp:nvSpPr>
        <dsp:cNvPr id="0" name=""/>
        <dsp:cNvSpPr/>
      </dsp:nvSpPr>
      <dsp:spPr>
        <a:xfrm rot="12600000">
          <a:off x="767910" y="1240359"/>
          <a:ext cx="1030988" cy="299847"/>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869D0EF-3867-4050-B4ED-65701607F968}">
      <dsp:nvSpPr>
        <dsp:cNvPr id="0" name=""/>
        <dsp:cNvSpPr/>
      </dsp:nvSpPr>
      <dsp:spPr>
        <a:xfrm>
          <a:off x="468739" y="837948"/>
          <a:ext cx="736468" cy="589174"/>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2860" tIns="22860" rIns="22860" bIns="22860" numCol="1" spcCol="1270" anchor="ctr" anchorCtr="0">
          <a:noAutofit/>
        </a:bodyPr>
        <a:lstStyle/>
        <a:p>
          <a:pPr marL="0" lvl="0" indent="0" algn="ctr" defTabSz="533400">
            <a:lnSpc>
              <a:spcPct val="90000"/>
            </a:lnSpc>
            <a:spcBef>
              <a:spcPct val="0"/>
            </a:spcBef>
            <a:spcAft>
              <a:spcPct val="35000"/>
            </a:spcAft>
            <a:buNone/>
          </a:pPr>
          <a:r>
            <a:rPr lang="en-IN" sz="1200" kern="1200"/>
            <a:t>Plot-2    89 CUM</a:t>
          </a:r>
        </a:p>
      </dsp:txBody>
      <dsp:txXfrm>
        <a:off x="485995" y="855204"/>
        <a:ext cx="701956" cy="554662"/>
      </dsp:txXfrm>
    </dsp:sp>
    <dsp:sp modelId="{E125A3CA-FADD-4F20-B662-6F94505A6338}">
      <dsp:nvSpPr>
        <dsp:cNvPr id="0" name=""/>
        <dsp:cNvSpPr/>
      </dsp:nvSpPr>
      <dsp:spPr>
        <a:xfrm rot="14400000">
          <a:off x="1211514" y="803714"/>
          <a:ext cx="1069015" cy="299847"/>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729A613-ECA3-43BE-8484-CB700A3A048C}">
      <dsp:nvSpPr>
        <dsp:cNvPr id="0" name=""/>
        <dsp:cNvSpPr/>
      </dsp:nvSpPr>
      <dsp:spPr>
        <a:xfrm>
          <a:off x="1110534" y="196154"/>
          <a:ext cx="736468" cy="589174"/>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2860" tIns="22860" rIns="22860" bIns="22860" numCol="1" spcCol="1270" anchor="ctr" anchorCtr="0">
          <a:noAutofit/>
        </a:bodyPr>
        <a:lstStyle/>
        <a:p>
          <a:pPr marL="0" lvl="0" indent="0" algn="ctr" defTabSz="533400">
            <a:lnSpc>
              <a:spcPct val="90000"/>
            </a:lnSpc>
            <a:spcBef>
              <a:spcPct val="0"/>
            </a:spcBef>
            <a:spcAft>
              <a:spcPct val="35000"/>
            </a:spcAft>
            <a:buNone/>
          </a:pPr>
          <a:r>
            <a:rPr lang="en-IN" sz="1200" kern="1200"/>
            <a:t>Plot-3  164 CUM</a:t>
          </a:r>
        </a:p>
      </dsp:txBody>
      <dsp:txXfrm>
        <a:off x="1127790" y="213410"/>
        <a:ext cx="701956" cy="554662"/>
      </dsp:txXfrm>
    </dsp:sp>
    <dsp:sp modelId="{B050D714-A988-49C2-B3AC-0950367D71BB}">
      <dsp:nvSpPr>
        <dsp:cNvPr id="0" name=""/>
        <dsp:cNvSpPr/>
      </dsp:nvSpPr>
      <dsp:spPr>
        <a:xfrm rot="16200000">
          <a:off x="1812675" y="648705"/>
          <a:ext cx="1085602" cy="299847"/>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444788FB-0BD8-4A5E-B795-E4BC47A3DA15}">
      <dsp:nvSpPr>
        <dsp:cNvPr id="0" name=""/>
        <dsp:cNvSpPr/>
      </dsp:nvSpPr>
      <dsp:spPr>
        <a:xfrm>
          <a:off x="1987242" y="-38758"/>
          <a:ext cx="736468" cy="589174"/>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2860" tIns="22860" rIns="22860" bIns="22860" numCol="1" spcCol="1270" anchor="ctr" anchorCtr="0">
          <a:noAutofit/>
        </a:bodyPr>
        <a:lstStyle/>
        <a:p>
          <a:pPr marL="0" lvl="0" indent="0" algn="ctr" defTabSz="533400">
            <a:lnSpc>
              <a:spcPct val="90000"/>
            </a:lnSpc>
            <a:spcBef>
              <a:spcPct val="0"/>
            </a:spcBef>
            <a:spcAft>
              <a:spcPct val="35000"/>
            </a:spcAft>
            <a:buNone/>
          </a:pPr>
          <a:r>
            <a:rPr lang="en-IN" sz="1200" kern="1200"/>
            <a:t>Plot-7  124 CUM</a:t>
          </a:r>
        </a:p>
      </dsp:txBody>
      <dsp:txXfrm>
        <a:off x="2004498" y="-21502"/>
        <a:ext cx="701956" cy="554662"/>
      </dsp:txXfrm>
    </dsp:sp>
    <dsp:sp modelId="{17914E01-E8F4-4F38-AF9C-3D4CB6180827}">
      <dsp:nvSpPr>
        <dsp:cNvPr id="0" name=""/>
        <dsp:cNvSpPr/>
      </dsp:nvSpPr>
      <dsp:spPr>
        <a:xfrm rot="18000000">
          <a:off x="2430422" y="803714"/>
          <a:ext cx="1069015" cy="299847"/>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6B14DC2E-B233-48A1-83BD-1943CE9A9810}">
      <dsp:nvSpPr>
        <dsp:cNvPr id="0" name=""/>
        <dsp:cNvSpPr/>
      </dsp:nvSpPr>
      <dsp:spPr>
        <a:xfrm>
          <a:off x="2863950" y="196154"/>
          <a:ext cx="736468" cy="589174"/>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2860" tIns="22860" rIns="22860" bIns="22860" numCol="1" spcCol="1270" anchor="ctr" anchorCtr="0">
          <a:noAutofit/>
        </a:bodyPr>
        <a:lstStyle/>
        <a:p>
          <a:pPr marL="0" lvl="0" indent="0" algn="ctr" defTabSz="533400">
            <a:lnSpc>
              <a:spcPct val="90000"/>
            </a:lnSpc>
            <a:spcBef>
              <a:spcPct val="0"/>
            </a:spcBef>
            <a:spcAft>
              <a:spcPct val="35000"/>
            </a:spcAft>
            <a:buNone/>
          </a:pPr>
          <a:r>
            <a:rPr lang="en-IN" sz="1200" kern="1200"/>
            <a:t>Plot-8 582 CUM</a:t>
          </a:r>
        </a:p>
      </dsp:txBody>
      <dsp:txXfrm>
        <a:off x="2881206" y="213410"/>
        <a:ext cx="701956" cy="554662"/>
      </dsp:txXfrm>
    </dsp:sp>
    <dsp:sp modelId="{0F40750E-4E16-46DA-A61F-0CE15D09976E}">
      <dsp:nvSpPr>
        <dsp:cNvPr id="0" name=""/>
        <dsp:cNvSpPr/>
      </dsp:nvSpPr>
      <dsp:spPr>
        <a:xfrm rot="19800000">
          <a:off x="2912053" y="1240359"/>
          <a:ext cx="1030988" cy="299847"/>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A39A159E-704C-42E9-AC7C-EE7C0FCFA2BD}">
      <dsp:nvSpPr>
        <dsp:cNvPr id="0" name=""/>
        <dsp:cNvSpPr/>
      </dsp:nvSpPr>
      <dsp:spPr>
        <a:xfrm>
          <a:off x="3505744" y="837948"/>
          <a:ext cx="736468" cy="589174"/>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2860" tIns="22860" rIns="22860" bIns="22860" numCol="1" spcCol="1270" anchor="ctr" anchorCtr="0">
          <a:noAutofit/>
        </a:bodyPr>
        <a:lstStyle/>
        <a:p>
          <a:pPr marL="0" lvl="0" indent="0" algn="ctr" defTabSz="533400">
            <a:lnSpc>
              <a:spcPct val="90000"/>
            </a:lnSpc>
            <a:spcBef>
              <a:spcPct val="0"/>
            </a:spcBef>
            <a:spcAft>
              <a:spcPct val="35000"/>
            </a:spcAft>
            <a:buNone/>
          </a:pPr>
          <a:r>
            <a:rPr lang="en-IN" sz="1200" kern="1200"/>
            <a:t>Plot-10 280 CUM</a:t>
          </a:r>
        </a:p>
      </dsp:txBody>
      <dsp:txXfrm>
        <a:off x="3523000" y="855204"/>
        <a:ext cx="701956" cy="554662"/>
      </dsp:txXfrm>
    </dsp:sp>
    <dsp:sp modelId="{A2D9F130-1190-4334-99E0-CCD4B76E4649}">
      <dsp:nvSpPr>
        <dsp:cNvPr id="0" name=""/>
        <dsp:cNvSpPr/>
      </dsp:nvSpPr>
      <dsp:spPr>
        <a:xfrm>
          <a:off x="3099910" y="1859320"/>
          <a:ext cx="1008982" cy="299847"/>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A5E5FCFC-0402-444E-B79A-5FF98FD272EE}">
      <dsp:nvSpPr>
        <dsp:cNvPr id="0" name=""/>
        <dsp:cNvSpPr/>
      </dsp:nvSpPr>
      <dsp:spPr>
        <a:xfrm>
          <a:off x="3740658" y="1714656"/>
          <a:ext cx="736468" cy="589174"/>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2860" tIns="22860" rIns="22860" bIns="22860" numCol="1" spcCol="1270" anchor="ctr" anchorCtr="0">
          <a:noAutofit/>
        </a:bodyPr>
        <a:lstStyle/>
        <a:p>
          <a:pPr marL="0" lvl="0" indent="0" algn="ctr" defTabSz="533400">
            <a:lnSpc>
              <a:spcPct val="90000"/>
            </a:lnSpc>
            <a:spcBef>
              <a:spcPct val="0"/>
            </a:spcBef>
            <a:spcAft>
              <a:spcPct val="35000"/>
            </a:spcAft>
            <a:buNone/>
          </a:pPr>
          <a:r>
            <a:rPr lang="en-IN" sz="1200" kern="1200"/>
            <a:t>Total Cutting = 1778</a:t>
          </a:r>
        </a:p>
      </dsp:txBody>
      <dsp:txXfrm>
        <a:off x="3757914" y="1731912"/>
        <a:ext cx="701956" cy="55466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FB080E2-C4A5-4C7B-BD55-C4CCE395D8C3}">
      <dsp:nvSpPr>
        <dsp:cNvPr id="0" name=""/>
        <dsp:cNvSpPr/>
      </dsp:nvSpPr>
      <dsp:spPr>
        <a:xfrm>
          <a:off x="1722877" y="1469361"/>
          <a:ext cx="1265198" cy="923621"/>
        </a:xfrm>
        <a:prstGeom prst="ellipse">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9525" tIns="9525" rIns="9525" bIns="9525" numCol="1" spcCol="1270" anchor="ctr" anchorCtr="0">
          <a:noAutofit/>
        </a:bodyPr>
        <a:lstStyle/>
        <a:p>
          <a:pPr marL="0" lvl="0" indent="0" algn="ctr" defTabSz="666750">
            <a:lnSpc>
              <a:spcPct val="90000"/>
            </a:lnSpc>
            <a:spcBef>
              <a:spcPct val="0"/>
            </a:spcBef>
            <a:spcAft>
              <a:spcPct val="35000"/>
            </a:spcAft>
            <a:buNone/>
          </a:pPr>
          <a:r>
            <a:rPr lang="en-IN" sz="1500" kern="1200"/>
            <a:t>P - Unit Filling Total = 520 CUM</a:t>
          </a:r>
        </a:p>
      </dsp:txBody>
      <dsp:txXfrm>
        <a:off x="1908161" y="1604622"/>
        <a:ext cx="894630" cy="653099"/>
      </dsp:txXfrm>
    </dsp:sp>
    <dsp:sp modelId="{7DBD7795-2350-4BC7-B18C-969FA56B61B0}">
      <dsp:nvSpPr>
        <dsp:cNvPr id="0" name=""/>
        <dsp:cNvSpPr/>
      </dsp:nvSpPr>
      <dsp:spPr>
        <a:xfrm rot="11700000">
          <a:off x="843868" y="1473116"/>
          <a:ext cx="883145" cy="342683"/>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6C68B4ED-72EB-41EE-9D83-7B2B4D02203D}">
      <dsp:nvSpPr>
        <dsp:cNvPr id="0" name=""/>
        <dsp:cNvSpPr/>
      </dsp:nvSpPr>
      <dsp:spPr>
        <a:xfrm>
          <a:off x="287776" y="1073259"/>
          <a:ext cx="1142277" cy="913821"/>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4290" tIns="34290" rIns="34290" bIns="34290" numCol="1" spcCol="1270" anchor="ctr" anchorCtr="0">
          <a:noAutofit/>
        </a:bodyPr>
        <a:lstStyle/>
        <a:p>
          <a:pPr marL="0" lvl="0" indent="0" algn="ctr" defTabSz="800100">
            <a:lnSpc>
              <a:spcPct val="90000"/>
            </a:lnSpc>
            <a:spcBef>
              <a:spcPct val="0"/>
            </a:spcBef>
            <a:spcAft>
              <a:spcPct val="35000"/>
            </a:spcAft>
            <a:buNone/>
          </a:pPr>
          <a:r>
            <a:rPr lang="en-IN" sz="1800" kern="1200"/>
            <a:t>Plot-4   127 CUM</a:t>
          </a:r>
        </a:p>
      </dsp:txBody>
      <dsp:txXfrm>
        <a:off x="314541" y="1100024"/>
        <a:ext cx="1088747" cy="860291"/>
      </dsp:txXfrm>
    </dsp:sp>
    <dsp:sp modelId="{E58415AC-EBF0-4A8D-94F6-40AF0CA106DF}">
      <dsp:nvSpPr>
        <dsp:cNvPr id="0" name=""/>
        <dsp:cNvSpPr/>
      </dsp:nvSpPr>
      <dsp:spPr>
        <a:xfrm rot="14700000">
          <a:off x="1409603" y="812554"/>
          <a:ext cx="1008301" cy="342683"/>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869D0EF-3867-4050-B4ED-65701607F968}">
      <dsp:nvSpPr>
        <dsp:cNvPr id="0" name=""/>
        <dsp:cNvSpPr/>
      </dsp:nvSpPr>
      <dsp:spPr>
        <a:xfrm>
          <a:off x="1129552" y="70069"/>
          <a:ext cx="1142277" cy="913821"/>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4290" tIns="34290" rIns="34290" bIns="34290" numCol="1" spcCol="1270" anchor="ctr" anchorCtr="0">
          <a:noAutofit/>
        </a:bodyPr>
        <a:lstStyle/>
        <a:p>
          <a:pPr marL="0" lvl="0" indent="0" algn="ctr" defTabSz="800100">
            <a:lnSpc>
              <a:spcPct val="90000"/>
            </a:lnSpc>
            <a:spcBef>
              <a:spcPct val="0"/>
            </a:spcBef>
            <a:spcAft>
              <a:spcPct val="35000"/>
            </a:spcAft>
            <a:buNone/>
          </a:pPr>
          <a:r>
            <a:rPr lang="en-IN" sz="1800" kern="1200"/>
            <a:t>Plot-5    300 CUM</a:t>
          </a:r>
        </a:p>
      </dsp:txBody>
      <dsp:txXfrm>
        <a:off x="1156317" y="96834"/>
        <a:ext cx="1088747" cy="860291"/>
      </dsp:txXfrm>
    </dsp:sp>
    <dsp:sp modelId="{E125A3CA-FADD-4F20-B662-6F94505A6338}">
      <dsp:nvSpPr>
        <dsp:cNvPr id="0" name=""/>
        <dsp:cNvSpPr/>
      </dsp:nvSpPr>
      <dsp:spPr>
        <a:xfrm rot="17700000">
          <a:off x="2293047" y="812554"/>
          <a:ext cx="1008301" cy="342683"/>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729A613-ECA3-43BE-8484-CB700A3A048C}">
      <dsp:nvSpPr>
        <dsp:cNvPr id="0" name=""/>
        <dsp:cNvSpPr/>
      </dsp:nvSpPr>
      <dsp:spPr>
        <a:xfrm>
          <a:off x="2439123" y="70069"/>
          <a:ext cx="1142277" cy="913821"/>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4290" tIns="34290" rIns="34290" bIns="34290" numCol="1" spcCol="1270" anchor="ctr" anchorCtr="0">
          <a:noAutofit/>
        </a:bodyPr>
        <a:lstStyle/>
        <a:p>
          <a:pPr marL="0" lvl="0" indent="0" algn="ctr" defTabSz="800100">
            <a:lnSpc>
              <a:spcPct val="90000"/>
            </a:lnSpc>
            <a:spcBef>
              <a:spcPct val="0"/>
            </a:spcBef>
            <a:spcAft>
              <a:spcPct val="35000"/>
            </a:spcAft>
            <a:buNone/>
          </a:pPr>
          <a:r>
            <a:rPr lang="en-IN" sz="1800" kern="1200"/>
            <a:t>Plot-6   190 CUM</a:t>
          </a:r>
        </a:p>
      </dsp:txBody>
      <dsp:txXfrm>
        <a:off x="2465888" y="96834"/>
        <a:ext cx="1088747" cy="860291"/>
      </dsp:txXfrm>
    </dsp:sp>
    <dsp:sp modelId="{93BBDF70-D9BD-4A0A-84C9-5AC62E9056C9}">
      <dsp:nvSpPr>
        <dsp:cNvPr id="0" name=""/>
        <dsp:cNvSpPr/>
      </dsp:nvSpPr>
      <dsp:spPr>
        <a:xfrm rot="20700000">
          <a:off x="2983938" y="1473116"/>
          <a:ext cx="883145" cy="342683"/>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2FDE60FA-BD0F-47A1-93AE-689B8D834EED}">
      <dsp:nvSpPr>
        <dsp:cNvPr id="0" name=""/>
        <dsp:cNvSpPr/>
      </dsp:nvSpPr>
      <dsp:spPr>
        <a:xfrm>
          <a:off x="3280899" y="1073259"/>
          <a:ext cx="1142277" cy="913821"/>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4290" tIns="34290" rIns="34290" bIns="34290" numCol="1" spcCol="1270" anchor="ctr" anchorCtr="0">
          <a:noAutofit/>
        </a:bodyPr>
        <a:lstStyle/>
        <a:p>
          <a:pPr marL="0" lvl="0" indent="0" algn="ctr" defTabSz="800100">
            <a:lnSpc>
              <a:spcPct val="90000"/>
            </a:lnSpc>
            <a:spcBef>
              <a:spcPct val="0"/>
            </a:spcBef>
            <a:spcAft>
              <a:spcPct val="35000"/>
            </a:spcAft>
            <a:buNone/>
          </a:pPr>
          <a:r>
            <a:rPr lang="en-IN" sz="1800" kern="1200"/>
            <a:t>Total Cutting = 617</a:t>
          </a:r>
        </a:p>
      </dsp:txBody>
      <dsp:txXfrm>
        <a:off x="3307664" y="1100024"/>
        <a:ext cx="1088747" cy="86029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FB080E2-C4A5-4C7B-BD55-C4CCE395D8C3}">
      <dsp:nvSpPr>
        <dsp:cNvPr id="0" name=""/>
        <dsp:cNvSpPr/>
      </dsp:nvSpPr>
      <dsp:spPr>
        <a:xfrm>
          <a:off x="1733208" y="1595121"/>
          <a:ext cx="1201953" cy="877451"/>
        </a:xfrm>
        <a:prstGeom prst="ellipse">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IN" sz="1000" kern="1200"/>
            <a:t>N, M Unit &amp; 11 &amp; 13 Plot Filling Total = 1117 CUM</a:t>
          </a:r>
        </a:p>
      </dsp:txBody>
      <dsp:txXfrm>
        <a:off x="1909230" y="1723621"/>
        <a:ext cx="849909" cy="620451"/>
      </dsp:txXfrm>
    </dsp:sp>
    <dsp:sp modelId="{7DBD7795-2350-4BC7-B18C-969FA56B61B0}">
      <dsp:nvSpPr>
        <dsp:cNvPr id="0" name=""/>
        <dsp:cNvSpPr/>
      </dsp:nvSpPr>
      <dsp:spPr>
        <a:xfrm rot="10800000">
          <a:off x="602087" y="1871070"/>
          <a:ext cx="1068909" cy="325553"/>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6C68B4ED-72EB-41EE-9D83-7B2B4D02203D}">
      <dsp:nvSpPr>
        <dsp:cNvPr id="0" name=""/>
        <dsp:cNvSpPr/>
      </dsp:nvSpPr>
      <dsp:spPr>
        <a:xfrm>
          <a:off x="202285" y="1714005"/>
          <a:ext cx="799604" cy="63968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Plot-12   609 CUM</a:t>
          </a:r>
        </a:p>
      </dsp:txBody>
      <dsp:txXfrm>
        <a:off x="221021" y="1732741"/>
        <a:ext cx="762132" cy="602211"/>
      </dsp:txXfrm>
    </dsp:sp>
    <dsp:sp modelId="{E58415AC-EBF0-4A8D-94F6-40AF0CA106DF}">
      <dsp:nvSpPr>
        <dsp:cNvPr id="0" name=""/>
        <dsp:cNvSpPr/>
      </dsp:nvSpPr>
      <dsp:spPr>
        <a:xfrm rot="12960000">
          <a:off x="824098" y="1187790"/>
          <a:ext cx="1139265" cy="325553"/>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869D0EF-3867-4050-B4ED-65701607F968}">
      <dsp:nvSpPr>
        <dsp:cNvPr id="0" name=""/>
        <dsp:cNvSpPr/>
      </dsp:nvSpPr>
      <dsp:spPr>
        <a:xfrm>
          <a:off x="533086" y="695903"/>
          <a:ext cx="799604" cy="63968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Plot-14    134 CUM</a:t>
          </a:r>
        </a:p>
      </dsp:txBody>
      <dsp:txXfrm>
        <a:off x="551822" y="714639"/>
        <a:ext cx="762132" cy="602211"/>
      </dsp:txXfrm>
    </dsp:sp>
    <dsp:sp modelId="{E125A3CA-FADD-4F20-B662-6F94505A6338}">
      <dsp:nvSpPr>
        <dsp:cNvPr id="0" name=""/>
        <dsp:cNvSpPr/>
      </dsp:nvSpPr>
      <dsp:spPr>
        <a:xfrm rot="15120000">
          <a:off x="1379970" y="800406"/>
          <a:ext cx="1212669" cy="325553"/>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729A613-ECA3-43BE-8484-CB700A3A048C}">
      <dsp:nvSpPr>
        <dsp:cNvPr id="0" name=""/>
        <dsp:cNvSpPr/>
      </dsp:nvSpPr>
      <dsp:spPr>
        <a:xfrm>
          <a:off x="1399135" y="66682"/>
          <a:ext cx="799604" cy="63968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Plot-15   51 CUM</a:t>
          </a:r>
        </a:p>
      </dsp:txBody>
      <dsp:txXfrm>
        <a:off x="1417871" y="85418"/>
        <a:ext cx="762132" cy="602211"/>
      </dsp:txXfrm>
    </dsp:sp>
    <dsp:sp modelId="{E5E0D666-8A0A-4954-80EC-77D286CE323F}">
      <dsp:nvSpPr>
        <dsp:cNvPr id="0" name=""/>
        <dsp:cNvSpPr/>
      </dsp:nvSpPr>
      <dsp:spPr>
        <a:xfrm rot="17280000">
          <a:off x="2075730" y="800406"/>
          <a:ext cx="1212669" cy="325553"/>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6EFDDC1-3C96-49C5-BAC0-2C0126D15D9D}">
      <dsp:nvSpPr>
        <dsp:cNvPr id="0" name=""/>
        <dsp:cNvSpPr/>
      </dsp:nvSpPr>
      <dsp:spPr>
        <a:xfrm>
          <a:off x="2469630" y="66682"/>
          <a:ext cx="799604" cy="63968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Plot-28    44 CUM</a:t>
          </a:r>
        </a:p>
      </dsp:txBody>
      <dsp:txXfrm>
        <a:off x="2488366" y="85418"/>
        <a:ext cx="762132" cy="602211"/>
      </dsp:txXfrm>
    </dsp:sp>
    <dsp:sp modelId="{23A10D7B-8B75-4A9C-9EFC-FB9EBF74814A}">
      <dsp:nvSpPr>
        <dsp:cNvPr id="0" name=""/>
        <dsp:cNvSpPr/>
      </dsp:nvSpPr>
      <dsp:spPr>
        <a:xfrm rot="19440000">
          <a:off x="2705006" y="1187790"/>
          <a:ext cx="1139265" cy="325553"/>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E240375-9B7D-485B-810A-61294FA701A9}">
      <dsp:nvSpPr>
        <dsp:cNvPr id="0" name=""/>
        <dsp:cNvSpPr/>
      </dsp:nvSpPr>
      <dsp:spPr>
        <a:xfrm>
          <a:off x="3335679" y="695903"/>
          <a:ext cx="799604" cy="63968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Plot-29 372 CUM</a:t>
          </a:r>
        </a:p>
      </dsp:txBody>
      <dsp:txXfrm>
        <a:off x="3354415" y="714639"/>
        <a:ext cx="762132" cy="602211"/>
      </dsp:txXfrm>
    </dsp:sp>
    <dsp:sp modelId="{93BBDF70-D9BD-4A0A-84C9-5AC62E9056C9}">
      <dsp:nvSpPr>
        <dsp:cNvPr id="0" name=""/>
        <dsp:cNvSpPr/>
      </dsp:nvSpPr>
      <dsp:spPr>
        <a:xfrm>
          <a:off x="2997374" y="1871070"/>
          <a:ext cx="1068909" cy="325553"/>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2FDE60FA-BD0F-47A1-93AE-689B8D834EED}">
      <dsp:nvSpPr>
        <dsp:cNvPr id="0" name=""/>
        <dsp:cNvSpPr/>
      </dsp:nvSpPr>
      <dsp:spPr>
        <a:xfrm>
          <a:off x="3666481" y="1714005"/>
          <a:ext cx="799604" cy="63968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Total Cutting = 1210</a:t>
          </a:r>
        </a:p>
      </dsp:txBody>
      <dsp:txXfrm>
        <a:off x="3685217" y="1732741"/>
        <a:ext cx="762132" cy="60221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FB080E2-C4A5-4C7B-BD55-C4CCE395D8C3}">
      <dsp:nvSpPr>
        <dsp:cNvPr id="0" name=""/>
        <dsp:cNvSpPr/>
      </dsp:nvSpPr>
      <dsp:spPr>
        <a:xfrm>
          <a:off x="1725437" y="1909963"/>
          <a:ext cx="1217496" cy="888797"/>
        </a:xfrm>
        <a:prstGeom prst="ellipse">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IN" sz="1000" kern="1200"/>
            <a:t>K, L Unit &amp; 17, 19, 22, 23 Plot Filling Total = 2643 CUM</a:t>
          </a:r>
        </a:p>
      </dsp:txBody>
      <dsp:txXfrm>
        <a:off x="1903735" y="2040124"/>
        <a:ext cx="860900" cy="628475"/>
      </dsp:txXfrm>
    </dsp:sp>
    <dsp:sp modelId="{7DBD7795-2350-4BC7-B18C-969FA56B61B0}">
      <dsp:nvSpPr>
        <dsp:cNvPr id="0" name=""/>
        <dsp:cNvSpPr/>
      </dsp:nvSpPr>
      <dsp:spPr>
        <a:xfrm rot="10800000">
          <a:off x="406243" y="2189481"/>
          <a:ext cx="1246637" cy="329762"/>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6C68B4ED-72EB-41EE-9D83-7B2B4D02203D}">
      <dsp:nvSpPr>
        <dsp:cNvPr id="0" name=""/>
        <dsp:cNvSpPr/>
      </dsp:nvSpPr>
      <dsp:spPr>
        <a:xfrm>
          <a:off x="1271" y="2030385"/>
          <a:ext cx="809944" cy="647955"/>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Plot-16   217 CUM</a:t>
          </a:r>
        </a:p>
      </dsp:txBody>
      <dsp:txXfrm>
        <a:off x="20249" y="2049363"/>
        <a:ext cx="771988" cy="609999"/>
      </dsp:txXfrm>
    </dsp:sp>
    <dsp:sp modelId="{E58415AC-EBF0-4A8D-94F6-40AF0CA106DF}">
      <dsp:nvSpPr>
        <dsp:cNvPr id="0" name=""/>
        <dsp:cNvSpPr/>
      </dsp:nvSpPr>
      <dsp:spPr>
        <a:xfrm rot="12600000">
          <a:off x="577395" y="1550733"/>
          <a:ext cx="1300891" cy="329762"/>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869D0EF-3867-4050-B4ED-65701607F968}">
      <dsp:nvSpPr>
        <dsp:cNvPr id="0" name=""/>
        <dsp:cNvSpPr/>
      </dsp:nvSpPr>
      <dsp:spPr>
        <a:xfrm>
          <a:off x="259566" y="1066414"/>
          <a:ext cx="809944" cy="647955"/>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Plot-18    192 CUM</a:t>
          </a:r>
        </a:p>
      </dsp:txBody>
      <dsp:txXfrm>
        <a:off x="278544" y="1085392"/>
        <a:ext cx="771988" cy="609999"/>
      </dsp:txXfrm>
    </dsp:sp>
    <dsp:sp modelId="{E125A3CA-FADD-4F20-B662-6F94505A6338}">
      <dsp:nvSpPr>
        <dsp:cNvPr id="0" name=""/>
        <dsp:cNvSpPr/>
      </dsp:nvSpPr>
      <dsp:spPr>
        <a:xfrm rot="14400000">
          <a:off x="1026452" y="1115248"/>
          <a:ext cx="1375049" cy="329762"/>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729A613-ECA3-43BE-8484-CB700A3A048C}">
      <dsp:nvSpPr>
        <dsp:cNvPr id="0" name=""/>
        <dsp:cNvSpPr/>
      </dsp:nvSpPr>
      <dsp:spPr>
        <a:xfrm>
          <a:off x="965242" y="360738"/>
          <a:ext cx="809944" cy="647955"/>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Plot-20   92 CUM</a:t>
          </a:r>
        </a:p>
      </dsp:txBody>
      <dsp:txXfrm>
        <a:off x="984220" y="379716"/>
        <a:ext cx="771988" cy="609999"/>
      </dsp:txXfrm>
    </dsp:sp>
    <dsp:sp modelId="{E5E0D666-8A0A-4954-80EC-77D286CE323F}">
      <dsp:nvSpPr>
        <dsp:cNvPr id="0" name=""/>
        <dsp:cNvSpPr/>
      </dsp:nvSpPr>
      <dsp:spPr>
        <a:xfrm rot="16200000">
          <a:off x="1633211" y="962513"/>
          <a:ext cx="1401947" cy="329762"/>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6EFDDC1-3C96-49C5-BAC0-2C0126D15D9D}">
      <dsp:nvSpPr>
        <dsp:cNvPr id="0" name=""/>
        <dsp:cNvSpPr/>
      </dsp:nvSpPr>
      <dsp:spPr>
        <a:xfrm>
          <a:off x="1929213" y="102443"/>
          <a:ext cx="809944" cy="647955"/>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Plot-21    118 CUM</a:t>
          </a:r>
        </a:p>
      </dsp:txBody>
      <dsp:txXfrm>
        <a:off x="1948191" y="121421"/>
        <a:ext cx="771988" cy="609999"/>
      </dsp:txXfrm>
    </dsp:sp>
    <dsp:sp modelId="{23A10D7B-8B75-4A9C-9EFC-FB9EBF74814A}">
      <dsp:nvSpPr>
        <dsp:cNvPr id="0" name=""/>
        <dsp:cNvSpPr/>
      </dsp:nvSpPr>
      <dsp:spPr>
        <a:xfrm rot="18000000">
          <a:off x="2266869" y="1115248"/>
          <a:ext cx="1375049" cy="329762"/>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E240375-9B7D-485B-810A-61294FA701A9}">
      <dsp:nvSpPr>
        <dsp:cNvPr id="0" name=""/>
        <dsp:cNvSpPr/>
      </dsp:nvSpPr>
      <dsp:spPr>
        <a:xfrm>
          <a:off x="2893184" y="360738"/>
          <a:ext cx="809944" cy="647955"/>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Plot-24   82 CUM</a:t>
          </a:r>
        </a:p>
      </dsp:txBody>
      <dsp:txXfrm>
        <a:off x="2912162" y="379716"/>
        <a:ext cx="771988" cy="609999"/>
      </dsp:txXfrm>
    </dsp:sp>
    <dsp:sp modelId="{0615BB54-5005-43B8-A5DB-DF63843997D0}">
      <dsp:nvSpPr>
        <dsp:cNvPr id="0" name=""/>
        <dsp:cNvSpPr/>
      </dsp:nvSpPr>
      <dsp:spPr>
        <a:xfrm rot="19800000">
          <a:off x="2790083" y="1550733"/>
          <a:ext cx="1300891" cy="329762"/>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068F369B-E0D5-4161-A0F5-9249CC3B7189}">
      <dsp:nvSpPr>
        <dsp:cNvPr id="0" name=""/>
        <dsp:cNvSpPr/>
      </dsp:nvSpPr>
      <dsp:spPr>
        <a:xfrm>
          <a:off x="3598859" y="1066414"/>
          <a:ext cx="809944" cy="647955"/>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Plot-25  332 CUM</a:t>
          </a:r>
        </a:p>
      </dsp:txBody>
      <dsp:txXfrm>
        <a:off x="3617837" y="1085392"/>
        <a:ext cx="771988" cy="609999"/>
      </dsp:txXfrm>
    </dsp:sp>
    <dsp:sp modelId="{93BBDF70-D9BD-4A0A-84C9-5AC62E9056C9}">
      <dsp:nvSpPr>
        <dsp:cNvPr id="0" name=""/>
        <dsp:cNvSpPr/>
      </dsp:nvSpPr>
      <dsp:spPr>
        <a:xfrm>
          <a:off x="3015489" y="2189481"/>
          <a:ext cx="1246637" cy="329762"/>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2FDE60FA-BD0F-47A1-93AE-689B8D834EED}">
      <dsp:nvSpPr>
        <dsp:cNvPr id="0" name=""/>
        <dsp:cNvSpPr/>
      </dsp:nvSpPr>
      <dsp:spPr>
        <a:xfrm>
          <a:off x="3857155" y="2030385"/>
          <a:ext cx="809944" cy="647955"/>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4765" tIns="24765" rIns="24765" bIns="24765" numCol="1" spcCol="1270" anchor="ctr" anchorCtr="0">
          <a:noAutofit/>
        </a:bodyPr>
        <a:lstStyle/>
        <a:p>
          <a:pPr marL="0" lvl="0" indent="0" algn="ctr" defTabSz="577850">
            <a:lnSpc>
              <a:spcPct val="90000"/>
            </a:lnSpc>
            <a:spcBef>
              <a:spcPct val="0"/>
            </a:spcBef>
            <a:spcAft>
              <a:spcPct val="35000"/>
            </a:spcAft>
            <a:buNone/>
          </a:pPr>
          <a:r>
            <a:rPr lang="en-IN" sz="1300" kern="1200"/>
            <a:t>Total Cutting = 1036</a:t>
          </a:r>
        </a:p>
      </dsp:txBody>
      <dsp:txXfrm>
        <a:off x="3876133" y="2049363"/>
        <a:ext cx="771988" cy="609999"/>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FB080E2-C4A5-4C7B-BD55-C4CCE395D8C3}">
      <dsp:nvSpPr>
        <dsp:cNvPr id="0" name=""/>
        <dsp:cNvSpPr/>
      </dsp:nvSpPr>
      <dsp:spPr>
        <a:xfrm>
          <a:off x="1743571" y="1551526"/>
          <a:ext cx="1181227" cy="995064"/>
        </a:xfrm>
        <a:prstGeom prst="ellipse">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lang="en-IN" sz="1100" kern="1200"/>
            <a:t>B, D Unit &amp; 44, 49, 50 Plot Filling Total = 3544 CUM</a:t>
          </a:r>
        </a:p>
      </dsp:txBody>
      <dsp:txXfrm>
        <a:off x="1916558" y="1697250"/>
        <a:ext cx="835253" cy="703616"/>
      </dsp:txXfrm>
    </dsp:sp>
    <dsp:sp modelId="{7DBD7795-2350-4BC7-B18C-969FA56B61B0}">
      <dsp:nvSpPr>
        <dsp:cNvPr id="0" name=""/>
        <dsp:cNvSpPr/>
      </dsp:nvSpPr>
      <dsp:spPr>
        <a:xfrm rot="10800000">
          <a:off x="501358" y="1911892"/>
          <a:ext cx="1173891"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6C68B4ED-72EB-41EE-9D83-7B2B4D02203D}">
      <dsp:nvSpPr>
        <dsp:cNvPr id="0" name=""/>
        <dsp:cNvSpPr/>
      </dsp:nvSpPr>
      <dsp:spPr>
        <a:xfrm>
          <a:off x="164455" y="1779537"/>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Unit-A 1025 CUM</a:t>
          </a:r>
        </a:p>
      </dsp:txBody>
      <dsp:txXfrm>
        <a:off x="180243" y="1795325"/>
        <a:ext cx="642228" cy="507467"/>
      </dsp:txXfrm>
    </dsp:sp>
    <dsp:sp modelId="{E58415AC-EBF0-4A8D-94F6-40AF0CA106DF}">
      <dsp:nvSpPr>
        <dsp:cNvPr id="0" name=""/>
        <dsp:cNvSpPr/>
      </dsp:nvSpPr>
      <dsp:spPr>
        <a:xfrm rot="12342857">
          <a:off x="623732" y="1375734"/>
          <a:ext cx="1194220"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869D0EF-3867-4050-B4ED-65701607F968}">
      <dsp:nvSpPr>
        <dsp:cNvPr id="0" name=""/>
        <dsp:cNvSpPr/>
      </dsp:nvSpPr>
      <dsp:spPr>
        <a:xfrm>
          <a:off x="345962" y="984303"/>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Plot-51 283 CUM</a:t>
          </a:r>
        </a:p>
      </dsp:txBody>
      <dsp:txXfrm>
        <a:off x="361750" y="1000091"/>
        <a:ext cx="642228" cy="507467"/>
      </dsp:txXfrm>
    </dsp:sp>
    <dsp:sp modelId="{E125A3CA-FADD-4F20-B662-6F94505A6338}">
      <dsp:nvSpPr>
        <dsp:cNvPr id="0" name=""/>
        <dsp:cNvSpPr/>
      </dsp:nvSpPr>
      <dsp:spPr>
        <a:xfrm rot="13885714">
          <a:off x="959348" y="960865"/>
          <a:ext cx="1232837"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729A613-ECA3-43BE-8484-CB700A3A048C}">
      <dsp:nvSpPr>
        <dsp:cNvPr id="0" name=""/>
        <dsp:cNvSpPr/>
      </dsp:nvSpPr>
      <dsp:spPr>
        <a:xfrm>
          <a:off x="854534" y="346575"/>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Plot-52 255 CUM</a:t>
          </a:r>
        </a:p>
      </dsp:txBody>
      <dsp:txXfrm>
        <a:off x="870322" y="362363"/>
        <a:ext cx="642228" cy="507467"/>
      </dsp:txXfrm>
    </dsp:sp>
    <dsp:sp modelId="{A5B413BC-A0D2-4FF8-A568-1DAD013C5E1F}">
      <dsp:nvSpPr>
        <dsp:cNvPr id="0" name=""/>
        <dsp:cNvSpPr/>
      </dsp:nvSpPr>
      <dsp:spPr>
        <a:xfrm rot="15428571">
          <a:off x="1437138" y="738460"/>
          <a:ext cx="1258436"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0CDAAA9-C7AA-4610-B3EA-50E4B84A3386}">
      <dsp:nvSpPr>
        <dsp:cNvPr id="0" name=""/>
        <dsp:cNvSpPr/>
      </dsp:nvSpPr>
      <dsp:spPr>
        <a:xfrm>
          <a:off x="1589440" y="-7336"/>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Plot-53 155 CUM</a:t>
          </a:r>
        </a:p>
      </dsp:txBody>
      <dsp:txXfrm>
        <a:off x="1605228" y="8452"/>
        <a:ext cx="642228" cy="507467"/>
      </dsp:txXfrm>
    </dsp:sp>
    <dsp:sp modelId="{33EBC30B-9E2A-4F0B-8848-0E308932E378}">
      <dsp:nvSpPr>
        <dsp:cNvPr id="0" name=""/>
        <dsp:cNvSpPr/>
      </dsp:nvSpPr>
      <dsp:spPr>
        <a:xfrm rot="16971429">
          <a:off x="1972795" y="738460"/>
          <a:ext cx="1258436"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B9F98B2A-C98B-4164-A8C9-9A2CA7CB542A}">
      <dsp:nvSpPr>
        <dsp:cNvPr id="0" name=""/>
        <dsp:cNvSpPr/>
      </dsp:nvSpPr>
      <dsp:spPr>
        <a:xfrm>
          <a:off x="2405125" y="-7336"/>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Plot-54 240 CUM</a:t>
          </a:r>
        </a:p>
      </dsp:txBody>
      <dsp:txXfrm>
        <a:off x="2420913" y="8452"/>
        <a:ext cx="642228" cy="507467"/>
      </dsp:txXfrm>
    </dsp:sp>
    <dsp:sp modelId="{DF1B0A99-714B-4222-8073-F661393A1BE9}">
      <dsp:nvSpPr>
        <dsp:cNvPr id="0" name=""/>
        <dsp:cNvSpPr/>
      </dsp:nvSpPr>
      <dsp:spPr>
        <a:xfrm rot="18514286">
          <a:off x="2476185" y="960865"/>
          <a:ext cx="1232837"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58BC1615-A8F4-4E37-959C-4A9BBC576FF6}">
      <dsp:nvSpPr>
        <dsp:cNvPr id="0" name=""/>
        <dsp:cNvSpPr/>
      </dsp:nvSpPr>
      <dsp:spPr>
        <a:xfrm>
          <a:off x="3140032" y="346575"/>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Plot-55 361 CUM</a:t>
          </a:r>
        </a:p>
      </dsp:txBody>
      <dsp:txXfrm>
        <a:off x="3155820" y="362363"/>
        <a:ext cx="642228" cy="507467"/>
      </dsp:txXfrm>
    </dsp:sp>
    <dsp:sp modelId="{9ACBB33B-69DF-4C70-BA2E-E5D8F1431E26}">
      <dsp:nvSpPr>
        <dsp:cNvPr id="0" name=""/>
        <dsp:cNvSpPr/>
      </dsp:nvSpPr>
      <dsp:spPr>
        <a:xfrm rot="20057143">
          <a:off x="2850417" y="1375734"/>
          <a:ext cx="1194220"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EEA4D5CC-C0F8-4886-9F96-50DB9CE025E7}">
      <dsp:nvSpPr>
        <dsp:cNvPr id="0" name=""/>
        <dsp:cNvSpPr/>
      </dsp:nvSpPr>
      <dsp:spPr>
        <a:xfrm>
          <a:off x="3648603" y="984303"/>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Plot-56 888 CUM</a:t>
          </a:r>
        </a:p>
      </dsp:txBody>
      <dsp:txXfrm>
        <a:off x="3664391" y="1000091"/>
        <a:ext cx="642228" cy="507467"/>
      </dsp:txXfrm>
    </dsp:sp>
    <dsp:sp modelId="{E5E0D666-8A0A-4954-80EC-77D286CE323F}">
      <dsp:nvSpPr>
        <dsp:cNvPr id="0" name=""/>
        <dsp:cNvSpPr/>
      </dsp:nvSpPr>
      <dsp:spPr>
        <a:xfrm>
          <a:off x="2993121" y="1911892"/>
          <a:ext cx="1173891"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6EFDDC1-3C96-49C5-BAC0-2C0126D15D9D}">
      <dsp:nvSpPr>
        <dsp:cNvPr id="0" name=""/>
        <dsp:cNvSpPr/>
      </dsp:nvSpPr>
      <dsp:spPr>
        <a:xfrm>
          <a:off x="3830110" y="1779537"/>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Total Cutting = 3480</a:t>
          </a:r>
        </a:p>
      </dsp:txBody>
      <dsp:txXfrm>
        <a:off x="3845898" y="1795325"/>
        <a:ext cx="642228" cy="507467"/>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FB080E2-C4A5-4C7B-BD55-C4CCE395D8C3}">
      <dsp:nvSpPr>
        <dsp:cNvPr id="0" name=""/>
        <dsp:cNvSpPr/>
      </dsp:nvSpPr>
      <dsp:spPr>
        <a:xfrm>
          <a:off x="1702618" y="1513761"/>
          <a:ext cx="1305716" cy="953200"/>
        </a:xfrm>
        <a:prstGeom prst="ellipse">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9525" tIns="9525" rIns="9525" bIns="9525" numCol="1" spcCol="1270" anchor="ctr" anchorCtr="0">
          <a:noAutofit/>
        </a:bodyPr>
        <a:lstStyle/>
        <a:p>
          <a:pPr marL="0" lvl="0" indent="0" algn="ctr" defTabSz="666750">
            <a:lnSpc>
              <a:spcPct val="90000"/>
            </a:lnSpc>
            <a:spcBef>
              <a:spcPct val="0"/>
            </a:spcBef>
            <a:spcAft>
              <a:spcPct val="35000"/>
            </a:spcAft>
            <a:buNone/>
          </a:pPr>
          <a:r>
            <a:rPr lang="en-IN" sz="1500" kern="1200"/>
            <a:t>47 Plot Filling Total = 217 CUM</a:t>
          </a:r>
        </a:p>
      </dsp:txBody>
      <dsp:txXfrm>
        <a:off x="1893836" y="1653354"/>
        <a:ext cx="923280" cy="674014"/>
      </dsp:txXfrm>
    </dsp:sp>
    <dsp:sp modelId="{7DBD7795-2350-4BC7-B18C-969FA56B61B0}">
      <dsp:nvSpPr>
        <dsp:cNvPr id="0" name=""/>
        <dsp:cNvSpPr/>
      </dsp:nvSpPr>
      <dsp:spPr>
        <a:xfrm rot="11700000">
          <a:off x="798316" y="1518032"/>
          <a:ext cx="908678" cy="353657"/>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6C68B4ED-72EB-41EE-9D83-7B2B4D02203D}">
      <dsp:nvSpPr>
        <dsp:cNvPr id="0" name=""/>
        <dsp:cNvSpPr/>
      </dsp:nvSpPr>
      <dsp:spPr>
        <a:xfrm>
          <a:off x="224368" y="1105726"/>
          <a:ext cx="1178858" cy="943086"/>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6195" tIns="36195" rIns="36195" bIns="36195" numCol="1" spcCol="1270" anchor="ctr" anchorCtr="0">
          <a:noAutofit/>
        </a:bodyPr>
        <a:lstStyle/>
        <a:p>
          <a:pPr marL="0" lvl="0" indent="0" algn="ctr" defTabSz="844550">
            <a:lnSpc>
              <a:spcPct val="90000"/>
            </a:lnSpc>
            <a:spcBef>
              <a:spcPct val="0"/>
            </a:spcBef>
            <a:spcAft>
              <a:spcPct val="35000"/>
            </a:spcAft>
            <a:buNone/>
          </a:pPr>
          <a:r>
            <a:rPr lang="en-IN" sz="1900" kern="1200"/>
            <a:t>Plot-41   32 CUM</a:t>
          </a:r>
        </a:p>
      </dsp:txBody>
      <dsp:txXfrm>
        <a:off x="251990" y="1133348"/>
        <a:ext cx="1123614" cy="887842"/>
      </dsp:txXfrm>
    </dsp:sp>
    <dsp:sp modelId="{E58415AC-EBF0-4A8D-94F6-40AF0CA106DF}">
      <dsp:nvSpPr>
        <dsp:cNvPr id="0" name=""/>
        <dsp:cNvSpPr/>
      </dsp:nvSpPr>
      <dsp:spPr>
        <a:xfrm rot="14700000">
          <a:off x="1381335" y="837310"/>
          <a:ext cx="1037843" cy="353657"/>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869D0EF-3867-4050-B4ED-65701607F968}">
      <dsp:nvSpPr>
        <dsp:cNvPr id="0" name=""/>
        <dsp:cNvSpPr/>
      </dsp:nvSpPr>
      <dsp:spPr>
        <a:xfrm>
          <a:off x="1091522" y="72293"/>
          <a:ext cx="1178858" cy="943086"/>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6195" tIns="36195" rIns="36195" bIns="36195" numCol="1" spcCol="1270" anchor="ctr" anchorCtr="0">
          <a:noAutofit/>
        </a:bodyPr>
        <a:lstStyle/>
        <a:p>
          <a:pPr marL="0" lvl="0" indent="0" algn="ctr" defTabSz="844550">
            <a:lnSpc>
              <a:spcPct val="90000"/>
            </a:lnSpc>
            <a:spcBef>
              <a:spcPct val="0"/>
            </a:spcBef>
            <a:spcAft>
              <a:spcPct val="35000"/>
            </a:spcAft>
            <a:buNone/>
          </a:pPr>
          <a:r>
            <a:rPr lang="en-IN" sz="1900" kern="1200"/>
            <a:t>Plot-43   38 CUM</a:t>
          </a:r>
        </a:p>
      </dsp:txBody>
      <dsp:txXfrm>
        <a:off x="1119144" y="99915"/>
        <a:ext cx="1123614" cy="887842"/>
      </dsp:txXfrm>
    </dsp:sp>
    <dsp:sp modelId="{E125A3CA-FADD-4F20-B662-6F94505A6338}">
      <dsp:nvSpPr>
        <dsp:cNvPr id="0" name=""/>
        <dsp:cNvSpPr/>
      </dsp:nvSpPr>
      <dsp:spPr>
        <a:xfrm rot="17700000">
          <a:off x="2291775" y="837310"/>
          <a:ext cx="1037843" cy="353657"/>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729A613-ECA3-43BE-8484-CB700A3A048C}">
      <dsp:nvSpPr>
        <dsp:cNvPr id="0" name=""/>
        <dsp:cNvSpPr/>
      </dsp:nvSpPr>
      <dsp:spPr>
        <a:xfrm>
          <a:off x="2440573" y="72293"/>
          <a:ext cx="1178858" cy="943086"/>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6195" tIns="36195" rIns="36195" bIns="36195" numCol="1" spcCol="1270" anchor="ctr" anchorCtr="0">
          <a:noAutofit/>
        </a:bodyPr>
        <a:lstStyle/>
        <a:p>
          <a:pPr marL="0" lvl="0" indent="0" algn="ctr" defTabSz="844550">
            <a:lnSpc>
              <a:spcPct val="90000"/>
            </a:lnSpc>
            <a:spcBef>
              <a:spcPct val="0"/>
            </a:spcBef>
            <a:spcAft>
              <a:spcPct val="35000"/>
            </a:spcAft>
            <a:buNone/>
          </a:pPr>
          <a:r>
            <a:rPr lang="en-IN" sz="1900" kern="1200"/>
            <a:t>Plot-45   200 CUM</a:t>
          </a:r>
        </a:p>
      </dsp:txBody>
      <dsp:txXfrm>
        <a:off x="2468195" y="99915"/>
        <a:ext cx="1123614" cy="887842"/>
      </dsp:txXfrm>
    </dsp:sp>
    <dsp:sp modelId="{E5E0D666-8A0A-4954-80EC-77D286CE323F}">
      <dsp:nvSpPr>
        <dsp:cNvPr id="0" name=""/>
        <dsp:cNvSpPr/>
      </dsp:nvSpPr>
      <dsp:spPr>
        <a:xfrm rot="20700000">
          <a:off x="3003958" y="1518032"/>
          <a:ext cx="908678" cy="353657"/>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6EFDDC1-3C96-49C5-BAC0-2C0126D15D9D}">
      <dsp:nvSpPr>
        <dsp:cNvPr id="0" name=""/>
        <dsp:cNvSpPr/>
      </dsp:nvSpPr>
      <dsp:spPr>
        <a:xfrm>
          <a:off x="3307726" y="1105726"/>
          <a:ext cx="1178858" cy="943086"/>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6195" tIns="36195" rIns="36195" bIns="36195" numCol="1" spcCol="1270" anchor="ctr" anchorCtr="0">
          <a:noAutofit/>
        </a:bodyPr>
        <a:lstStyle/>
        <a:p>
          <a:pPr marL="0" lvl="0" indent="0" algn="ctr" defTabSz="844550">
            <a:lnSpc>
              <a:spcPct val="90000"/>
            </a:lnSpc>
            <a:spcBef>
              <a:spcPct val="0"/>
            </a:spcBef>
            <a:spcAft>
              <a:spcPct val="35000"/>
            </a:spcAft>
            <a:buNone/>
          </a:pPr>
          <a:r>
            <a:rPr lang="en-IN" sz="1900" kern="1200"/>
            <a:t>Total Cutting = 270</a:t>
          </a:r>
        </a:p>
      </dsp:txBody>
      <dsp:txXfrm>
        <a:off x="3335348" y="1133348"/>
        <a:ext cx="1123614" cy="887842"/>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FB080E2-C4A5-4C7B-BD55-C4CCE395D8C3}">
      <dsp:nvSpPr>
        <dsp:cNvPr id="0" name=""/>
        <dsp:cNvSpPr/>
      </dsp:nvSpPr>
      <dsp:spPr>
        <a:xfrm>
          <a:off x="1827759" y="1743272"/>
          <a:ext cx="1012853" cy="739404"/>
        </a:xfrm>
        <a:prstGeom prst="ellipse">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IN" sz="900" kern="1200"/>
            <a:t>C, H Unit &amp; 48 Plot Filling Total = 4827 CUM</a:t>
          </a:r>
        </a:p>
      </dsp:txBody>
      <dsp:txXfrm>
        <a:off x="1976088" y="1851555"/>
        <a:ext cx="716195" cy="522838"/>
      </dsp:txXfrm>
    </dsp:sp>
    <dsp:sp modelId="{7DBD7795-2350-4BC7-B18C-969FA56B61B0}">
      <dsp:nvSpPr>
        <dsp:cNvPr id="0" name=""/>
        <dsp:cNvSpPr/>
      </dsp:nvSpPr>
      <dsp:spPr>
        <a:xfrm rot="10800000">
          <a:off x="501358" y="1975807"/>
          <a:ext cx="1253448"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6C68B4ED-72EB-41EE-9D83-7B2B4D02203D}">
      <dsp:nvSpPr>
        <dsp:cNvPr id="0" name=""/>
        <dsp:cNvSpPr/>
      </dsp:nvSpPr>
      <dsp:spPr>
        <a:xfrm>
          <a:off x="164455" y="1843452"/>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Plot-36   220 CUM</a:t>
          </a:r>
        </a:p>
      </dsp:txBody>
      <dsp:txXfrm>
        <a:off x="180243" y="1859240"/>
        <a:ext cx="642228" cy="507467"/>
      </dsp:txXfrm>
    </dsp:sp>
    <dsp:sp modelId="{E58415AC-EBF0-4A8D-94F6-40AF0CA106DF}">
      <dsp:nvSpPr>
        <dsp:cNvPr id="0" name=""/>
        <dsp:cNvSpPr/>
      </dsp:nvSpPr>
      <dsp:spPr>
        <a:xfrm rot="12342857">
          <a:off x="619058" y="1460131"/>
          <a:ext cx="1288630"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869D0EF-3867-4050-B4ED-65701607F968}">
      <dsp:nvSpPr>
        <dsp:cNvPr id="0" name=""/>
        <dsp:cNvSpPr/>
      </dsp:nvSpPr>
      <dsp:spPr>
        <a:xfrm>
          <a:off x="345962" y="1048218"/>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Plot-37    162 CUM</a:t>
          </a:r>
        </a:p>
      </dsp:txBody>
      <dsp:txXfrm>
        <a:off x="361750" y="1064006"/>
        <a:ext cx="642228" cy="507467"/>
      </dsp:txXfrm>
    </dsp:sp>
    <dsp:sp modelId="{E125A3CA-FADD-4F20-B662-6F94505A6338}">
      <dsp:nvSpPr>
        <dsp:cNvPr id="0" name=""/>
        <dsp:cNvSpPr/>
      </dsp:nvSpPr>
      <dsp:spPr>
        <a:xfrm rot="13885714">
          <a:off x="938075" y="1068954"/>
          <a:ext cx="1345839"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729A613-ECA3-43BE-8484-CB700A3A048C}">
      <dsp:nvSpPr>
        <dsp:cNvPr id="0" name=""/>
        <dsp:cNvSpPr/>
      </dsp:nvSpPr>
      <dsp:spPr>
        <a:xfrm>
          <a:off x="854534" y="410490"/>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Plot-38   104 CUM</a:t>
          </a:r>
        </a:p>
      </dsp:txBody>
      <dsp:txXfrm>
        <a:off x="870322" y="426278"/>
        <a:ext cx="642228" cy="507467"/>
      </dsp:txXfrm>
    </dsp:sp>
    <dsp:sp modelId="{E5E0D666-8A0A-4954-80EC-77D286CE323F}">
      <dsp:nvSpPr>
        <dsp:cNvPr id="0" name=""/>
        <dsp:cNvSpPr/>
      </dsp:nvSpPr>
      <dsp:spPr>
        <a:xfrm rot="15428571">
          <a:off x="1390449" y="860922"/>
          <a:ext cx="1378542"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6EFDDC1-3C96-49C5-BAC0-2C0126D15D9D}">
      <dsp:nvSpPr>
        <dsp:cNvPr id="0" name=""/>
        <dsp:cNvSpPr/>
      </dsp:nvSpPr>
      <dsp:spPr>
        <a:xfrm>
          <a:off x="1589441" y="56577"/>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Plot-39    47 CUM</a:t>
          </a:r>
        </a:p>
      </dsp:txBody>
      <dsp:txXfrm>
        <a:off x="1605229" y="72365"/>
        <a:ext cx="642228" cy="507467"/>
      </dsp:txXfrm>
    </dsp:sp>
    <dsp:sp modelId="{23A10D7B-8B75-4A9C-9EFC-FB9EBF74814A}">
      <dsp:nvSpPr>
        <dsp:cNvPr id="0" name=""/>
        <dsp:cNvSpPr/>
      </dsp:nvSpPr>
      <dsp:spPr>
        <a:xfrm rot="16971429">
          <a:off x="1899380" y="860922"/>
          <a:ext cx="1378542"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E240375-9B7D-485B-810A-61294FA701A9}">
      <dsp:nvSpPr>
        <dsp:cNvPr id="0" name=""/>
        <dsp:cNvSpPr/>
      </dsp:nvSpPr>
      <dsp:spPr>
        <a:xfrm>
          <a:off x="2405126" y="56577"/>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Plot-57   1461 CUM</a:t>
          </a:r>
        </a:p>
      </dsp:txBody>
      <dsp:txXfrm>
        <a:off x="2420914" y="72365"/>
        <a:ext cx="642228" cy="507467"/>
      </dsp:txXfrm>
    </dsp:sp>
    <dsp:sp modelId="{0615BB54-5005-43B8-A5DB-DF63843997D0}">
      <dsp:nvSpPr>
        <dsp:cNvPr id="0" name=""/>
        <dsp:cNvSpPr/>
      </dsp:nvSpPr>
      <dsp:spPr>
        <a:xfrm rot="18514286">
          <a:off x="2384456" y="1068954"/>
          <a:ext cx="1345839"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068F369B-E0D5-4161-A0F5-9249CC3B7189}">
      <dsp:nvSpPr>
        <dsp:cNvPr id="0" name=""/>
        <dsp:cNvSpPr/>
      </dsp:nvSpPr>
      <dsp:spPr>
        <a:xfrm>
          <a:off x="3140033" y="410490"/>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Plot-58  240 CUM</a:t>
          </a:r>
        </a:p>
      </dsp:txBody>
      <dsp:txXfrm>
        <a:off x="3155821" y="426278"/>
        <a:ext cx="642228" cy="507467"/>
      </dsp:txXfrm>
    </dsp:sp>
    <dsp:sp modelId="{4FDB9A58-998A-4D36-A45B-3E5B0DC8C490}">
      <dsp:nvSpPr>
        <dsp:cNvPr id="0" name=""/>
        <dsp:cNvSpPr/>
      </dsp:nvSpPr>
      <dsp:spPr>
        <a:xfrm rot="20057143">
          <a:off x="2760683" y="1460131"/>
          <a:ext cx="1288630"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4CD4BB9D-B69D-475F-A6B8-E7047E260E37}">
      <dsp:nvSpPr>
        <dsp:cNvPr id="0" name=""/>
        <dsp:cNvSpPr/>
      </dsp:nvSpPr>
      <dsp:spPr>
        <a:xfrm>
          <a:off x="3648604" y="1048218"/>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Plot-59  2331 CUM</a:t>
          </a:r>
        </a:p>
      </dsp:txBody>
      <dsp:txXfrm>
        <a:off x="3664392" y="1064006"/>
        <a:ext cx="642228" cy="507467"/>
      </dsp:txXfrm>
    </dsp:sp>
    <dsp:sp modelId="{93BBDF70-D9BD-4A0A-84C9-5AC62E9056C9}">
      <dsp:nvSpPr>
        <dsp:cNvPr id="0" name=""/>
        <dsp:cNvSpPr/>
      </dsp:nvSpPr>
      <dsp:spPr>
        <a:xfrm>
          <a:off x="2913564" y="1975807"/>
          <a:ext cx="1253448" cy="274334"/>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2FDE60FA-BD0F-47A1-93AE-689B8D834EED}">
      <dsp:nvSpPr>
        <dsp:cNvPr id="0" name=""/>
        <dsp:cNvSpPr/>
      </dsp:nvSpPr>
      <dsp:spPr>
        <a:xfrm>
          <a:off x="3830111" y="1843452"/>
          <a:ext cx="673804" cy="539043"/>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955" tIns="20955" rIns="20955" bIns="20955" numCol="1" spcCol="1270" anchor="ctr" anchorCtr="0">
          <a:noAutofit/>
        </a:bodyPr>
        <a:lstStyle/>
        <a:p>
          <a:pPr marL="0" lvl="0" indent="0" algn="ctr" defTabSz="488950">
            <a:lnSpc>
              <a:spcPct val="90000"/>
            </a:lnSpc>
            <a:spcBef>
              <a:spcPct val="0"/>
            </a:spcBef>
            <a:spcAft>
              <a:spcPct val="35000"/>
            </a:spcAft>
            <a:buNone/>
          </a:pPr>
          <a:r>
            <a:rPr lang="en-IN" sz="1100" kern="1200"/>
            <a:t>Total Cutting = 4565</a:t>
          </a:r>
        </a:p>
      </dsp:txBody>
      <dsp:txXfrm>
        <a:off x="3845899" y="1859240"/>
        <a:ext cx="642228" cy="507467"/>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FB080E2-C4A5-4C7B-BD55-C4CCE395D8C3}">
      <dsp:nvSpPr>
        <dsp:cNvPr id="0" name=""/>
        <dsp:cNvSpPr/>
      </dsp:nvSpPr>
      <dsp:spPr>
        <a:xfrm>
          <a:off x="1193779" y="1246798"/>
          <a:ext cx="1453817" cy="1192063"/>
        </a:xfrm>
        <a:prstGeom prst="ellipse">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0160" tIns="10160" rIns="10160" bIns="10160" numCol="1" spcCol="1270" anchor="ctr" anchorCtr="0">
          <a:noAutofit/>
        </a:bodyPr>
        <a:lstStyle/>
        <a:p>
          <a:pPr marL="0" lvl="0" indent="0" algn="ctr" defTabSz="711200">
            <a:lnSpc>
              <a:spcPct val="90000"/>
            </a:lnSpc>
            <a:spcBef>
              <a:spcPct val="0"/>
            </a:spcBef>
            <a:spcAft>
              <a:spcPct val="35000"/>
            </a:spcAft>
            <a:buNone/>
          </a:pPr>
          <a:r>
            <a:rPr lang="en-IN" sz="1600" kern="1200"/>
            <a:t>I, J Unit Filling Total = 4031 CUM</a:t>
          </a:r>
        </a:p>
      </dsp:txBody>
      <dsp:txXfrm>
        <a:off x="1406686" y="1421372"/>
        <a:ext cx="1028003" cy="842915"/>
      </dsp:txXfrm>
    </dsp:sp>
    <dsp:sp modelId="{7DBD7795-2350-4BC7-B18C-969FA56B61B0}">
      <dsp:nvSpPr>
        <dsp:cNvPr id="0" name=""/>
        <dsp:cNvSpPr/>
      </dsp:nvSpPr>
      <dsp:spPr>
        <a:xfrm rot="10800000">
          <a:off x="220752" y="1753632"/>
          <a:ext cx="919510" cy="178395"/>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6C68B4ED-72EB-41EE-9D83-7B2B4D02203D}">
      <dsp:nvSpPr>
        <dsp:cNvPr id="0" name=""/>
        <dsp:cNvSpPr/>
      </dsp:nvSpPr>
      <dsp:spPr>
        <a:xfrm>
          <a:off x="-74679" y="1573355"/>
          <a:ext cx="590864" cy="538949"/>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400050">
            <a:lnSpc>
              <a:spcPct val="90000"/>
            </a:lnSpc>
            <a:spcBef>
              <a:spcPct val="0"/>
            </a:spcBef>
            <a:spcAft>
              <a:spcPct val="35000"/>
            </a:spcAft>
            <a:buNone/>
          </a:pPr>
          <a:r>
            <a:rPr lang="en-IN" sz="900" kern="1200"/>
            <a:t>Unit-F   552 CUM</a:t>
          </a:r>
        </a:p>
      </dsp:txBody>
      <dsp:txXfrm>
        <a:off x="-58894" y="1589140"/>
        <a:ext cx="559294" cy="507379"/>
      </dsp:txXfrm>
    </dsp:sp>
    <dsp:sp modelId="{E58415AC-EBF0-4A8D-94F6-40AF0CA106DF}">
      <dsp:nvSpPr>
        <dsp:cNvPr id="0" name=""/>
        <dsp:cNvSpPr/>
      </dsp:nvSpPr>
      <dsp:spPr>
        <a:xfrm rot="12000000">
          <a:off x="294978" y="1332677"/>
          <a:ext cx="938292" cy="178395"/>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869D0EF-3867-4050-B4ED-65701607F968}">
      <dsp:nvSpPr>
        <dsp:cNvPr id="0" name=""/>
        <dsp:cNvSpPr/>
      </dsp:nvSpPr>
      <dsp:spPr>
        <a:xfrm>
          <a:off x="27838" y="991943"/>
          <a:ext cx="590864" cy="538949"/>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400050">
            <a:lnSpc>
              <a:spcPct val="90000"/>
            </a:lnSpc>
            <a:spcBef>
              <a:spcPct val="0"/>
            </a:spcBef>
            <a:spcAft>
              <a:spcPct val="35000"/>
            </a:spcAft>
            <a:buNone/>
          </a:pPr>
          <a:r>
            <a:rPr lang="en-IN" sz="900" kern="1200"/>
            <a:t>Unit-G  1577 CUM</a:t>
          </a:r>
        </a:p>
      </dsp:txBody>
      <dsp:txXfrm>
        <a:off x="43623" y="1007728"/>
        <a:ext cx="559294" cy="507379"/>
      </dsp:txXfrm>
    </dsp:sp>
    <dsp:sp modelId="{E125A3CA-FADD-4F20-B662-6F94505A6338}">
      <dsp:nvSpPr>
        <dsp:cNvPr id="0" name=""/>
        <dsp:cNvSpPr/>
      </dsp:nvSpPr>
      <dsp:spPr>
        <a:xfrm rot="13200000">
          <a:off x="503856" y="975810"/>
          <a:ext cx="979720" cy="178395"/>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729A613-ECA3-43BE-8484-CB700A3A048C}">
      <dsp:nvSpPr>
        <dsp:cNvPr id="0" name=""/>
        <dsp:cNvSpPr/>
      </dsp:nvSpPr>
      <dsp:spPr>
        <a:xfrm>
          <a:off x="323029" y="480658"/>
          <a:ext cx="590864" cy="538949"/>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400050">
            <a:lnSpc>
              <a:spcPct val="90000"/>
            </a:lnSpc>
            <a:spcBef>
              <a:spcPct val="0"/>
            </a:spcBef>
            <a:spcAft>
              <a:spcPct val="35000"/>
            </a:spcAft>
            <a:buNone/>
          </a:pPr>
          <a:r>
            <a:rPr lang="en-IN" sz="900" kern="1200"/>
            <a:t>Plot-30   172 CUM</a:t>
          </a:r>
        </a:p>
      </dsp:txBody>
      <dsp:txXfrm>
        <a:off x="338814" y="496443"/>
        <a:ext cx="559294" cy="507379"/>
      </dsp:txXfrm>
    </dsp:sp>
    <dsp:sp modelId="{E5E0D666-8A0A-4954-80EC-77D286CE323F}">
      <dsp:nvSpPr>
        <dsp:cNvPr id="0" name=""/>
        <dsp:cNvSpPr/>
      </dsp:nvSpPr>
      <dsp:spPr>
        <a:xfrm rot="14400000">
          <a:off x="816071" y="722510"/>
          <a:ext cx="1018596" cy="178395"/>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6EFDDC1-3C96-49C5-BAC0-2C0126D15D9D}">
      <dsp:nvSpPr>
        <dsp:cNvPr id="0" name=""/>
        <dsp:cNvSpPr/>
      </dsp:nvSpPr>
      <dsp:spPr>
        <a:xfrm>
          <a:off x="775287" y="101168"/>
          <a:ext cx="590864" cy="538949"/>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400050">
            <a:lnSpc>
              <a:spcPct val="90000"/>
            </a:lnSpc>
            <a:spcBef>
              <a:spcPct val="0"/>
            </a:spcBef>
            <a:spcAft>
              <a:spcPct val="35000"/>
            </a:spcAft>
            <a:buNone/>
          </a:pPr>
          <a:r>
            <a:rPr lang="en-IN" sz="900" kern="1200"/>
            <a:t>Plot-31    314 CUM</a:t>
          </a:r>
        </a:p>
      </dsp:txBody>
      <dsp:txXfrm>
        <a:off x="791072" y="116953"/>
        <a:ext cx="559294" cy="507379"/>
      </dsp:txXfrm>
    </dsp:sp>
    <dsp:sp modelId="{23A10D7B-8B75-4A9C-9EFC-FB9EBF74814A}">
      <dsp:nvSpPr>
        <dsp:cNvPr id="0" name=""/>
        <dsp:cNvSpPr/>
      </dsp:nvSpPr>
      <dsp:spPr>
        <a:xfrm rot="15600000">
          <a:off x="1195635" y="591812"/>
          <a:ext cx="1040385" cy="178395"/>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1E240375-9B7D-485B-810A-61294FA701A9}">
      <dsp:nvSpPr>
        <dsp:cNvPr id="0" name=""/>
        <dsp:cNvSpPr/>
      </dsp:nvSpPr>
      <dsp:spPr>
        <a:xfrm>
          <a:off x="1330064" y="-100754"/>
          <a:ext cx="590864" cy="538949"/>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400050">
            <a:lnSpc>
              <a:spcPct val="90000"/>
            </a:lnSpc>
            <a:spcBef>
              <a:spcPct val="0"/>
            </a:spcBef>
            <a:spcAft>
              <a:spcPct val="35000"/>
            </a:spcAft>
            <a:buNone/>
          </a:pPr>
          <a:r>
            <a:rPr lang="en-IN" sz="900" kern="1200"/>
            <a:t>Plot-32   55 CUM</a:t>
          </a:r>
        </a:p>
      </dsp:txBody>
      <dsp:txXfrm>
        <a:off x="1345849" y="-84969"/>
        <a:ext cx="559294" cy="507379"/>
      </dsp:txXfrm>
    </dsp:sp>
    <dsp:sp modelId="{0615BB54-5005-43B8-A5DB-DF63843997D0}">
      <dsp:nvSpPr>
        <dsp:cNvPr id="0" name=""/>
        <dsp:cNvSpPr/>
      </dsp:nvSpPr>
      <dsp:spPr>
        <a:xfrm rot="16800000">
          <a:off x="1605355" y="591812"/>
          <a:ext cx="1040385" cy="178395"/>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068F369B-E0D5-4161-A0F5-9249CC3B7189}">
      <dsp:nvSpPr>
        <dsp:cNvPr id="0" name=""/>
        <dsp:cNvSpPr/>
      </dsp:nvSpPr>
      <dsp:spPr>
        <a:xfrm>
          <a:off x="1920446" y="-100754"/>
          <a:ext cx="590864" cy="538949"/>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400050">
            <a:lnSpc>
              <a:spcPct val="90000"/>
            </a:lnSpc>
            <a:spcBef>
              <a:spcPct val="0"/>
            </a:spcBef>
            <a:spcAft>
              <a:spcPct val="35000"/>
            </a:spcAft>
            <a:buNone/>
          </a:pPr>
          <a:r>
            <a:rPr lang="en-IN" sz="900" kern="1200"/>
            <a:t>Plot-33  149 CUM</a:t>
          </a:r>
        </a:p>
      </dsp:txBody>
      <dsp:txXfrm>
        <a:off x="1936231" y="-84969"/>
        <a:ext cx="559294" cy="507379"/>
      </dsp:txXfrm>
    </dsp:sp>
    <dsp:sp modelId="{AE599E08-90A5-4665-BD56-1D768F16ACC9}">
      <dsp:nvSpPr>
        <dsp:cNvPr id="0" name=""/>
        <dsp:cNvSpPr/>
      </dsp:nvSpPr>
      <dsp:spPr>
        <a:xfrm rot="18000000">
          <a:off x="2006708" y="722510"/>
          <a:ext cx="1018596" cy="178395"/>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8E7B8E5D-2F85-40DB-BB94-61BE5EEB3A38}">
      <dsp:nvSpPr>
        <dsp:cNvPr id="0" name=""/>
        <dsp:cNvSpPr/>
      </dsp:nvSpPr>
      <dsp:spPr>
        <a:xfrm>
          <a:off x="2475223" y="101168"/>
          <a:ext cx="590864" cy="538949"/>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400050">
            <a:lnSpc>
              <a:spcPct val="90000"/>
            </a:lnSpc>
            <a:spcBef>
              <a:spcPct val="0"/>
            </a:spcBef>
            <a:spcAft>
              <a:spcPct val="35000"/>
            </a:spcAft>
            <a:buNone/>
          </a:pPr>
          <a:r>
            <a:rPr lang="en-IN" sz="900" kern="1200"/>
            <a:t>Plot-34   168 CUM</a:t>
          </a:r>
        </a:p>
      </dsp:txBody>
      <dsp:txXfrm>
        <a:off x="2491008" y="116953"/>
        <a:ext cx="559294" cy="507379"/>
      </dsp:txXfrm>
    </dsp:sp>
    <dsp:sp modelId="{DCAE1F11-0BBB-4360-B226-024DB1436D8E}">
      <dsp:nvSpPr>
        <dsp:cNvPr id="0" name=""/>
        <dsp:cNvSpPr/>
      </dsp:nvSpPr>
      <dsp:spPr>
        <a:xfrm rot="19200000">
          <a:off x="2357799" y="975810"/>
          <a:ext cx="979720" cy="178395"/>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733BB7BF-F314-4E6B-8258-23054CAB6DEE}">
      <dsp:nvSpPr>
        <dsp:cNvPr id="0" name=""/>
        <dsp:cNvSpPr/>
      </dsp:nvSpPr>
      <dsp:spPr>
        <a:xfrm>
          <a:off x="2927481" y="480658"/>
          <a:ext cx="590864" cy="538949"/>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400050">
            <a:lnSpc>
              <a:spcPct val="90000"/>
            </a:lnSpc>
            <a:spcBef>
              <a:spcPct val="0"/>
            </a:spcBef>
            <a:spcAft>
              <a:spcPct val="35000"/>
            </a:spcAft>
            <a:buNone/>
          </a:pPr>
          <a:r>
            <a:rPr lang="en-IN" sz="900" kern="1200"/>
            <a:t>Plot-60  310 CUM</a:t>
          </a:r>
        </a:p>
      </dsp:txBody>
      <dsp:txXfrm>
        <a:off x="2943266" y="496443"/>
        <a:ext cx="559294" cy="507379"/>
      </dsp:txXfrm>
    </dsp:sp>
    <dsp:sp modelId="{97E2ED3C-7867-4CE8-8F53-030ECFAD189F}">
      <dsp:nvSpPr>
        <dsp:cNvPr id="0" name=""/>
        <dsp:cNvSpPr/>
      </dsp:nvSpPr>
      <dsp:spPr>
        <a:xfrm rot="20400000">
          <a:off x="2608105" y="1332677"/>
          <a:ext cx="938292" cy="178395"/>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39149562-4EE7-4D4E-B3EF-B94A437B56C4}">
      <dsp:nvSpPr>
        <dsp:cNvPr id="0" name=""/>
        <dsp:cNvSpPr/>
      </dsp:nvSpPr>
      <dsp:spPr>
        <a:xfrm>
          <a:off x="3222672" y="991943"/>
          <a:ext cx="590864" cy="538949"/>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400050">
            <a:lnSpc>
              <a:spcPct val="90000"/>
            </a:lnSpc>
            <a:spcBef>
              <a:spcPct val="0"/>
            </a:spcBef>
            <a:spcAft>
              <a:spcPct val="35000"/>
            </a:spcAft>
            <a:buNone/>
          </a:pPr>
          <a:r>
            <a:rPr lang="en-IN" sz="900" kern="1200"/>
            <a:t>Plot-61  770 CUM</a:t>
          </a:r>
        </a:p>
      </dsp:txBody>
      <dsp:txXfrm>
        <a:off x="3238457" y="1007728"/>
        <a:ext cx="559294" cy="507379"/>
      </dsp:txXfrm>
    </dsp:sp>
    <dsp:sp modelId="{93BBDF70-D9BD-4A0A-84C9-5AC62E9056C9}">
      <dsp:nvSpPr>
        <dsp:cNvPr id="0" name=""/>
        <dsp:cNvSpPr/>
      </dsp:nvSpPr>
      <dsp:spPr>
        <a:xfrm>
          <a:off x="2701113" y="1753632"/>
          <a:ext cx="919510" cy="178395"/>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2FDE60FA-BD0F-47A1-93AE-689B8D834EED}">
      <dsp:nvSpPr>
        <dsp:cNvPr id="0" name=""/>
        <dsp:cNvSpPr/>
      </dsp:nvSpPr>
      <dsp:spPr>
        <a:xfrm>
          <a:off x="3325191" y="1573355"/>
          <a:ext cx="590864" cy="538949"/>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400050">
            <a:lnSpc>
              <a:spcPct val="90000"/>
            </a:lnSpc>
            <a:spcBef>
              <a:spcPct val="0"/>
            </a:spcBef>
            <a:spcAft>
              <a:spcPct val="35000"/>
            </a:spcAft>
            <a:buNone/>
          </a:pPr>
          <a:r>
            <a:rPr lang="en-IN" sz="900" kern="1200"/>
            <a:t>Total Cutting = 4067</a:t>
          </a:r>
        </a:p>
      </dsp:txBody>
      <dsp:txXfrm>
        <a:off x="3340976" y="1589140"/>
        <a:ext cx="559294" cy="507379"/>
      </dsp:txXfrm>
    </dsp:sp>
  </dsp:spTree>
</dsp:drawing>
</file>

<file path=xl/diagrams/drawing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FB080E2-C4A5-4C7B-BD55-C4CCE395D8C3}">
      <dsp:nvSpPr>
        <dsp:cNvPr id="0" name=""/>
        <dsp:cNvSpPr/>
      </dsp:nvSpPr>
      <dsp:spPr>
        <a:xfrm>
          <a:off x="1693704" y="1486277"/>
          <a:ext cx="1280961" cy="935128"/>
        </a:xfrm>
        <a:prstGeom prst="ellipse">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lang="en-IN" sz="1100" kern="1200"/>
            <a:t>26, 35, 40, 42, 46 Plot Filling Total = 920 CUM</a:t>
          </a:r>
        </a:p>
      </dsp:txBody>
      <dsp:txXfrm>
        <a:off x="1881296" y="1623223"/>
        <a:ext cx="905777" cy="661236"/>
      </dsp:txXfrm>
    </dsp:sp>
    <dsp:sp modelId="{7DBD7795-2350-4BC7-B18C-969FA56B61B0}">
      <dsp:nvSpPr>
        <dsp:cNvPr id="0" name=""/>
        <dsp:cNvSpPr/>
      </dsp:nvSpPr>
      <dsp:spPr>
        <a:xfrm rot="11700000">
          <a:off x="805687" y="1490348"/>
          <a:ext cx="892279" cy="346952"/>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6C68B4ED-72EB-41EE-9D83-7B2B4D02203D}">
      <dsp:nvSpPr>
        <dsp:cNvPr id="0" name=""/>
        <dsp:cNvSpPr/>
      </dsp:nvSpPr>
      <dsp:spPr>
        <a:xfrm>
          <a:off x="242634" y="1085751"/>
          <a:ext cx="1156509" cy="925207"/>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4290" tIns="34290" rIns="34290" bIns="34290" numCol="1" spcCol="1270" anchor="ctr" anchorCtr="0">
          <a:noAutofit/>
        </a:bodyPr>
        <a:lstStyle/>
        <a:p>
          <a:pPr marL="0" lvl="0" indent="0" algn="ctr" defTabSz="800100">
            <a:lnSpc>
              <a:spcPct val="90000"/>
            </a:lnSpc>
            <a:spcBef>
              <a:spcPct val="0"/>
            </a:spcBef>
            <a:spcAft>
              <a:spcPct val="35000"/>
            </a:spcAft>
            <a:buNone/>
          </a:pPr>
          <a:r>
            <a:rPr lang="en-IN" sz="1800" kern="1200"/>
            <a:t>Plot-27     1 CUM</a:t>
          </a:r>
        </a:p>
      </dsp:txBody>
      <dsp:txXfrm>
        <a:off x="269732" y="1112849"/>
        <a:ext cx="1102313" cy="871011"/>
      </dsp:txXfrm>
    </dsp:sp>
    <dsp:sp modelId="{E58415AC-EBF0-4A8D-94F6-40AF0CA106DF}">
      <dsp:nvSpPr>
        <dsp:cNvPr id="0" name=""/>
        <dsp:cNvSpPr/>
      </dsp:nvSpPr>
      <dsp:spPr>
        <a:xfrm rot="14700000">
          <a:off x="1377903" y="822233"/>
          <a:ext cx="1018994" cy="346952"/>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869D0EF-3867-4050-B4ED-65701607F968}">
      <dsp:nvSpPr>
        <dsp:cNvPr id="0" name=""/>
        <dsp:cNvSpPr/>
      </dsp:nvSpPr>
      <dsp:spPr>
        <a:xfrm>
          <a:off x="1093823" y="71344"/>
          <a:ext cx="1156509" cy="925207"/>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4290" tIns="34290" rIns="34290" bIns="34290" numCol="1" spcCol="1270" anchor="ctr" anchorCtr="0">
          <a:noAutofit/>
        </a:bodyPr>
        <a:lstStyle/>
        <a:p>
          <a:pPr marL="0" lvl="0" indent="0" algn="ctr" defTabSz="800100">
            <a:lnSpc>
              <a:spcPct val="90000"/>
            </a:lnSpc>
            <a:spcBef>
              <a:spcPct val="0"/>
            </a:spcBef>
            <a:spcAft>
              <a:spcPct val="35000"/>
            </a:spcAft>
            <a:buNone/>
          </a:pPr>
          <a:r>
            <a:rPr lang="en-IN" sz="1800" kern="1200"/>
            <a:t>All Road Excavation</a:t>
          </a:r>
        </a:p>
      </dsp:txBody>
      <dsp:txXfrm>
        <a:off x="1120921" y="98442"/>
        <a:ext cx="1102313" cy="871011"/>
      </dsp:txXfrm>
    </dsp:sp>
    <dsp:sp modelId="{E5E0D666-8A0A-4954-80EC-77D286CE323F}">
      <dsp:nvSpPr>
        <dsp:cNvPr id="0" name=""/>
        <dsp:cNvSpPr/>
      </dsp:nvSpPr>
      <dsp:spPr>
        <a:xfrm rot="17700000">
          <a:off x="2271472" y="822233"/>
          <a:ext cx="1018994" cy="346952"/>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D6EFDDC1-3C96-49C5-BAC0-2C0126D15D9D}">
      <dsp:nvSpPr>
        <dsp:cNvPr id="0" name=""/>
        <dsp:cNvSpPr/>
      </dsp:nvSpPr>
      <dsp:spPr>
        <a:xfrm>
          <a:off x="2418038" y="71344"/>
          <a:ext cx="1156509" cy="925207"/>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4290" tIns="34290" rIns="34290" bIns="34290" numCol="1" spcCol="1270" anchor="ctr" anchorCtr="0">
          <a:noAutofit/>
        </a:bodyPr>
        <a:lstStyle/>
        <a:p>
          <a:pPr marL="0" lvl="0" indent="0" algn="ctr" defTabSz="800100">
            <a:lnSpc>
              <a:spcPct val="90000"/>
            </a:lnSpc>
            <a:spcBef>
              <a:spcPct val="0"/>
            </a:spcBef>
            <a:spcAft>
              <a:spcPct val="35000"/>
            </a:spcAft>
            <a:buNone/>
          </a:pPr>
          <a:r>
            <a:rPr lang="en-IN" sz="1800" kern="1200"/>
            <a:t>All Pond Excavation</a:t>
          </a:r>
        </a:p>
      </dsp:txBody>
      <dsp:txXfrm>
        <a:off x="2445136" y="98442"/>
        <a:ext cx="1102313" cy="871011"/>
      </dsp:txXfrm>
    </dsp:sp>
    <dsp:sp modelId="{93BBDF70-D9BD-4A0A-84C9-5AC62E9056C9}">
      <dsp:nvSpPr>
        <dsp:cNvPr id="0" name=""/>
        <dsp:cNvSpPr/>
      </dsp:nvSpPr>
      <dsp:spPr>
        <a:xfrm rot="20700000">
          <a:off x="2970404" y="1490348"/>
          <a:ext cx="892279" cy="346952"/>
        </a:xfrm>
        <a:prstGeom prst="lef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2FDE60FA-BD0F-47A1-93AE-689B8D834EED}">
      <dsp:nvSpPr>
        <dsp:cNvPr id="0" name=""/>
        <dsp:cNvSpPr/>
      </dsp:nvSpPr>
      <dsp:spPr>
        <a:xfrm>
          <a:off x="3269227" y="1085751"/>
          <a:ext cx="1156509" cy="925207"/>
        </a:xfrm>
        <a:prstGeom prst="roundRect">
          <a:avLst>
            <a:gd name="adj" fmla="val 10000"/>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4290" tIns="34290" rIns="34290" bIns="34290" numCol="1" spcCol="1270" anchor="ctr" anchorCtr="0">
          <a:noAutofit/>
        </a:bodyPr>
        <a:lstStyle/>
        <a:p>
          <a:pPr marL="0" lvl="0" indent="0" algn="ctr" defTabSz="800100">
            <a:lnSpc>
              <a:spcPct val="90000"/>
            </a:lnSpc>
            <a:spcBef>
              <a:spcPct val="0"/>
            </a:spcBef>
            <a:spcAft>
              <a:spcPct val="35000"/>
            </a:spcAft>
            <a:buNone/>
          </a:pPr>
          <a:r>
            <a:rPr lang="en-IN" sz="1800" kern="1200"/>
            <a:t>Total Cutting = ***</a:t>
          </a:r>
        </a:p>
      </dsp:txBody>
      <dsp:txXfrm>
        <a:off x="3296325" y="1112849"/>
        <a:ext cx="1102313" cy="871011"/>
      </dsp:txXfrm>
    </dsp:sp>
  </dsp:spTree>
</dsp:drawing>
</file>

<file path=xl/diagrams/layout1.xml><?xml version="1.0" encoding="utf-8"?>
<dgm:layoutDef xmlns:dgm="http://schemas.openxmlformats.org/drawingml/2006/diagram" xmlns:a="http://schemas.openxmlformats.org/drawingml/2006/main" uniqueId="urn:microsoft.com/office/officeart/2005/8/layout/radial4">
  <dgm:title val=""/>
  <dgm:desc val=""/>
  <dgm:catLst>
    <dgm:cat type="relationship" pri="190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t modelId="11"/>
        <dgm:pt modelId="12"/>
      </dgm:ptLst>
      <dgm:cxnLst>
        <dgm:cxn modelId="2" srcId="0" destId="1" srcOrd="0" destOrd="0"/>
        <dgm:cxn modelId="15" srcId="1" destId="11" srcOrd="0" destOrd="0"/>
        <dgm:cxn modelId="16" srcId="1" destId="12" srcOrd="1"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0"/>
              <dgm:param type="spanAng" val="360"/>
              <dgm:param type="ctrShpMap" val="fNode"/>
            </dgm:alg>
          </dgm:if>
          <dgm:else name="Name4">
            <dgm:choose name="Name5">
              <dgm:if name="Name6" axis="ch ch" ptType="node node" st="1 1" cnt="1 0" func="cnt" op="lte" val="3">
                <dgm:alg type="cycle">
                  <dgm:param type="stAng" val="-55"/>
                  <dgm:param type="spanAng" val="110"/>
                  <dgm:param type="ctrShpMap" val="fNode"/>
                </dgm:alg>
              </dgm:if>
              <dgm:else name="Name7">
                <dgm:choose name="Name8">
                  <dgm:if name="Name9" axis="ch ch" ptType="node node" st="1 1" cnt="1 0" func="cnt" op="equ" val="4">
                    <dgm:alg type="cycle">
                      <dgm:param type="stAng" val="-75"/>
                      <dgm:param type="spanAng" val="150"/>
                      <dgm:param type="ctrShpMap" val="fNode"/>
                    </dgm:alg>
                  </dgm:if>
                  <dgm:else name="Name10">
                    <dgm:alg type="cycle">
                      <dgm:param type="stAng" val="-90"/>
                      <dgm:param type="spanAng" val="180"/>
                      <dgm:param type="ctrShpMap" val="fNode"/>
                    </dgm:alg>
                  </dgm:else>
                </dgm:choose>
              </dgm:else>
            </dgm:choose>
          </dgm:else>
        </dgm:choose>
      </dgm:if>
      <dgm:else name="Name11">
        <dgm:choose name="Name12">
          <dgm:if name="Name13" axis="ch ch" ptType="node node" st="1 1" cnt="1 0" func="cnt" op="lte" val="1">
            <dgm:alg type="cycle">
              <dgm:param type="stAng" val="0"/>
              <dgm:param type="spanAng" val="-360"/>
              <dgm:param type="ctrShpMap" val="fNode"/>
            </dgm:alg>
          </dgm:if>
          <dgm:else name="Name14">
            <dgm:choose name="Name15">
              <dgm:if name="Name16" axis="ch ch" ptType="node node" st="1 1" cnt="1 0" func="cnt" op="lte" val="3">
                <dgm:alg type="cycle">
                  <dgm:param type="stAng" val="55"/>
                  <dgm:param type="spanAng" val="-110"/>
                  <dgm:param type="ctrShpMap" val="fNode"/>
                </dgm:alg>
              </dgm:if>
              <dgm:else name="Name17">
                <dgm:choose name="Name18">
                  <dgm:if name="Name19" axis="ch ch" ptType="node node" st="1 1" cnt="1 0" func="cnt" op="equ" val="4">
                    <dgm:alg type="cycle">
                      <dgm:param type="stAng" val="75"/>
                      <dgm:param type="spanAng" val="-150"/>
                      <dgm:param type="ctrShpMap" val="fNode"/>
                    </dgm:alg>
                  </dgm:if>
                  <dgm:else name="Name20">
                    <dgm:alg type="cycle">
                      <dgm:param type="stAng" val="90"/>
                      <dgm:param type="spanAng" val="-180"/>
                      <dgm:param type="ctrShpMap" val="fNode"/>
                    </dgm:alg>
                  </dgm:else>
                </dgm:choose>
              </dgm:else>
            </dgm:choose>
          </dgm:else>
        </dgm:choose>
      </dgm:else>
    </dgm:choose>
    <dgm:shape xmlns:r="http://schemas.openxmlformats.org/officeDocument/2006/relationships" r:blip="">
      <dgm:adjLst/>
    </dgm:shape>
    <dgm:presOf/>
    <dgm:constrLst>
      <dgm:constr type="w" for="ch" forName="centerShape" refType="w"/>
      <dgm:constr type="w" for="ch" forName="node" refType="w" refFor="ch" refForName="centerShape" fact="0.95"/>
      <dgm:constr type="h" for="ch" forName="parTrans" refType="w" refFor="ch" refForName="centerShape" fact="0.285"/>
      <dgm:constr type="sp" refType="w" refFor="ch" refForName="centerShape" op="equ" fact="0.23"/>
      <dgm:constr type="sibSp" refType="w" refFor="ch" refForName="node" fact="0.1"/>
      <dgm:constr type="primFontSz" for="ch" forName="node" op="equ"/>
    </dgm:constrLst>
    <dgm:choose name="Name21">
      <dgm:if name="Name22" axis="ch ch" ptType="node node" st="1 1" cnt="1 0" func="cnt" op="lte" val="5">
        <dgm:ruleLst>
          <dgm:rule type="w" for="ch" forName="centerShape" val="NaN" fact="0.27" max="NaN"/>
        </dgm:ruleLst>
      </dgm:if>
      <dgm:else name="Name23">
        <dgm:ruleLst>
          <dgm:rule type="w" for="ch" forName="centerShape" val="NaN" fact="0.27" max="NaN"/>
          <dgm:rule type="w" for="ch" forName="node" val="NaN" fact="0.7" max="NaN"/>
        </dgm:ruleLst>
      </dgm:else>
    </dgm:choose>
    <dgm:forEach name="Name24" axis="ch" ptType="node" cnt="1">
      <dgm:layoutNode name="centerShape" styleLbl="node0">
        <dgm:alg type="tx"/>
        <dgm:shape xmlns:r="http://schemas.openxmlformats.org/officeDocument/2006/relationships" type="ellipse" r:blip="">
          <dgm:adjLst/>
        </dgm:shape>
        <dgm:presOf axis="self"/>
        <dgm:constrLst>
          <dgm:constr type="tMarg" refType="primFontSz" fact="0.05"/>
          <dgm:constr type="bMarg" refType="primFontSz" fact="0.05"/>
          <dgm:constr type="lMarg" refType="primFontSz" fact="0.05"/>
          <dgm:constr type="rMarg" refType="primFontSz" fact="0.05"/>
          <dgm:constr type="primFontSz" val="65"/>
          <dgm:constr type="h" refType="w"/>
        </dgm:constrLst>
        <dgm:ruleLst>
          <dgm:rule type="primFontSz" val="5" fact="NaN" max="NaN"/>
        </dgm:ruleLst>
      </dgm:layoutNode>
      <dgm:forEach name="Name25" axis="ch">
        <dgm:forEach name="Name26" axis="self" ptType="parTrans">
          <dgm:layoutNode name="parTrans" styleLbl="bgSibTrans2D1">
            <dgm:alg type="conn">
              <dgm:param type="begPts" val="auto"/>
              <dgm:param type="endPts" val="ctr"/>
              <dgm:param type="endSty" val="noArr"/>
              <dgm:param type="begSty" val="arr"/>
            </dgm:alg>
            <dgm:shape xmlns:r="http://schemas.openxmlformats.org/officeDocument/2006/relationships" type="conn" r:blip="">
              <dgm:adjLst/>
            </dgm:shape>
            <dgm:presOf axis="self"/>
            <dgm:constrLst>
              <dgm:constr type="begPad" refType="connDist" fact="0.055"/>
              <dgm:constr type="endPad"/>
            </dgm:constrLst>
            <dgm:ruleLst/>
          </dgm:layoutNode>
        </dgm:forEach>
        <dgm:forEach name="Name27" axis="self" ptType="node">
          <dgm:layoutNode name="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h" refType="w" fact="0.8"/>
              <dgm:constr type="tMarg" refType="primFontSz" fact="0.15"/>
              <dgm:constr type="bMarg" refType="primFontSz" fact="0.15"/>
              <dgm:constr type="lMarg" refType="primFontSz" fact="0.15"/>
              <dgm:constr type="rMarg" refType="primFontSz" fact="0.15"/>
            </dgm:constrLst>
            <dgm:ruleLst>
              <dgm:rule type="primFontSz" val="5" fact="NaN" max="NaN"/>
            </dgm:ruleLst>
          </dgm:layoutNode>
        </dgm:forEach>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radial4">
  <dgm:title val=""/>
  <dgm:desc val=""/>
  <dgm:catLst>
    <dgm:cat type="relationship" pri="190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t modelId="11"/>
        <dgm:pt modelId="12"/>
      </dgm:ptLst>
      <dgm:cxnLst>
        <dgm:cxn modelId="2" srcId="0" destId="1" srcOrd="0" destOrd="0"/>
        <dgm:cxn modelId="15" srcId="1" destId="11" srcOrd="0" destOrd="0"/>
        <dgm:cxn modelId="16" srcId="1" destId="12" srcOrd="1"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0"/>
              <dgm:param type="spanAng" val="360"/>
              <dgm:param type="ctrShpMap" val="fNode"/>
            </dgm:alg>
          </dgm:if>
          <dgm:else name="Name4">
            <dgm:choose name="Name5">
              <dgm:if name="Name6" axis="ch ch" ptType="node node" st="1 1" cnt="1 0" func="cnt" op="lte" val="3">
                <dgm:alg type="cycle">
                  <dgm:param type="stAng" val="-55"/>
                  <dgm:param type="spanAng" val="110"/>
                  <dgm:param type="ctrShpMap" val="fNode"/>
                </dgm:alg>
              </dgm:if>
              <dgm:else name="Name7">
                <dgm:choose name="Name8">
                  <dgm:if name="Name9" axis="ch ch" ptType="node node" st="1 1" cnt="1 0" func="cnt" op="equ" val="4">
                    <dgm:alg type="cycle">
                      <dgm:param type="stAng" val="-75"/>
                      <dgm:param type="spanAng" val="150"/>
                      <dgm:param type="ctrShpMap" val="fNode"/>
                    </dgm:alg>
                  </dgm:if>
                  <dgm:else name="Name10">
                    <dgm:alg type="cycle">
                      <dgm:param type="stAng" val="-90"/>
                      <dgm:param type="spanAng" val="180"/>
                      <dgm:param type="ctrShpMap" val="fNode"/>
                    </dgm:alg>
                  </dgm:else>
                </dgm:choose>
              </dgm:else>
            </dgm:choose>
          </dgm:else>
        </dgm:choose>
      </dgm:if>
      <dgm:else name="Name11">
        <dgm:choose name="Name12">
          <dgm:if name="Name13" axis="ch ch" ptType="node node" st="1 1" cnt="1 0" func="cnt" op="lte" val="1">
            <dgm:alg type="cycle">
              <dgm:param type="stAng" val="0"/>
              <dgm:param type="spanAng" val="-360"/>
              <dgm:param type="ctrShpMap" val="fNode"/>
            </dgm:alg>
          </dgm:if>
          <dgm:else name="Name14">
            <dgm:choose name="Name15">
              <dgm:if name="Name16" axis="ch ch" ptType="node node" st="1 1" cnt="1 0" func="cnt" op="lte" val="3">
                <dgm:alg type="cycle">
                  <dgm:param type="stAng" val="55"/>
                  <dgm:param type="spanAng" val="-110"/>
                  <dgm:param type="ctrShpMap" val="fNode"/>
                </dgm:alg>
              </dgm:if>
              <dgm:else name="Name17">
                <dgm:choose name="Name18">
                  <dgm:if name="Name19" axis="ch ch" ptType="node node" st="1 1" cnt="1 0" func="cnt" op="equ" val="4">
                    <dgm:alg type="cycle">
                      <dgm:param type="stAng" val="75"/>
                      <dgm:param type="spanAng" val="-150"/>
                      <dgm:param type="ctrShpMap" val="fNode"/>
                    </dgm:alg>
                  </dgm:if>
                  <dgm:else name="Name20">
                    <dgm:alg type="cycle">
                      <dgm:param type="stAng" val="90"/>
                      <dgm:param type="spanAng" val="-180"/>
                      <dgm:param type="ctrShpMap" val="fNode"/>
                    </dgm:alg>
                  </dgm:else>
                </dgm:choose>
              </dgm:else>
            </dgm:choose>
          </dgm:else>
        </dgm:choose>
      </dgm:else>
    </dgm:choose>
    <dgm:shape xmlns:r="http://schemas.openxmlformats.org/officeDocument/2006/relationships" r:blip="">
      <dgm:adjLst/>
    </dgm:shape>
    <dgm:presOf/>
    <dgm:constrLst>
      <dgm:constr type="w" for="ch" forName="centerShape" refType="w"/>
      <dgm:constr type="w" for="ch" forName="node" refType="w" refFor="ch" refForName="centerShape" fact="0.95"/>
      <dgm:constr type="h" for="ch" forName="parTrans" refType="w" refFor="ch" refForName="centerShape" fact="0.285"/>
      <dgm:constr type="sp" refType="w" refFor="ch" refForName="centerShape" op="equ" fact="0.23"/>
      <dgm:constr type="sibSp" refType="w" refFor="ch" refForName="node" fact="0.1"/>
      <dgm:constr type="primFontSz" for="ch" forName="node" op="equ"/>
    </dgm:constrLst>
    <dgm:choose name="Name21">
      <dgm:if name="Name22" axis="ch ch" ptType="node node" st="1 1" cnt="1 0" func="cnt" op="lte" val="5">
        <dgm:ruleLst>
          <dgm:rule type="w" for="ch" forName="centerShape" val="NaN" fact="0.27" max="NaN"/>
        </dgm:ruleLst>
      </dgm:if>
      <dgm:else name="Name23">
        <dgm:ruleLst>
          <dgm:rule type="w" for="ch" forName="centerShape" val="NaN" fact="0.27" max="NaN"/>
          <dgm:rule type="w" for="ch" forName="node" val="NaN" fact="0.7" max="NaN"/>
        </dgm:ruleLst>
      </dgm:else>
    </dgm:choose>
    <dgm:forEach name="Name24" axis="ch" ptType="node" cnt="1">
      <dgm:layoutNode name="centerShape" styleLbl="node0">
        <dgm:alg type="tx"/>
        <dgm:shape xmlns:r="http://schemas.openxmlformats.org/officeDocument/2006/relationships" type="ellipse" r:blip="">
          <dgm:adjLst/>
        </dgm:shape>
        <dgm:presOf axis="self"/>
        <dgm:constrLst>
          <dgm:constr type="tMarg" refType="primFontSz" fact="0.05"/>
          <dgm:constr type="bMarg" refType="primFontSz" fact="0.05"/>
          <dgm:constr type="lMarg" refType="primFontSz" fact="0.05"/>
          <dgm:constr type="rMarg" refType="primFontSz" fact="0.05"/>
          <dgm:constr type="primFontSz" val="65"/>
          <dgm:constr type="h" refType="w"/>
        </dgm:constrLst>
        <dgm:ruleLst>
          <dgm:rule type="primFontSz" val="5" fact="NaN" max="NaN"/>
        </dgm:ruleLst>
      </dgm:layoutNode>
      <dgm:forEach name="Name25" axis="ch">
        <dgm:forEach name="Name26" axis="self" ptType="parTrans">
          <dgm:layoutNode name="parTrans" styleLbl="bgSibTrans2D1">
            <dgm:alg type="conn">
              <dgm:param type="begPts" val="auto"/>
              <dgm:param type="endPts" val="ctr"/>
              <dgm:param type="endSty" val="noArr"/>
              <dgm:param type="begSty" val="arr"/>
            </dgm:alg>
            <dgm:shape xmlns:r="http://schemas.openxmlformats.org/officeDocument/2006/relationships" type="conn" r:blip="">
              <dgm:adjLst/>
            </dgm:shape>
            <dgm:presOf axis="self"/>
            <dgm:constrLst>
              <dgm:constr type="begPad" refType="connDist" fact="0.055"/>
              <dgm:constr type="endPad"/>
            </dgm:constrLst>
            <dgm:ruleLst/>
          </dgm:layoutNode>
        </dgm:forEach>
        <dgm:forEach name="Name27" axis="self" ptType="node">
          <dgm:layoutNode name="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h" refType="w" fact="0.8"/>
              <dgm:constr type="tMarg" refType="primFontSz" fact="0.15"/>
              <dgm:constr type="bMarg" refType="primFontSz" fact="0.15"/>
              <dgm:constr type="lMarg" refType="primFontSz" fact="0.15"/>
              <dgm:constr type="rMarg" refType="primFontSz" fact="0.15"/>
            </dgm:constrLst>
            <dgm:ruleLst>
              <dgm:rule type="primFontSz" val="5" fact="NaN" max="NaN"/>
            </dgm:ruleLst>
          </dgm:layoutNode>
        </dgm:forEach>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radial4">
  <dgm:title val=""/>
  <dgm:desc val=""/>
  <dgm:catLst>
    <dgm:cat type="relationship" pri="190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t modelId="11"/>
        <dgm:pt modelId="12"/>
      </dgm:ptLst>
      <dgm:cxnLst>
        <dgm:cxn modelId="2" srcId="0" destId="1" srcOrd="0" destOrd="0"/>
        <dgm:cxn modelId="15" srcId="1" destId="11" srcOrd="0" destOrd="0"/>
        <dgm:cxn modelId="16" srcId="1" destId="12" srcOrd="1"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0"/>
              <dgm:param type="spanAng" val="360"/>
              <dgm:param type="ctrShpMap" val="fNode"/>
            </dgm:alg>
          </dgm:if>
          <dgm:else name="Name4">
            <dgm:choose name="Name5">
              <dgm:if name="Name6" axis="ch ch" ptType="node node" st="1 1" cnt="1 0" func="cnt" op="lte" val="3">
                <dgm:alg type="cycle">
                  <dgm:param type="stAng" val="-55"/>
                  <dgm:param type="spanAng" val="110"/>
                  <dgm:param type="ctrShpMap" val="fNode"/>
                </dgm:alg>
              </dgm:if>
              <dgm:else name="Name7">
                <dgm:choose name="Name8">
                  <dgm:if name="Name9" axis="ch ch" ptType="node node" st="1 1" cnt="1 0" func="cnt" op="equ" val="4">
                    <dgm:alg type="cycle">
                      <dgm:param type="stAng" val="-75"/>
                      <dgm:param type="spanAng" val="150"/>
                      <dgm:param type="ctrShpMap" val="fNode"/>
                    </dgm:alg>
                  </dgm:if>
                  <dgm:else name="Name10">
                    <dgm:alg type="cycle">
                      <dgm:param type="stAng" val="-90"/>
                      <dgm:param type="spanAng" val="180"/>
                      <dgm:param type="ctrShpMap" val="fNode"/>
                    </dgm:alg>
                  </dgm:else>
                </dgm:choose>
              </dgm:else>
            </dgm:choose>
          </dgm:else>
        </dgm:choose>
      </dgm:if>
      <dgm:else name="Name11">
        <dgm:choose name="Name12">
          <dgm:if name="Name13" axis="ch ch" ptType="node node" st="1 1" cnt="1 0" func="cnt" op="lte" val="1">
            <dgm:alg type="cycle">
              <dgm:param type="stAng" val="0"/>
              <dgm:param type="spanAng" val="-360"/>
              <dgm:param type="ctrShpMap" val="fNode"/>
            </dgm:alg>
          </dgm:if>
          <dgm:else name="Name14">
            <dgm:choose name="Name15">
              <dgm:if name="Name16" axis="ch ch" ptType="node node" st="1 1" cnt="1 0" func="cnt" op="lte" val="3">
                <dgm:alg type="cycle">
                  <dgm:param type="stAng" val="55"/>
                  <dgm:param type="spanAng" val="-110"/>
                  <dgm:param type="ctrShpMap" val="fNode"/>
                </dgm:alg>
              </dgm:if>
              <dgm:else name="Name17">
                <dgm:choose name="Name18">
                  <dgm:if name="Name19" axis="ch ch" ptType="node node" st="1 1" cnt="1 0" func="cnt" op="equ" val="4">
                    <dgm:alg type="cycle">
                      <dgm:param type="stAng" val="75"/>
                      <dgm:param type="spanAng" val="-150"/>
                      <dgm:param type="ctrShpMap" val="fNode"/>
                    </dgm:alg>
                  </dgm:if>
                  <dgm:else name="Name20">
                    <dgm:alg type="cycle">
                      <dgm:param type="stAng" val="90"/>
                      <dgm:param type="spanAng" val="-180"/>
                      <dgm:param type="ctrShpMap" val="fNode"/>
                    </dgm:alg>
                  </dgm:else>
                </dgm:choose>
              </dgm:else>
            </dgm:choose>
          </dgm:else>
        </dgm:choose>
      </dgm:else>
    </dgm:choose>
    <dgm:shape xmlns:r="http://schemas.openxmlformats.org/officeDocument/2006/relationships" r:blip="">
      <dgm:adjLst/>
    </dgm:shape>
    <dgm:presOf/>
    <dgm:constrLst>
      <dgm:constr type="w" for="ch" forName="centerShape" refType="w"/>
      <dgm:constr type="w" for="ch" forName="node" refType="w" refFor="ch" refForName="centerShape" fact="0.95"/>
      <dgm:constr type="h" for="ch" forName="parTrans" refType="w" refFor="ch" refForName="centerShape" fact="0.285"/>
      <dgm:constr type="sp" refType="w" refFor="ch" refForName="centerShape" op="equ" fact="0.23"/>
      <dgm:constr type="sibSp" refType="w" refFor="ch" refForName="node" fact="0.1"/>
      <dgm:constr type="primFontSz" for="ch" forName="node" op="equ"/>
    </dgm:constrLst>
    <dgm:choose name="Name21">
      <dgm:if name="Name22" axis="ch ch" ptType="node node" st="1 1" cnt="1 0" func="cnt" op="lte" val="5">
        <dgm:ruleLst>
          <dgm:rule type="w" for="ch" forName="centerShape" val="NaN" fact="0.27" max="NaN"/>
        </dgm:ruleLst>
      </dgm:if>
      <dgm:else name="Name23">
        <dgm:ruleLst>
          <dgm:rule type="w" for="ch" forName="centerShape" val="NaN" fact="0.27" max="NaN"/>
          <dgm:rule type="w" for="ch" forName="node" val="NaN" fact="0.7" max="NaN"/>
        </dgm:ruleLst>
      </dgm:else>
    </dgm:choose>
    <dgm:forEach name="Name24" axis="ch" ptType="node" cnt="1">
      <dgm:layoutNode name="centerShape" styleLbl="node0">
        <dgm:alg type="tx"/>
        <dgm:shape xmlns:r="http://schemas.openxmlformats.org/officeDocument/2006/relationships" type="ellipse" r:blip="">
          <dgm:adjLst/>
        </dgm:shape>
        <dgm:presOf axis="self"/>
        <dgm:constrLst>
          <dgm:constr type="tMarg" refType="primFontSz" fact="0.05"/>
          <dgm:constr type="bMarg" refType="primFontSz" fact="0.05"/>
          <dgm:constr type="lMarg" refType="primFontSz" fact="0.05"/>
          <dgm:constr type="rMarg" refType="primFontSz" fact="0.05"/>
          <dgm:constr type="primFontSz" val="65"/>
          <dgm:constr type="h" refType="w"/>
        </dgm:constrLst>
        <dgm:ruleLst>
          <dgm:rule type="primFontSz" val="5" fact="NaN" max="NaN"/>
        </dgm:ruleLst>
      </dgm:layoutNode>
      <dgm:forEach name="Name25" axis="ch">
        <dgm:forEach name="Name26" axis="self" ptType="parTrans">
          <dgm:layoutNode name="parTrans" styleLbl="bgSibTrans2D1">
            <dgm:alg type="conn">
              <dgm:param type="begPts" val="auto"/>
              <dgm:param type="endPts" val="ctr"/>
              <dgm:param type="endSty" val="noArr"/>
              <dgm:param type="begSty" val="arr"/>
            </dgm:alg>
            <dgm:shape xmlns:r="http://schemas.openxmlformats.org/officeDocument/2006/relationships" type="conn" r:blip="">
              <dgm:adjLst/>
            </dgm:shape>
            <dgm:presOf axis="self"/>
            <dgm:constrLst>
              <dgm:constr type="begPad" refType="connDist" fact="0.055"/>
              <dgm:constr type="endPad"/>
            </dgm:constrLst>
            <dgm:ruleLst/>
          </dgm:layoutNode>
        </dgm:forEach>
        <dgm:forEach name="Name27" axis="self" ptType="node">
          <dgm:layoutNode name="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h" refType="w" fact="0.8"/>
              <dgm:constr type="tMarg" refType="primFontSz" fact="0.15"/>
              <dgm:constr type="bMarg" refType="primFontSz" fact="0.15"/>
              <dgm:constr type="lMarg" refType="primFontSz" fact="0.15"/>
              <dgm:constr type="rMarg" refType="primFontSz" fact="0.15"/>
            </dgm:constrLst>
            <dgm:ruleLst>
              <dgm:rule type="primFontSz" val="5" fact="NaN" max="NaN"/>
            </dgm:ruleLst>
          </dgm:layoutNode>
        </dgm:forEach>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radial4">
  <dgm:title val=""/>
  <dgm:desc val=""/>
  <dgm:catLst>
    <dgm:cat type="relationship" pri="190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t modelId="11"/>
        <dgm:pt modelId="12"/>
      </dgm:ptLst>
      <dgm:cxnLst>
        <dgm:cxn modelId="2" srcId="0" destId="1" srcOrd="0" destOrd="0"/>
        <dgm:cxn modelId="15" srcId="1" destId="11" srcOrd="0" destOrd="0"/>
        <dgm:cxn modelId="16" srcId="1" destId="12" srcOrd="1"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0"/>
              <dgm:param type="spanAng" val="360"/>
              <dgm:param type="ctrShpMap" val="fNode"/>
            </dgm:alg>
          </dgm:if>
          <dgm:else name="Name4">
            <dgm:choose name="Name5">
              <dgm:if name="Name6" axis="ch ch" ptType="node node" st="1 1" cnt="1 0" func="cnt" op="lte" val="3">
                <dgm:alg type="cycle">
                  <dgm:param type="stAng" val="-55"/>
                  <dgm:param type="spanAng" val="110"/>
                  <dgm:param type="ctrShpMap" val="fNode"/>
                </dgm:alg>
              </dgm:if>
              <dgm:else name="Name7">
                <dgm:choose name="Name8">
                  <dgm:if name="Name9" axis="ch ch" ptType="node node" st="1 1" cnt="1 0" func="cnt" op="equ" val="4">
                    <dgm:alg type="cycle">
                      <dgm:param type="stAng" val="-75"/>
                      <dgm:param type="spanAng" val="150"/>
                      <dgm:param type="ctrShpMap" val="fNode"/>
                    </dgm:alg>
                  </dgm:if>
                  <dgm:else name="Name10">
                    <dgm:alg type="cycle">
                      <dgm:param type="stAng" val="-90"/>
                      <dgm:param type="spanAng" val="180"/>
                      <dgm:param type="ctrShpMap" val="fNode"/>
                    </dgm:alg>
                  </dgm:else>
                </dgm:choose>
              </dgm:else>
            </dgm:choose>
          </dgm:else>
        </dgm:choose>
      </dgm:if>
      <dgm:else name="Name11">
        <dgm:choose name="Name12">
          <dgm:if name="Name13" axis="ch ch" ptType="node node" st="1 1" cnt="1 0" func="cnt" op="lte" val="1">
            <dgm:alg type="cycle">
              <dgm:param type="stAng" val="0"/>
              <dgm:param type="spanAng" val="-360"/>
              <dgm:param type="ctrShpMap" val="fNode"/>
            </dgm:alg>
          </dgm:if>
          <dgm:else name="Name14">
            <dgm:choose name="Name15">
              <dgm:if name="Name16" axis="ch ch" ptType="node node" st="1 1" cnt="1 0" func="cnt" op="lte" val="3">
                <dgm:alg type="cycle">
                  <dgm:param type="stAng" val="55"/>
                  <dgm:param type="spanAng" val="-110"/>
                  <dgm:param type="ctrShpMap" val="fNode"/>
                </dgm:alg>
              </dgm:if>
              <dgm:else name="Name17">
                <dgm:choose name="Name18">
                  <dgm:if name="Name19" axis="ch ch" ptType="node node" st="1 1" cnt="1 0" func="cnt" op="equ" val="4">
                    <dgm:alg type="cycle">
                      <dgm:param type="stAng" val="75"/>
                      <dgm:param type="spanAng" val="-150"/>
                      <dgm:param type="ctrShpMap" val="fNode"/>
                    </dgm:alg>
                  </dgm:if>
                  <dgm:else name="Name20">
                    <dgm:alg type="cycle">
                      <dgm:param type="stAng" val="90"/>
                      <dgm:param type="spanAng" val="-180"/>
                      <dgm:param type="ctrShpMap" val="fNode"/>
                    </dgm:alg>
                  </dgm:else>
                </dgm:choose>
              </dgm:else>
            </dgm:choose>
          </dgm:else>
        </dgm:choose>
      </dgm:else>
    </dgm:choose>
    <dgm:shape xmlns:r="http://schemas.openxmlformats.org/officeDocument/2006/relationships" r:blip="">
      <dgm:adjLst/>
    </dgm:shape>
    <dgm:presOf/>
    <dgm:constrLst>
      <dgm:constr type="w" for="ch" forName="centerShape" refType="w"/>
      <dgm:constr type="w" for="ch" forName="node" refType="w" refFor="ch" refForName="centerShape" fact="0.95"/>
      <dgm:constr type="h" for="ch" forName="parTrans" refType="w" refFor="ch" refForName="centerShape" fact="0.285"/>
      <dgm:constr type="sp" refType="w" refFor="ch" refForName="centerShape" op="equ" fact="0.23"/>
      <dgm:constr type="sibSp" refType="w" refFor="ch" refForName="node" fact="0.1"/>
      <dgm:constr type="primFontSz" for="ch" forName="node" op="equ"/>
    </dgm:constrLst>
    <dgm:choose name="Name21">
      <dgm:if name="Name22" axis="ch ch" ptType="node node" st="1 1" cnt="1 0" func="cnt" op="lte" val="5">
        <dgm:ruleLst>
          <dgm:rule type="w" for="ch" forName="centerShape" val="NaN" fact="0.27" max="NaN"/>
        </dgm:ruleLst>
      </dgm:if>
      <dgm:else name="Name23">
        <dgm:ruleLst>
          <dgm:rule type="w" for="ch" forName="centerShape" val="NaN" fact="0.27" max="NaN"/>
          <dgm:rule type="w" for="ch" forName="node" val="NaN" fact="0.7" max="NaN"/>
        </dgm:ruleLst>
      </dgm:else>
    </dgm:choose>
    <dgm:forEach name="Name24" axis="ch" ptType="node" cnt="1">
      <dgm:layoutNode name="centerShape" styleLbl="node0">
        <dgm:alg type="tx"/>
        <dgm:shape xmlns:r="http://schemas.openxmlformats.org/officeDocument/2006/relationships" type="ellipse" r:blip="">
          <dgm:adjLst/>
        </dgm:shape>
        <dgm:presOf axis="self"/>
        <dgm:constrLst>
          <dgm:constr type="tMarg" refType="primFontSz" fact="0.05"/>
          <dgm:constr type="bMarg" refType="primFontSz" fact="0.05"/>
          <dgm:constr type="lMarg" refType="primFontSz" fact="0.05"/>
          <dgm:constr type="rMarg" refType="primFontSz" fact="0.05"/>
          <dgm:constr type="primFontSz" val="65"/>
          <dgm:constr type="h" refType="w"/>
        </dgm:constrLst>
        <dgm:ruleLst>
          <dgm:rule type="primFontSz" val="5" fact="NaN" max="NaN"/>
        </dgm:ruleLst>
      </dgm:layoutNode>
      <dgm:forEach name="Name25" axis="ch">
        <dgm:forEach name="Name26" axis="self" ptType="parTrans">
          <dgm:layoutNode name="parTrans" styleLbl="bgSibTrans2D1">
            <dgm:alg type="conn">
              <dgm:param type="begPts" val="auto"/>
              <dgm:param type="endPts" val="ctr"/>
              <dgm:param type="endSty" val="noArr"/>
              <dgm:param type="begSty" val="arr"/>
            </dgm:alg>
            <dgm:shape xmlns:r="http://schemas.openxmlformats.org/officeDocument/2006/relationships" type="conn" r:blip="">
              <dgm:adjLst/>
            </dgm:shape>
            <dgm:presOf axis="self"/>
            <dgm:constrLst>
              <dgm:constr type="begPad" refType="connDist" fact="0.055"/>
              <dgm:constr type="endPad"/>
            </dgm:constrLst>
            <dgm:ruleLst/>
          </dgm:layoutNode>
        </dgm:forEach>
        <dgm:forEach name="Name27" axis="self" ptType="node">
          <dgm:layoutNode name="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h" refType="w" fact="0.8"/>
              <dgm:constr type="tMarg" refType="primFontSz" fact="0.15"/>
              <dgm:constr type="bMarg" refType="primFontSz" fact="0.15"/>
              <dgm:constr type="lMarg" refType="primFontSz" fact="0.15"/>
              <dgm:constr type="rMarg" refType="primFontSz" fact="0.15"/>
            </dgm:constrLst>
            <dgm:ruleLst>
              <dgm:rule type="primFontSz" val="5" fact="NaN" max="NaN"/>
            </dgm:ruleLst>
          </dgm:layoutNode>
        </dgm:forEach>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radial4">
  <dgm:title val=""/>
  <dgm:desc val=""/>
  <dgm:catLst>
    <dgm:cat type="relationship" pri="190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t modelId="11"/>
        <dgm:pt modelId="12"/>
      </dgm:ptLst>
      <dgm:cxnLst>
        <dgm:cxn modelId="2" srcId="0" destId="1" srcOrd="0" destOrd="0"/>
        <dgm:cxn modelId="15" srcId="1" destId="11" srcOrd="0" destOrd="0"/>
        <dgm:cxn modelId="16" srcId="1" destId="12" srcOrd="1"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0"/>
              <dgm:param type="spanAng" val="360"/>
              <dgm:param type="ctrShpMap" val="fNode"/>
            </dgm:alg>
          </dgm:if>
          <dgm:else name="Name4">
            <dgm:choose name="Name5">
              <dgm:if name="Name6" axis="ch ch" ptType="node node" st="1 1" cnt="1 0" func="cnt" op="lte" val="3">
                <dgm:alg type="cycle">
                  <dgm:param type="stAng" val="-55"/>
                  <dgm:param type="spanAng" val="110"/>
                  <dgm:param type="ctrShpMap" val="fNode"/>
                </dgm:alg>
              </dgm:if>
              <dgm:else name="Name7">
                <dgm:choose name="Name8">
                  <dgm:if name="Name9" axis="ch ch" ptType="node node" st="1 1" cnt="1 0" func="cnt" op="equ" val="4">
                    <dgm:alg type="cycle">
                      <dgm:param type="stAng" val="-75"/>
                      <dgm:param type="spanAng" val="150"/>
                      <dgm:param type="ctrShpMap" val="fNode"/>
                    </dgm:alg>
                  </dgm:if>
                  <dgm:else name="Name10">
                    <dgm:alg type="cycle">
                      <dgm:param type="stAng" val="-90"/>
                      <dgm:param type="spanAng" val="180"/>
                      <dgm:param type="ctrShpMap" val="fNode"/>
                    </dgm:alg>
                  </dgm:else>
                </dgm:choose>
              </dgm:else>
            </dgm:choose>
          </dgm:else>
        </dgm:choose>
      </dgm:if>
      <dgm:else name="Name11">
        <dgm:choose name="Name12">
          <dgm:if name="Name13" axis="ch ch" ptType="node node" st="1 1" cnt="1 0" func="cnt" op="lte" val="1">
            <dgm:alg type="cycle">
              <dgm:param type="stAng" val="0"/>
              <dgm:param type="spanAng" val="-360"/>
              <dgm:param type="ctrShpMap" val="fNode"/>
            </dgm:alg>
          </dgm:if>
          <dgm:else name="Name14">
            <dgm:choose name="Name15">
              <dgm:if name="Name16" axis="ch ch" ptType="node node" st="1 1" cnt="1 0" func="cnt" op="lte" val="3">
                <dgm:alg type="cycle">
                  <dgm:param type="stAng" val="55"/>
                  <dgm:param type="spanAng" val="-110"/>
                  <dgm:param type="ctrShpMap" val="fNode"/>
                </dgm:alg>
              </dgm:if>
              <dgm:else name="Name17">
                <dgm:choose name="Name18">
                  <dgm:if name="Name19" axis="ch ch" ptType="node node" st="1 1" cnt="1 0" func="cnt" op="equ" val="4">
                    <dgm:alg type="cycle">
                      <dgm:param type="stAng" val="75"/>
                      <dgm:param type="spanAng" val="-150"/>
                      <dgm:param type="ctrShpMap" val="fNode"/>
                    </dgm:alg>
                  </dgm:if>
                  <dgm:else name="Name20">
                    <dgm:alg type="cycle">
                      <dgm:param type="stAng" val="90"/>
                      <dgm:param type="spanAng" val="-180"/>
                      <dgm:param type="ctrShpMap" val="fNode"/>
                    </dgm:alg>
                  </dgm:else>
                </dgm:choose>
              </dgm:else>
            </dgm:choose>
          </dgm:else>
        </dgm:choose>
      </dgm:else>
    </dgm:choose>
    <dgm:shape xmlns:r="http://schemas.openxmlformats.org/officeDocument/2006/relationships" r:blip="">
      <dgm:adjLst/>
    </dgm:shape>
    <dgm:presOf/>
    <dgm:constrLst>
      <dgm:constr type="w" for="ch" forName="centerShape" refType="w"/>
      <dgm:constr type="w" for="ch" forName="node" refType="w" refFor="ch" refForName="centerShape" fact="0.95"/>
      <dgm:constr type="h" for="ch" forName="parTrans" refType="w" refFor="ch" refForName="centerShape" fact="0.285"/>
      <dgm:constr type="sp" refType="w" refFor="ch" refForName="centerShape" op="equ" fact="0.23"/>
      <dgm:constr type="sibSp" refType="w" refFor="ch" refForName="node" fact="0.1"/>
      <dgm:constr type="primFontSz" for="ch" forName="node" op="equ"/>
    </dgm:constrLst>
    <dgm:choose name="Name21">
      <dgm:if name="Name22" axis="ch ch" ptType="node node" st="1 1" cnt="1 0" func="cnt" op="lte" val="5">
        <dgm:ruleLst>
          <dgm:rule type="w" for="ch" forName="centerShape" val="NaN" fact="0.27" max="NaN"/>
        </dgm:ruleLst>
      </dgm:if>
      <dgm:else name="Name23">
        <dgm:ruleLst>
          <dgm:rule type="w" for="ch" forName="centerShape" val="NaN" fact="0.27" max="NaN"/>
          <dgm:rule type="w" for="ch" forName="node" val="NaN" fact="0.7" max="NaN"/>
        </dgm:ruleLst>
      </dgm:else>
    </dgm:choose>
    <dgm:forEach name="Name24" axis="ch" ptType="node" cnt="1">
      <dgm:layoutNode name="centerShape" styleLbl="node0">
        <dgm:alg type="tx"/>
        <dgm:shape xmlns:r="http://schemas.openxmlformats.org/officeDocument/2006/relationships" type="ellipse" r:blip="">
          <dgm:adjLst/>
        </dgm:shape>
        <dgm:presOf axis="self"/>
        <dgm:constrLst>
          <dgm:constr type="tMarg" refType="primFontSz" fact="0.05"/>
          <dgm:constr type="bMarg" refType="primFontSz" fact="0.05"/>
          <dgm:constr type="lMarg" refType="primFontSz" fact="0.05"/>
          <dgm:constr type="rMarg" refType="primFontSz" fact="0.05"/>
          <dgm:constr type="primFontSz" val="65"/>
          <dgm:constr type="h" refType="w"/>
        </dgm:constrLst>
        <dgm:ruleLst>
          <dgm:rule type="primFontSz" val="5" fact="NaN" max="NaN"/>
        </dgm:ruleLst>
      </dgm:layoutNode>
      <dgm:forEach name="Name25" axis="ch">
        <dgm:forEach name="Name26" axis="self" ptType="parTrans">
          <dgm:layoutNode name="parTrans" styleLbl="bgSibTrans2D1">
            <dgm:alg type="conn">
              <dgm:param type="begPts" val="auto"/>
              <dgm:param type="endPts" val="ctr"/>
              <dgm:param type="endSty" val="noArr"/>
              <dgm:param type="begSty" val="arr"/>
            </dgm:alg>
            <dgm:shape xmlns:r="http://schemas.openxmlformats.org/officeDocument/2006/relationships" type="conn" r:blip="">
              <dgm:adjLst/>
            </dgm:shape>
            <dgm:presOf axis="self"/>
            <dgm:constrLst>
              <dgm:constr type="begPad" refType="connDist" fact="0.055"/>
              <dgm:constr type="endPad"/>
            </dgm:constrLst>
            <dgm:ruleLst/>
          </dgm:layoutNode>
        </dgm:forEach>
        <dgm:forEach name="Name27" axis="self" ptType="node">
          <dgm:layoutNode name="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h" refType="w" fact="0.8"/>
              <dgm:constr type="tMarg" refType="primFontSz" fact="0.15"/>
              <dgm:constr type="bMarg" refType="primFontSz" fact="0.15"/>
              <dgm:constr type="lMarg" refType="primFontSz" fact="0.15"/>
              <dgm:constr type="rMarg" refType="primFontSz" fact="0.15"/>
            </dgm:constrLst>
            <dgm:ruleLst>
              <dgm:rule type="primFontSz" val="5" fact="NaN" max="NaN"/>
            </dgm:ruleLst>
          </dgm:layoutNode>
        </dgm:forEach>
      </dgm:forEach>
    </dgm:forEach>
  </dgm:layoutNode>
</dgm:layoutDef>
</file>

<file path=xl/diagrams/layout6.xml><?xml version="1.0" encoding="utf-8"?>
<dgm:layoutDef xmlns:dgm="http://schemas.openxmlformats.org/drawingml/2006/diagram" xmlns:a="http://schemas.openxmlformats.org/drawingml/2006/main" uniqueId="urn:microsoft.com/office/officeart/2005/8/layout/radial4">
  <dgm:title val=""/>
  <dgm:desc val=""/>
  <dgm:catLst>
    <dgm:cat type="relationship" pri="190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t modelId="11"/>
        <dgm:pt modelId="12"/>
      </dgm:ptLst>
      <dgm:cxnLst>
        <dgm:cxn modelId="2" srcId="0" destId="1" srcOrd="0" destOrd="0"/>
        <dgm:cxn modelId="15" srcId="1" destId="11" srcOrd="0" destOrd="0"/>
        <dgm:cxn modelId="16" srcId="1" destId="12" srcOrd="1"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0"/>
              <dgm:param type="spanAng" val="360"/>
              <dgm:param type="ctrShpMap" val="fNode"/>
            </dgm:alg>
          </dgm:if>
          <dgm:else name="Name4">
            <dgm:choose name="Name5">
              <dgm:if name="Name6" axis="ch ch" ptType="node node" st="1 1" cnt="1 0" func="cnt" op="lte" val="3">
                <dgm:alg type="cycle">
                  <dgm:param type="stAng" val="-55"/>
                  <dgm:param type="spanAng" val="110"/>
                  <dgm:param type="ctrShpMap" val="fNode"/>
                </dgm:alg>
              </dgm:if>
              <dgm:else name="Name7">
                <dgm:choose name="Name8">
                  <dgm:if name="Name9" axis="ch ch" ptType="node node" st="1 1" cnt="1 0" func="cnt" op="equ" val="4">
                    <dgm:alg type="cycle">
                      <dgm:param type="stAng" val="-75"/>
                      <dgm:param type="spanAng" val="150"/>
                      <dgm:param type="ctrShpMap" val="fNode"/>
                    </dgm:alg>
                  </dgm:if>
                  <dgm:else name="Name10">
                    <dgm:alg type="cycle">
                      <dgm:param type="stAng" val="-90"/>
                      <dgm:param type="spanAng" val="180"/>
                      <dgm:param type="ctrShpMap" val="fNode"/>
                    </dgm:alg>
                  </dgm:else>
                </dgm:choose>
              </dgm:else>
            </dgm:choose>
          </dgm:else>
        </dgm:choose>
      </dgm:if>
      <dgm:else name="Name11">
        <dgm:choose name="Name12">
          <dgm:if name="Name13" axis="ch ch" ptType="node node" st="1 1" cnt="1 0" func="cnt" op="lte" val="1">
            <dgm:alg type="cycle">
              <dgm:param type="stAng" val="0"/>
              <dgm:param type="spanAng" val="-360"/>
              <dgm:param type="ctrShpMap" val="fNode"/>
            </dgm:alg>
          </dgm:if>
          <dgm:else name="Name14">
            <dgm:choose name="Name15">
              <dgm:if name="Name16" axis="ch ch" ptType="node node" st="1 1" cnt="1 0" func="cnt" op="lte" val="3">
                <dgm:alg type="cycle">
                  <dgm:param type="stAng" val="55"/>
                  <dgm:param type="spanAng" val="-110"/>
                  <dgm:param type="ctrShpMap" val="fNode"/>
                </dgm:alg>
              </dgm:if>
              <dgm:else name="Name17">
                <dgm:choose name="Name18">
                  <dgm:if name="Name19" axis="ch ch" ptType="node node" st="1 1" cnt="1 0" func="cnt" op="equ" val="4">
                    <dgm:alg type="cycle">
                      <dgm:param type="stAng" val="75"/>
                      <dgm:param type="spanAng" val="-150"/>
                      <dgm:param type="ctrShpMap" val="fNode"/>
                    </dgm:alg>
                  </dgm:if>
                  <dgm:else name="Name20">
                    <dgm:alg type="cycle">
                      <dgm:param type="stAng" val="90"/>
                      <dgm:param type="spanAng" val="-180"/>
                      <dgm:param type="ctrShpMap" val="fNode"/>
                    </dgm:alg>
                  </dgm:else>
                </dgm:choose>
              </dgm:else>
            </dgm:choose>
          </dgm:else>
        </dgm:choose>
      </dgm:else>
    </dgm:choose>
    <dgm:shape xmlns:r="http://schemas.openxmlformats.org/officeDocument/2006/relationships" r:blip="">
      <dgm:adjLst/>
    </dgm:shape>
    <dgm:presOf/>
    <dgm:constrLst>
      <dgm:constr type="w" for="ch" forName="centerShape" refType="w"/>
      <dgm:constr type="w" for="ch" forName="node" refType="w" refFor="ch" refForName="centerShape" fact="0.95"/>
      <dgm:constr type="h" for="ch" forName="parTrans" refType="w" refFor="ch" refForName="centerShape" fact="0.285"/>
      <dgm:constr type="sp" refType="w" refFor="ch" refForName="centerShape" op="equ" fact="0.23"/>
      <dgm:constr type="sibSp" refType="w" refFor="ch" refForName="node" fact="0.1"/>
      <dgm:constr type="primFontSz" for="ch" forName="node" op="equ"/>
    </dgm:constrLst>
    <dgm:choose name="Name21">
      <dgm:if name="Name22" axis="ch ch" ptType="node node" st="1 1" cnt="1 0" func="cnt" op="lte" val="5">
        <dgm:ruleLst>
          <dgm:rule type="w" for="ch" forName="centerShape" val="NaN" fact="0.27" max="NaN"/>
        </dgm:ruleLst>
      </dgm:if>
      <dgm:else name="Name23">
        <dgm:ruleLst>
          <dgm:rule type="w" for="ch" forName="centerShape" val="NaN" fact="0.27" max="NaN"/>
          <dgm:rule type="w" for="ch" forName="node" val="NaN" fact="0.7" max="NaN"/>
        </dgm:ruleLst>
      </dgm:else>
    </dgm:choose>
    <dgm:forEach name="Name24" axis="ch" ptType="node" cnt="1">
      <dgm:layoutNode name="centerShape" styleLbl="node0">
        <dgm:alg type="tx"/>
        <dgm:shape xmlns:r="http://schemas.openxmlformats.org/officeDocument/2006/relationships" type="ellipse" r:blip="">
          <dgm:adjLst/>
        </dgm:shape>
        <dgm:presOf axis="self"/>
        <dgm:constrLst>
          <dgm:constr type="tMarg" refType="primFontSz" fact="0.05"/>
          <dgm:constr type="bMarg" refType="primFontSz" fact="0.05"/>
          <dgm:constr type="lMarg" refType="primFontSz" fact="0.05"/>
          <dgm:constr type="rMarg" refType="primFontSz" fact="0.05"/>
          <dgm:constr type="primFontSz" val="65"/>
          <dgm:constr type="h" refType="w"/>
        </dgm:constrLst>
        <dgm:ruleLst>
          <dgm:rule type="primFontSz" val="5" fact="NaN" max="NaN"/>
        </dgm:ruleLst>
      </dgm:layoutNode>
      <dgm:forEach name="Name25" axis="ch">
        <dgm:forEach name="Name26" axis="self" ptType="parTrans">
          <dgm:layoutNode name="parTrans" styleLbl="bgSibTrans2D1">
            <dgm:alg type="conn">
              <dgm:param type="begPts" val="auto"/>
              <dgm:param type="endPts" val="ctr"/>
              <dgm:param type="endSty" val="noArr"/>
              <dgm:param type="begSty" val="arr"/>
            </dgm:alg>
            <dgm:shape xmlns:r="http://schemas.openxmlformats.org/officeDocument/2006/relationships" type="conn" r:blip="">
              <dgm:adjLst/>
            </dgm:shape>
            <dgm:presOf axis="self"/>
            <dgm:constrLst>
              <dgm:constr type="begPad" refType="connDist" fact="0.055"/>
              <dgm:constr type="endPad"/>
            </dgm:constrLst>
            <dgm:ruleLst/>
          </dgm:layoutNode>
        </dgm:forEach>
        <dgm:forEach name="Name27" axis="self" ptType="node">
          <dgm:layoutNode name="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h" refType="w" fact="0.8"/>
              <dgm:constr type="tMarg" refType="primFontSz" fact="0.15"/>
              <dgm:constr type="bMarg" refType="primFontSz" fact="0.15"/>
              <dgm:constr type="lMarg" refType="primFontSz" fact="0.15"/>
              <dgm:constr type="rMarg" refType="primFontSz" fact="0.15"/>
            </dgm:constrLst>
            <dgm:ruleLst>
              <dgm:rule type="primFontSz" val="5" fact="NaN" max="NaN"/>
            </dgm:ruleLst>
          </dgm:layoutNode>
        </dgm:forEach>
      </dgm:forEach>
    </dgm:forEach>
  </dgm:layoutNode>
</dgm:layoutDef>
</file>

<file path=xl/diagrams/layout7.xml><?xml version="1.0" encoding="utf-8"?>
<dgm:layoutDef xmlns:dgm="http://schemas.openxmlformats.org/drawingml/2006/diagram" xmlns:a="http://schemas.openxmlformats.org/drawingml/2006/main" uniqueId="urn:microsoft.com/office/officeart/2005/8/layout/radial4">
  <dgm:title val=""/>
  <dgm:desc val=""/>
  <dgm:catLst>
    <dgm:cat type="relationship" pri="190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t modelId="11"/>
        <dgm:pt modelId="12"/>
      </dgm:ptLst>
      <dgm:cxnLst>
        <dgm:cxn modelId="2" srcId="0" destId="1" srcOrd="0" destOrd="0"/>
        <dgm:cxn modelId="15" srcId="1" destId="11" srcOrd="0" destOrd="0"/>
        <dgm:cxn modelId="16" srcId="1" destId="12" srcOrd="1"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0"/>
              <dgm:param type="spanAng" val="360"/>
              <dgm:param type="ctrShpMap" val="fNode"/>
            </dgm:alg>
          </dgm:if>
          <dgm:else name="Name4">
            <dgm:choose name="Name5">
              <dgm:if name="Name6" axis="ch ch" ptType="node node" st="1 1" cnt="1 0" func="cnt" op="lte" val="3">
                <dgm:alg type="cycle">
                  <dgm:param type="stAng" val="-55"/>
                  <dgm:param type="spanAng" val="110"/>
                  <dgm:param type="ctrShpMap" val="fNode"/>
                </dgm:alg>
              </dgm:if>
              <dgm:else name="Name7">
                <dgm:choose name="Name8">
                  <dgm:if name="Name9" axis="ch ch" ptType="node node" st="1 1" cnt="1 0" func="cnt" op="equ" val="4">
                    <dgm:alg type="cycle">
                      <dgm:param type="stAng" val="-75"/>
                      <dgm:param type="spanAng" val="150"/>
                      <dgm:param type="ctrShpMap" val="fNode"/>
                    </dgm:alg>
                  </dgm:if>
                  <dgm:else name="Name10">
                    <dgm:alg type="cycle">
                      <dgm:param type="stAng" val="-90"/>
                      <dgm:param type="spanAng" val="180"/>
                      <dgm:param type="ctrShpMap" val="fNode"/>
                    </dgm:alg>
                  </dgm:else>
                </dgm:choose>
              </dgm:else>
            </dgm:choose>
          </dgm:else>
        </dgm:choose>
      </dgm:if>
      <dgm:else name="Name11">
        <dgm:choose name="Name12">
          <dgm:if name="Name13" axis="ch ch" ptType="node node" st="1 1" cnt="1 0" func="cnt" op="lte" val="1">
            <dgm:alg type="cycle">
              <dgm:param type="stAng" val="0"/>
              <dgm:param type="spanAng" val="-360"/>
              <dgm:param type="ctrShpMap" val="fNode"/>
            </dgm:alg>
          </dgm:if>
          <dgm:else name="Name14">
            <dgm:choose name="Name15">
              <dgm:if name="Name16" axis="ch ch" ptType="node node" st="1 1" cnt="1 0" func="cnt" op="lte" val="3">
                <dgm:alg type="cycle">
                  <dgm:param type="stAng" val="55"/>
                  <dgm:param type="spanAng" val="-110"/>
                  <dgm:param type="ctrShpMap" val="fNode"/>
                </dgm:alg>
              </dgm:if>
              <dgm:else name="Name17">
                <dgm:choose name="Name18">
                  <dgm:if name="Name19" axis="ch ch" ptType="node node" st="1 1" cnt="1 0" func="cnt" op="equ" val="4">
                    <dgm:alg type="cycle">
                      <dgm:param type="stAng" val="75"/>
                      <dgm:param type="spanAng" val="-150"/>
                      <dgm:param type="ctrShpMap" val="fNode"/>
                    </dgm:alg>
                  </dgm:if>
                  <dgm:else name="Name20">
                    <dgm:alg type="cycle">
                      <dgm:param type="stAng" val="90"/>
                      <dgm:param type="spanAng" val="-180"/>
                      <dgm:param type="ctrShpMap" val="fNode"/>
                    </dgm:alg>
                  </dgm:else>
                </dgm:choose>
              </dgm:else>
            </dgm:choose>
          </dgm:else>
        </dgm:choose>
      </dgm:else>
    </dgm:choose>
    <dgm:shape xmlns:r="http://schemas.openxmlformats.org/officeDocument/2006/relationships" r:blip="">
      <dgm:adjLst/>
    </dgm:shape>
    <dgm:presOf/>
    <dgm:constrLst>
      <dgm:constr type="w" for="ch" forName="centerShape" refType="w"/>
      <dgm:constr type="w" for="ch" forName="node" refType="w" refFor="ch" refForName="centerShape" fact="0.95"/>
      <dgm:constr type="h" for="ch" forName="parTrans" refType="w" refFor="ch" refForName="centerShape" fact="0.285"/>
      <dgm:constr type="sp" refType="w" refFor="ch" refForName="centerShape" op="equ" fact="0.23"/>
      <dgm:constr type="sibSp" refType="w" refFor="ch" refForName="node" fact="0.1"/>
      <dgm:constr type="primFontSz" for="ch" forName="node" op="equ"/>
    </dgm:constrLst>
    <dgm:choose name="Name21">
      <dgm:if name="Name22" axis="ch ch" ptType="node node" st="1 1" cnt="1 0" func="cnt" op="lte" val="5">
        <dgm:ruleLst>
          <dgm:rule type="w" for="ch" forName="centerShape" val="NaN" fact="0.27" max="NaN"/>
        </dgm:ruleLst>
      </dgm:if>
      <dgm:else name="Name23">
        <dgm:ruleLst>
          <dgm:rule type="w" for="ch" forName="centerShape" val="NaN" fact="0.27" max="NaN"/>
          <dgm:rule type="w" for="ch" forName="node" val="NaN" fact="0.7" max="NaN"/>
        </dgm:ruleLst>
      </dgm:else>
    </dgm:choose>
    <dgm:forEach name="Name24" axis="ch" ptType="node" cnt="1">
      <dgm:layoutNode name="centerShape" styleLbl="node0">
        <dgm:alg type="tx"/>
        <dgm:shape xmlns:r="http://schemas.openxmlformats.org/officeDocument/2006/relationships" type="ellipse" r:blip="">
          <dgm:adjLst/>
        </dgm:shape>
        <dgm:presOf axis="self"/>
        <dgm:constrLst>
          <dgm:constr type="tMarg" refType="primFontSz" fact="0.05"/>
          <dgm:constr type="bMarg" refType="primFontSz" fact="0.05"/>
          <dgm:constr type="lMarg" refType="primFontSz" fact="0.05"/>
          <dgm:constr type="rMarg" refType="primFontSz" fact="0.05"/>
          <dgm:constr type="primFontSz" val="65"/>
          <dgm:constr type="h" refType="w"/>
        </dgm:constrLst>
        <dgm:ruleLst>
          <dgm:rule type="primFontSz" val="5" fact="NaN" max="NaN"/>
        </dgm:ruleLst>
      </dgm:layoutNode>
      <dgm:forEach name="Name25" axis="ch">
        <dgm:forEach name="Name26" axis="self" ptType="parTrans">
          <dgm:layoutNode name="parTrans" styleLbl="bgSibTrans2D1">
            <dgm:alg type="conn">
              <dgm:param type="begPts" val="auto"/>
              <dgm:param type="endPts" val="ctr"/>
              <dgm:param type="endSty" val="noArr"/>
              <dgm:param type="begSty" val="arr"/>
            </dgm:alg>
            <dgm:shape xmlns:r="http://schemas.openxmlformats.org/officeDocument/2006/relationships" type="conn" r:blip="">
              <dgm:adjLst/>
            </dgm:shape>
            <dgm:presOf axis="self"/>
            <dgm:constrLst>
              <dgm:constr type="begPad" refType="connDist" fact="0.055"/>
              <dgm:constr type="endPad"/>
            </dgm:constrLst>
            <dgm:ruleLst/>
          </dgm:layoutNode>
        </dgm:forEach>
        <dgm:forEach name="Name27" axis="self" ptType="node">
          <dgm:layoutNode name="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h" refType="w" fact="0.8"/>
              <dgm:constr type="tMarg" refType="primFontSz" fact="0.15"/>
              <dgm:constr type="bMarg" refType="primFontSz" fact="0.15"/>
              <dgm:constr type="lMarg" refType="primFontSz" fact="0.15"/>
              <dgm:constr type="rMarg" refType="primFontSz" fact="0.15"/>
            </dgm:constrLst>
            <dgm:ruleLst>
              <dgm:rule type="primFontSz" val="5" fact="NaN" max="NaN"/>
            </dgm:ruleLst>
          </dgm:layoutNode>
        </dgm:forEach>
      </dgm:forEach>
    </dgm:forEach>
  </dgm:layoutNode>
</dgm:layoutDef>
</file>

<file path=xl/diagrams/layout8.xml><?xml version="1.0" encoding="utf-8"?>
<dgm:layoutDef xmlns:dgm="http://schemas.openxmlformats.org/drawingml/2006/diagram" xmlns:a="http://schemas.openxmlformats.org/drawingml/2006/main" uniqueId="urn:microsoft.com/office/officeart/2005/8/layout/radial4">
  <dgm:title val=""/>
  <dgm:desc val=""/>
  <dgm:catLst>
    <dgm:cat type="relationship" pri="190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t modelId="11"/>
        <dgm:pt modelId="12"/>
      </dgm:ptLst>
      <dgm:cxnLst>
        <dgm:cxn modelId="2" srcId="0" destId="1" srcOrd="0" destOrd="0"/>
        <dgm:cxn modelId="15" srcId="1" destId="11" srcOrd="0" destOrd="0"/>
        <dgm:cxn modelId="16" srcId="1" destId="12" srcOrd="1"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0"/>
              <dgm:param type="spanAng" val="360"/>
              <dgm:param type="ctrShpMap" val="fNode"/>
            </dgm:alg>
          </dgm:if>
          <dgm:else name="Name4">
            <dgm:choose name="Name5">
              <dgm:if name="Name6" axis="ch ch" ptType="node node" st="1 1" cnt="1 0" func="cnt" op="lte" val="3">
                <dgm:alg type="cycle">
                  <dgm:param type="stAng" val="-55"/>
                  <dgm:param type="spanAng" val="110"/>
                  <dgm:param type="ctrShpMap" val="fNode"/>
                </dgm:alg>
              </dgm:if>
              <dgm:else name="Name7">
                <dgm:choose name="Name8">
                  <dgm:if name="Name9" axis="ch ch" ptType="node node" st="1 1" cnt="1 0" func="cnt" op="equ" val="4">
                    <dgm:alg type="cycle">
                      <dgm:param type="stAng" val="-75"/>
                      <dgm:param type="spanAng" val="150"/>
                      <dgm:param type="ctrShpMap" val="fNode"/>
                    </dgm:alg>
                  </dgm:if>
                  <dgm:else name="Name10">
                    <dgm:alg type="cycle">
                      <dgm:param type="stAng" val="-90"/>
                      <dgm:param type="spanAng" val="180"/>
                      <dgm:param type="ctrShpMap" val="fNode"/>
                    </dgm:alg>
                  </dgm:else>
                </dgm:choose>
              </dgm:else>
            </dgm:choose>
          </dgm:else>
        </dgm:choose>
      </dgm:if>
      <dgm:else name="Name11">
        <dgm:choose name="Name12">
          <dgm:if name="Name13" axis="ch ch" ptType="node node" st="1 1" cnt="1 0" func="cnt" op="lte" val="1">
            <dgm:alg type="cycle">
              <dgm:param type="stAng" val="0"/>
              <dgm:param type="spanAng" val="-360"/>
              <dgm:param type="ctrShpMap" val="fNode"/>
            </dgm:alg>
          </dgm:if>
          <dgm:else name="Name14">
            <dgm:choose name="Name15">
              <dgm:if name="Name16" axis="ch ch" ptType="node node" st="1 1" cnt="1 0" func="cnt" op="lte" val="3">
                <dgm:alg type="cycle">
                  <dgm:param type="stAng" val="55"/>
                  <dgm:param type="spanAng" val="-110"/>
                  <dgm:param type="ctrShpMap" val="fNode"/>
                </dgm:alg>
              </dgm:if>
              <dgm:else name="Name17">
                <dgm:choose name="Name18">
                  <dgm:if name="Name19" axis="ch ch" ptType="node node" st="1 1" cnt="1 0" func="cnt" op="equ" val="4">
                    <dgm:alg type="cycle">
                      <dgm:param type="stAng" val="75"/>
                      <dgm:param type="spanAng" val="-150"/>
                      <dgm:param type="ctrShpMap" val="fNode"/>
                    </dgm:alg>
                  </dgm:if>
                  <dgm:else name="Name20">
                    <dgm:alg type="cycle">
                      <dgm:param type="stAng" val="90"/>
                      <dgm:param type="spanAng" val="-180"/>
                      <dgm:param type="ctrShpMap" val="fNode"/>
                    </dgm:alg>
                  </dgm:else>
                </dgm:choose>
              </dgm:else>
            </dgm:choose>
          </dgm:else>
        </dgm:choose>
      </dgm:else>
    </dgm:choose>
    <dgm:shape xmlns:r="http://schemas.openxmlformats.org/officeDocument/2006/relationships" r:blip="">
      <dgm:adjLst/>
    </dgm:shape>
    <dgm:presOf/>
    <dgm:constrLst>
      <dgm:constr type="w" for="ch" forName="centerShape" refType="w"/>
      <dgm:constr type="w" for="ch" forName="node" refType="w" refFor="ch" refForName="centerShape" fact="0.95"/>
      <dgm:constr type="h" for="ch" forName="parTrans" refType="w" refFor="ch" refForName="centerShape" fact="0.285"/>
      <dgm:constr type="sp" refType="w" refFor="ch" refForName="centerShape" op="equ" fact="0.23"/>
      <dgm:constr type="sibSp" refType="w" refFor="ch" refForName="node" fact="0.1"/>
      <dgm:constr type="primFontSz" for="ch" forName="node" op="equ"/>
    </dgm:constrLst>
    <dgm:choose name="Name21">
      <dgm:if name="Name22" axis="ch ch" ptType="node node" st="1 1" cnt="1 0" func="cnt" op="lte" val="5">
        <dgm:ruleLst>
          <dgm:rule type="w" for="ch" forName="centerShape" val="NaN" fact="0.27" max="NaN"/>
        </dgm:ruleLst>
      </dgm:if>
      <dgm:else name="Name23">
        <dgm:ruleLst>
          <dgm:rule type="w" for="ch" forName="centerShape" val="NaN" fact="0.27" max="NaN"/>
          <dgm:rule type="w" for="ch" forName="node" val="NaN" fact="0.7" max="NaN"/>
        </dgm:ruleLst>
      </dgm:else>
    </dgm:choose>
    <dgm:forEach name="Name24" axis="ch" ptType="node" cnt="1">
      <dgm:layoutNode name="centerShape" styleLbl="node0">
        <dgm:alg type="tx"/>
        <dgm:shape xmlns:r="http://schemas.openxmlformats.org/officeDocument/2006/relationships" type="ellipse" r:blip="">
          <dgm:adjLst/>
        </dgm:shape>
        <dgm:presOf axis="self"/>
        <dgm:constrLst>
          <dgm:constr type="tMarg" refType="primFontSz" fact="0.05"/>
          <dgm:constr type="bMarg" refType="primFontSz" fact="0.05"/>
          <dgm:constr type="lMarg" refType="primFontSz" fact="0.05"/>
          <dgm:constr type="rMarg" refType="primFontSz" fact="0.05"/>
          <dgm:constr type="primFontSz" val="65"/>
          <dgm:constr type="h" refType="w"/>
        </dgm:constrLst>
        <dgm:ruleLst>
          <dgm:rule type="primFontSz" val="5" fact="NaN" max="NaN"/>
        </dgm:ruleLst>
      </dgm:layoutNode>
      <dgm:forEach name="Name25" axis="ch">
        <dgm:forEach name="Name26" axis="self" ptType="parTrans">
          <dgm:layoutNode name="parTrans" styleLbl="bgSibTrans2D1">
            <dgm:alg type="conn">
              <dgm:param type="begPts" val="auto"/>
              <dgm:param type="endPts" val="ctr"/>
              <dgm:param type="endSty" val="noArr"/>
              <dgm:param type="begSty" val="arr"/>
            </dgm:alg>
            <dgm:shape xmlns:r="http://schemas.openxmlformats.org/officeDocument/2006/relationships" type="conn" r:blip="">
              <dgm:adjLst/>
            </dgm:shape>
            <dgm:presOf axis="self"/>
            <dgm:constrLst>
              <dgm:constr type="begPad" refType="connDist" fact="0.055"/>
              <dgm:constr type="endPad"/>
            </dgm:constrLst>
            <dgm:ruleLst/>
          </dgm:layoutNode>
        </dgm:forEach>
        <dgm:forEach name="Name27" axis="self" ptType="node">
          <dgm:layoutNode name="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h" refType="w" fact="0.8"/>
              <dgm:constr type="tMarg" refType="primFontSz" fact="0.15"/>
              <dgm:constr type="bMarg" refType="primFontSz" fact="0.15"/>
              <dgm:constr type="lMarg" refType="primFontSz" fact="0.15"/>
              <dgm:constr type="rMarg" refType="primFontSz" fact="0.15"/>
            </dgm:constrLst>
            <dgm:ruleLst>
              <dgm:rule type="primFontSz" val="5" fact="NaN" max="NaN"/>
            </dgm:ruleLst>
          </dgm:layoutNode>
        </dgm:forEach>
      </dgm:forEach>
    </dgm:forEach>
  </dgm:layoutNode>
</dgm:layoutDef>
</file>

<file path=xl/diagrams/layout9.xml><?xml version="1.0" encoding="utf-8"?>
<dgm:layoutDef xmlns:dgm="http://schemas.openxmlformats.org/drawingml/2006/diagram" xmlns:a="http://schemas.openxmlformats.org/drawingml/2006/main" uniqueId="urn:microsoft.com/office/officeart/2005/8/layout/radial4">
  <dgm:title val=""/>
  <dgm:desc val=""/>
  <dgm:catLst>
    <dgm:cat type="relationship" pri="190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t modelId="11"/>
        <dgm:pt modelId="12"/>
      </dgm:ptLst>
      <dgm:cxnLst>
        <dgm:cxn modelId="2" srcId="0" destId="1" srcOrd="0" destOrd="0"/>
        <dgm:cxn modelId="15" srcId="1" destId="11" srcOrd="0" destOrd="0"/>
        <dgm:cxn modelId="16" srcId="1" destId="12" srcOrd="1"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0"/>
              <dgm:param type="spanAng" val="360"/>
              <dgm:param type="ctrShpMap" val="fNode"/>
            </dgm:alg>
          </dgm:if>
          <dgm:else name="Name4">
            <dgm:choose name="Name5">
              <dgm:if name="Name6" axis="ch ch" ptType="node node" st="1 1" cnt="1 0" func="cnt" op="lte" val="3">
                <dgm:alg type="cycle">
                  <dgm:param type="stAng" val="-55"/>
                  <dgm:param type="spanAng" val="110"/>
                  <dgm:param type="ctrShpMap" val="fNode"/>
                </dgm:alg>
              </dgm:if>
              <dgm:else name="Name7">
                <dgm:choose name="Name8">
                  <dgm:if name="Name9" axis="ch ch" ptType="node node" st="1 1" cnt="1 0" func="cnt" op="equ" val="4">
                    <dgm:alg type="cycle">
                      <dgm:param type="stAng" val="-75"/>
                      <dgm:param type="spanAng" val="150"/>
                      <dgm:param type="ctrShpMap" val="fNode"/>
                    </dgm:alg>
                  </dgm:if>
                  <dgm:else name="Name10">
                    <dgm:alg type="cycle">
                      <dgm:param type="stAng" val="-90"/>
                      <dgm:param type="spanAng" val="180"/>
                      <dgm:param type="ctrShpMap" val="fNode"/>
                    </dgm:alg>
                  </dgm:else>
                </dgm:choose>
              </dgm:else>
            </dgm:choose>
          </dgm:else>
        </dgm:choose>
      </dgm:if>
      <dgm:else name="Name11">
        <dgm:choose name="Name12">
          <dgm:if name="Name13" axis="ch ch" ptType="node node" st="1 1" cnt="1 0" func="cnt" op="lte" val="1">
            <dgm:alg type="cycle">
              <dgm:param type="stAng" val="0"/>
              <dgm:param type="spanAng" val="-360"/>
              <dgm:param type="ctrShpMap" val="fNode"/>
            </dgm:alg>
          </dgm:if>
          <dgm:else name="Name14">
            <dgm:choose name="Name15">
              <dgm:if name="Name16" axis="ch ch" ptType="node node" st="1 1" cnt="1 0" func="cnt" op="lte" val="3">
                <dgm:alg type="cycle">
                  <dgm:param type="stAng" val="55"/>
                  <dgm:param type="spanAng" val="-110"/>
                  <dgm:param type="ctrShpMap" val="fNode"/>
                </dgm:alg>
              </dgm:if>
              <dgm:else name="Name17">
                <dgm:choose name="Name18">
                  <dgm:if name="Name19" axis="ch ch" ptType="node node" st="1 1" cnt="1 0" func="cnt" op="equ" val="4">
                    <dgm:alg type="cycle">
                      <dgm:param type="stAng" val="75"/>
                      <dgm:param type="spanAng" val="-150"/>
                      <dgm:param type="ctrShpMap" val="fNode"/>
                    </dgm:alg>
                  </dgm:if>
                  <dgm:else name="Name20">
                    <dgm:alg type="cycle">
                      <dgm:param type="stAng" val="90"/>
                      <dgm:param type="spanAng" val="-180"/>
                      <dgm:param type="ctrShpMap" val="fNode"/>
                    </dgm:alg>
                  </dgm:else>
                </dgm:choose>
              </dgm:else>
            </dgm:choose>
          </dgm:else>
        </dgm:choose>
      </dgm:else>
    </dgm:choose>
    <dgm:shape xmlns:r="http://schemas.openxmlformats.org/officeDocument/2006/relationships" r:blip="">
      <dgm:adjLst/>
    </dgm:shape>
    <dgm:presOf/>
    <dgm:constrLst>
      <dgm:constr type="w" for="ch" forName="centerShape" refType="w"/>
      <dgm:constr type="w" for="ch" forName="node" refType="w" refFor="ch" refForName="centerShape" fact="0.95"/>
      <dgm:constr type="h" for="ch" forName="parTrans" refType="w" refFor="ch" refForName="centerShape" fact="0.285"/>
      <dgm:constr type="sp" refType="w" refFor="ch" refForName="centerShape" op="equ" fact="0.23"/>
      <dgm:constr type="sibSp" refType="w" refFor="ch" refForName="node" fact="0.1"/>
      <dgm:constr type="primFontSz" for="ch" forName="node" op="equ"/>
    </dgm:constrLst>
    <dgm:choose name="Name21">
      <dgm:if name="Name22" axis="ch ch" ptType="node node" st="1 1" cnt="1 0" func="cnt" op="lte" val="5">
        <dgm:ruleLst>
          <dgm:rule type="w" for="ch" forName="centerShape" val="NaN" fact="0.27" max="NaN"/>
        </dgm:ruleLst>
      </dgm:if>
      <dgm:else name="Name23">
        <dgm:ruleLst>
          <dgm:rule type="w" for="ch" forName="centerShape" val="NaN" fact="0.27" max="NaN"/>
          <dgm:rule type="w" for="ch" forName="node" val="NaN" fact="0.7" max="NaN"/>
        </dgm:ruleLst>
      </dgm:else>
    </dgm:choose>
    <dgm:forEach name="Name24" axis="ch" ptType="node" cnt="1">
      <dgm:layoutNode name="centerShape" styleLbl="node0">
        <dgm:alg type="tx"/>
        <dgm:shape xmlns:r="http://schemas.openxmlformats.org/officeDocument/2006/relationships" type="ellipse" r:blip="">
          <dgm:adjLst/>
        </dgm:shape>
        <dgm:presOf axis="self"/>
        <dgm:constrLst>
          <dgm:constr type="tMarg" refType="primFontSz" fact="0.05"/>
          <dgm:constr type="bMarg" refType="primFontSz" fact="0.05"/>
          <dgm:constr type="lMarg" refType="primFontSz" fact="0.05"/>
          <dgm:constr type="rMarg" refType="primFontSz" fact="0.05"/>
          <dgm:constr type="primFontSz" val="65"/>
          <dgm:constr type="h" refType="w"/>
        </dgm:constrLst>
        <dgm:ruleLst>
          <dgm:rule type="primFontSz" val="5" fact="NaN" max="NaN"/>
        </dgm:ruleLst>
      </dgm:layoutNode>
      <dgm:forEach name="Name25" axis="ch">
        <dgm:forEach name="Name26" axis="self" ptType="parTrans">
          <dgm:layoutNode name="parTrans" styleLbl="bgSibTrans2D1">
            <dgm:alg type="conn">
              <dgm:param type="begPts" val="auto"/>
              <dgm:param type="endPts" val="ctr"/>
              <dgm:param type="endSty" val="noArr"/>
              <dgm:param type="begSty" val="arr"/>
            </dgm:alg>
            <dgm:shape xmlns:r="http://schemas.openxmlformats.org/officeDocument/2006/relationships" type="conn" r:blip="">
              <dgm:adjLst/>
            </dgm:shape>
            <dgm:presOf axis="self"/>
            <dgm:constrLst>
              <dgm:constr type="begPad" refType="connDist" fact="0.055"/>
              <dgm:constr type="endPad"/>
            </dgm:constrLst>
            <dgm:ruleLst/>
          </dgm:layoutNode>
        </dgm:forEach>
        <dgm:forEach name="Name27" axis="self" ptType="node">
          <dgm:layoutNode name="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h" refType="w" fact="0.8"/>
              <dgm:constr type="tMarg" refType="primFontSz" fact="0.15"/>
              <dgm:constr type="bMarg" refType="primFontSz" fact="0.15"/>
              <dgm:constr type="lMarg" refType="primFontSz" fact="0.15"/>
              <dgm:constr type="rMarg" refType="primFontSz" fact="0.15"/>
            </dgm:constrLst>
            <dgm:ruleLst>
              <dgm:rule type="primFontSz" val="5" fact="NaN" max="NaN"/>
            </dgm:ruleLst>
          </dgm:layoutNode>
        </dgm:forEach>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13" Type="http://schemas.openxmlformats.org/officeDocument/2006/relationships/diagramQuickStyle" Target="../diagrams/quickStyle3.xml"/><Relationship Id="rId18" Type="http://schemas.openxmlformats.org/officeDocument/2006/relationships/diagramQuickStyle" Target="../diagrams/quickStyle4.xml"/><Relationship Id="rId26" Type="http://schemas.openxmlformats.org/officeDocument/2006/relationships/diagramData" Target="../diagrams/data6.xml"/><Relationship Id="rId39" Type="http://schemas.openxmlformats.org/officeDocument/2006/relationships/diagramColors" Target="../diagrams/colors8.xml"/><Relationship Id="rId21" Type="http://schemas.openxmlformats.org/officeDocument/2006/relationships/diagramData" Target="../diagrams/data5.xml"/><Relationship Id="rId34" Type="http://schemas.openxmlformats.org/officeDocument/2006/relationships/diagramColors" Target="../diagrams/colors7.xml"/><Relationship Id="rId42" Type="http://schemas.openxmlformats.org/officeDocument/2006/relationships/diagramLayout" Target="../diagrams/layout9.xml"/><Relationship Id="rId7" Type="http://schemas.openxmlformats.org/officeDocument/2006/relationships/diagramLayout" Target="../diagrams/layout2.xml"/><Relationship Id="rId2" Type="http://schemas.openxmlformats.org/officeDocument/2006/relationships/diagramLayout" Target="../diagrams/layout1.xml"/><Relationship Id="rId16" Type="http://schemas.openxmlformats.org/officeDocument/2006/relationships/diagramData" Target="../diagrams/data4.xml"/><Relationship Id="rId29" Type="http://schemas.openxmlformats.org/officeDocument/2006/relationships/diagramColors" Target="../diagrams/colors6.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24" Type="http://schemas.openxmlformats.org/officeDocument/2006/relationships/diagramColors" Target="../diagrams/colors5.xml"/><Relationship Id="rId32" Type="http://schemas.openxmlformats.org/officeDocument/2006/relationships/diagramLayout" Target="../diagrams/layout7.xml"/><Relationship Id="rId37" Type="http://schemas.openxmlformats.org/officeDocument/2006/relationships/diagramLayout" Target="../diagrams/layout8.xml"/><Relationship Id="rId40" Type="http://schemas.microsoft.com/office/2007/relationships/diagramDrawing" Target="../diagrams/drawing8.xml"/><Relationship Id="rId45" Type="http://schemas.microsoft.com/office/2007/relationships/diagramDrawing" Target="../diagrams/drawing9.xml"/><Relationship Id="rId5" Type="http://schemas.microsoft.com/office/2007/relationships/diagramDrawing" Target="../diagrams/drawing1.xml"/><Relationship Id="rId15" Type="http://schemas.microsoft.com/office/2007/relationships/diagramDrawing" Target="../diagrams/drawing3.xml"/><Relationship Id="rId23" Type="http://schemas.openxmlformats.org/officeDocument/2006/relationships/diagramQuickStyle" Target="../diagrams/quickStyle5.xml"/><Relationship Id="rId28" Type="http://schemas.openxmlformats.org/officeDocument/2006/relationships/diagramQuickStyle" Target="../diagrams/quickStyle6.xml"/><Relationship Id="rId36" Type="http://schemas.openxmlformats.org/officeDocument/2006/relationships/diagramData" Target="../diagrams/data8.xml"/><Relationship Id="rId10" Type="http://schemas.microsoft.com/office/2007/relationships/diagramDrawing" Target="../diagrams/drawing2.xml"/><Relationship Id="rId19" Type="http://schemas.openxmlformats.org/officeDocument/2006/relationships/diagramColors" Target="../diagrams/colors4.xml"/><Relationship Id="rId31" Type="http://schemas.openxmlformats.org/officeDocument/2006/relationships/diagramData" Target="../diagrams/data7.xml"/><Relationship Id="rId44" Type="http://schemas.openxmlformats.org/officeDocument/2006/relationships/diagramColors" Target="../diagrams/colors9.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diagramLayout" Target="../diagrams/layout5.xml"/><Relationship Id="rId27" Type="http://schemas.openxmlformats.org/officeDocument/2006/relationships/diagramLayout" Target="../diagrams/layout6.xml"/><Relationship Id="rId30" Type="http://schemas.microsoft.com/office/2007/relationships/diagramDrawing" Target="../diagrams/drawing6.xml"/><Relationship Id="rId35" Type="http://schemas.microsoft.com/office/2007/relationships/diagramDrawing" Target="../diagrams/drawing7.xml"/><Relationship Id="rId43" Type="http://schemas.openxmlformats.org/officeDocument/2006/relationships/diagramQuickStyle" Target="../diagrams/quickStyle9.xml"/><Relationship Id="rId8" Type="http://schemas.openxmlformats.org/officeDocument/2006/relationships/diagramQuickStyle" Target="../diagrams/quickStyle2.xml"/><Relationship Id="rId3" Type="http://schemas.openxmlformats.org/officeDocument/2006/relationships/diagramQuickStyle" Target="../diagrams/quickStyle1.xml"/><Relationship Id="rId12" Type="http://schemas.openxmlformats.org/officeDocument/2006/relationships/diagramLayout" Target="../diagrams/layout3.xml"/><Relationship Id="rId17" Type="http://schemas.openxmlformats.org/officeDocument/2006/relationships/diagramLayout" Target="../diagrams/layout4.xml"/><Relationship Id="rId25" Type="http://schemas.microsoft.com/office/2007/relationships/diagramDrawing" Target="../diagrams/drawing5.xml"/><Relationship Id="rId33" Type="http://schemas.openxmlformats.org/officeDocument/2006/relationships/diagramQuickStyle" Target="../diagrams/quickStyle7.xml"/><Relationship Id="rId38" Type="http://schemas.openxmlformats.org/officeDocument/2006/relationships/diagramQuickStyle" Target="../diagrams/quickStyle8.xml"/><Relationship Id="rId20" Type="http://schemas.microsoft.com/office/2007/relationships/diagramDrawing" Target="../diagrams/drawing4.xml"/><Relationship Id="rId41" Type="http://schemas.openxmlformats.org/officeDocument/2006/relationships/diagramData" Target="../diagrams/data9.xml"/></Relationships>
</file>

<file path=xl/drawings/drawing1.xml><?xml version="1.0" encoding="utf-8"?>
<xdr:wsDr xmlns:xdr="http://schemas.openxmlformats.org/drawingml/2006/spreadsheetDrawing" xmlns:a="http://schemas.openxmlformats.org/drawingml/2006/main">
  <xdr:twoCellAnchor>
    <xdr:from>
      <xdr:col>14</xdr:col>
      <xdr:colOff>85726</xdr:colOff>
      <xdr:row>19</xdr:row>
      <xdr:rowOff>76200</xdr:rowOff>
    </xdr:from>
    <xdr:to>
      <xdr:col>15</xdr:col>
      <xdr:colOff>38101</xdr:colOff>
      <xdr:row>20</xdr:row>
      <xdr:rowOff>57150</xdr:rowOff>
    </xdr:to>
    <xdr:cxnSp macro="">
      <xdr:nvCxnSpPr>
        <xdr:cNvPr id="2" name="Straight Arrow Connector 1">
          <a:extLst>
            <a:ext uri="{FF2B5EF4-FFF2-40B4-BE49-F238E27FC236}">
              <a16:creationId xmlns:a16="http://schemas.microsoft.com/office/drawing/2014/main" id="{9F70A581-5E42-480F-84C6-4316A5D851BB}"/>
            </a:ext>
          </a:extLst>
        </xdr:cNvPr>
        <xdr:cNvCxnSpPr/>
      </xdr:nvCxnSpPr>
      <xdr:spPr>
        <a:xfrm flipV="1">
          <a:off x="14744701" y="3571875"/>
          <a:ext cx="600075" cy="161925"/>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90488</xdr:colOff>
      <xdr:row>20</xdr:row>
      <xdr:rowOff>171450</xdr:rowOff>
    </xdr:from>
    <xdr:to>
      <xdr:col>14</xdr:col>
      <xdr:colOff>600075</xdr:colOff>
      <xdr:row>23</xdr:row>
      <xdr:rowOff>19050</xdr:rowOff>
    </xdr:to>
    <xdr:cxnSp macro="">
      <xdr:nvCxnSpPr>
        <xdr:cNvPr id="3" name="Straight Arrow Connector 2">
          <a:extLst>
            <a:ext uri="{FF2B5EF4-FFF2-40B4-BE49-F238E27FC236}">
              <a16:creationId xmlns:a16="http://schemas.microsoft.com/office/drawing/2014/main" id="{F34FCEB3-1DCD-4254-9C36-2540BD1DA65D}"/>
            </a:ext>
          </a:extLst>
        </xdr:cNvPr>
        <xdr:cNvCxnSpPr/>
      </xdr:nvCxnSpPr>
      <xdr:spPr>
        <a:xfrm>
          <a:off x="14749463" y="3848100"/>
          <a:ext cx="509587" cy="390525"/>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47625</xdr:colOff>
      <xdr:row>18</xdr:row>
      <xdr:rowOff>128588</xdr:rowOff>
    </xdr:from>
    <xdr:to>
      <xdr:col>17</xdr:col>
      <xdr:colOff>0</xdr:colOff>
      <xdr:row>19</xdr:row>
      <xdr:rowOff>109538</xdr:rowOff>
    </xdr:to>
    <xdr:cxnSp macro="">
      <xdr:nvCxnSpPr>
        <xdr:cNvPr id="4" name="Straight Arrow Connector 3">
          <a:extLst>
            <a:ext uri="{FF2B5EF4-FFF2-40B4-BE49-F238E27FC236}">
              <a16:creationId xmlns:a16="http://schemas.microsoft.com/office/drawing/2014/main" id="{10563652-44EC-43B8-B4CF-A804FE326C44}"/>
            </a:ext>
          </a:extLst>
        </xdr:cNvPr>
        <xdr:cNvCxnSpPr/>
      </xdr:nvCxnSpPr>
      <xdr:spPr>
        <a:xfrm flipV="1">
          <a:off x="16483013" y="3443288"/>
          <a:ext cx="919162" cy="161925"/>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14287</xdr:colOff>
      <xdr:row>14</xdr:row>
      <xdr:rowOff>71163</xdr:rowOff>
    </xdr:from>
    <xdr:to>
      <xdr:col>20</xdr:col>
      <xdr:colOff>5474</xdr:colOff>
      <xdr:row>18</xdr:row>
      <xdr:rowOff>142875</xdr:rowOff>
    </xdr:to>
    <xdr:cxnSp macro="">
      <xdr:nvCxnSpPr>
        <xdr:cNvPr id="5" name="Straight Arrow Connector 4">
          <a:extLst>
            <a:ext uri="{FF2B5EF4-FFF2-40B4-BE49-F238E27FC236}">
              <a16:creationId xmlns:a16="http://schemas.microsoft.com/office/drawing/2014/main" id="{4AFF55A2-4CCE-461E-94E8-535636371B22}"/>
            </a:ext>
          </a:extLst>
        </xdr:cNvPr>
        <xdr:cNvCxnSpPr/>
      </xdr:nvCxnSpPr>
      <xdr:spPr>
        <a:xfrm flipV="1">
          <a:off x="16449675" y="2661963"/>
          <a:ext cx="4829887" cy="795612"/>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47625</xdr:colOff>
      <xdr:row>22</xdr:row>
      <xdr:rowOff>100012</xdr:rowOff>
    </xdr:from>
    <xdr:to>
      <xdr:col>17</xdr:col>
      <xdr:colOff>0</xdr:colOff>
      <xdr:row>23</xdr:row>
      <xdr:rowOff>80962</xdr:rowOff>
    </xdr:to>
    <xdr:cxnSp macro="">
      <xdr:nvCxnSpPr>
        <xdr:cNvPr id="6" name="Straight Arrow Connector 5">
          <a:extLst>
            <a:ext uri="{FF2B5EF4-FFF2-40B4-BE49-F238E27FC236}">
              <a16:creationId xmlns:a16="http://schemas.microsoft.com/office/drawing/2014/main" id="{6798C1A8-E1D8-4EDF-9662-CFB59D97967F}"/>
            </a:ext>
          </a:extLst>
        </xdr:cNvPr>
        <xdr:cNvCxnSpPr/>
      </xdr:nvCxnSpPr>
      <xdr:spPr>
        <a:xfrm flipV="1">
          <a:off x="16483013" y="4138612"/>
          <a:ext cx="919162" cy="161925"/>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61200</xdr:colOff>
      <xdr:row>23</xdr:row>
      <xdr:rowOff>114246</xdr:rowOff>
    </xdr:from>
    <xdr:to>
      <xdr:col>19</xdr:col>
      <xdr:colOff>1412875</xdr:colOff>
      <xdr:row>28</xdr:row>
      <xdr:rowOff>55563</xdr:rowOff>
    </xdr:to>
    <xdr:cxnSp macro="">
      <xdr:nvCxnSpPr>
        <xdr:cNvPr id="7" name="Straight Arrow Connector 6">
          <a:extLst>
            <a:ext uri="{FF2B5EF4-FFF2-40B4-BE49-F238E27FC236}">
              <a16:creationId xmlns:a16="http://schemas.microsoft.com/office/drawing/2014/main" id="{9AB184CC-AE5A-4806-A5B0-4CFFB6846E39}"/>
            </a:ext>
          </a:extLst>
        </xdr:cNvPr>
        <xdr:cNvCxnSpPr/>
      </xdr:nvCxnSpPr>
      <xdr:spPr>
        <a:xfrm>
          <a:off x="16496588" y="4333821"/>
          <a:ext cx="4761625" cy="846192"/>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561976</xdr:colOff>
      <xdr:row>18</xdr:row>
      <xdr:rowOff>171451</xdr:rowOff>
    </xdr:from>
    <xdr:to>
      <xdr:col>18</xdr:col>
      <xdr:colOff>571500</xdr:colOff>
      <xdr:row>20</xdr:row>
      <xdr:rowOff>9525</xdr:rowOff>
    </xdr:to>
    <xdr:cxnSp macro="">
      <xdr:nvCxnSpPr>
        <xdr:cNvPr id="8" name="Straight Arrow Connector 7">
          <a:extLst>
            <a:ext uri="{FF2B5EF4-FFF2-40B4-BE49-F238E27FC236}">
              <a16:creationId xmlns:a16="http://schemas.microsoft.com/office/drawing/2014/main" id="{C13F453A-72D7-401F-892E-3188261C9DEA}"/>
            </a:ext>
          </a:extLst>
        </xdr:cNvPr>
        <xdr:cNvCxnSpPr/>
      </xdr:nvCxnSpPr>
      <xdr:spPr>
        <a:xfrm>
          <a:off x="19278601" y="3486151"/>
          <a:ext cx="9524" cy="200024"/>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590550</xdr:colOff>
      <xdr:row>20</xdr:row>
      <xdr:rowOff>171450</xdr:rowOff>
    </xdr:from>
    <xdr:to>
      <xdr:col>18</xdr:col>
      <xdr:colOff>600075</xdr:colOff>
      <xdr:row>21</xdr:row>
      <xdr:rowOff>147638</xdr:rowOff>
    </xdr:to>
    <xdr:cxnSp macro="">
      <xdr:nvCxnSpPr>
        <xdr:cNvPr id="9" name="Straight Arrow Connector 8">
          <a:extLst>
            <a:ext uri="{FF2B5EF4-FFF2-40B4-BE49-F238E27FC236}">
              <a16:creationId xmlns:a16="http://schemas.microsoft.com/office/drawing/2014/main" id="{D0B58458-F4EA-4226-B4D8-5E6650C9B30B}"/>
            </a:ext>
          </a:extLst>
        </xdr:cNvPr>
        <xdr:cNvCxnSpPr/>
      </xdr:nvCxnSpPr>
      <xdr:spPr>
        <a:xfrm flipH="1" flipV="1">
          <a:off x="19307175" y="3848100"/>
          <a:ext cx="9525" cy="157163"/>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1185863</xdr:colOff>
      <xdr:row>19</xdr:row>
      <xdr:rowOff>61912</xdr:rowOff>
    </xdr:from>
    <xdr:to>
      <xdr:col>20</xdr:col>
      <xdr:colOff>80963</xdr:colOff>
      <xdr:row>20</xdr:row>
      <xdr:rowOff>95249</xdr:rowOff>
    </xdr:to>
    <xdr:cxnSp macro="">
      <xdr:nvCxnSpPr>
        <xdr:cNvPr id="10" name="Straight Arrow Connector 9">
          <a:extLst>
            <a:ext uri="{FF2B5EF4-FFF2-40B4-BE49-F238E27FC236}">
              <a16:creationId xmlns:a16="http://schemas.microsoft.com/office/drawing/2014/main" id="{CE588BC4-6EE7-448B-A62C-1B33F22DB108}"/>
            </a:ext>
          </a:extLst>
        </xdr:cNvPr>
        <xdr:cNvCxnSpPr/>
      </xdr:nvCxnSpPr>
      <xdr:spPr>
        <a:xfrm flipV="1">
          <a:off x="19845338" y="3557587"/>
          <a:ext cx="1509713" cy="214312"/>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1195388</xdr:colOff>
      <xdr:row>21</xdr:row>
      <xdr:rowOff>47624</xdr:rowOff>
    </xdr:from>
    <xdr:to>
      <xdr:col>20</xdr:col>
      <xdr:colOff>14288</xdr:colOff>
      <xdr:row>23</xdr:row>
      <xdr:rowOff>66675</xdr:rowOff>
    </xdr:to>
    <xdr:cxnSp macro="">
      <xdr:nvCxnSpPr>
        <xdr:cNvPr id="11" name="Straight Arrow Connector 10">
          <a:extLst>
            <a:ext uri="{FF2B5EF4-FFF2-40B4-BE49-F238E27FC236}">
              <a16:creationId xmlns:a16="http://schemas.microsoft.com/office/drawing/2014/main" id="{B55C01E8-C7BA-4A58-9248-B2D41150BF96}"/>
            </a:ext>
          </a:extLst>
        </xdr:cNvPr>
        <xdr:cNvCxnSpPr/>
      </xdr:nvCxnSpPr>
      <xdr:spPr>
        <a:xfrm>
          <a:off x="19845338" y="3905249"/>
          <a:ext cx="1443038" cy="381001"/>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652463</xdr:colOff>
      <xdr:row>15</xdr:row>
      <xdr:rowOff>42863</xdr:rowOff>
    </xdr:from>
    <xdr:to>
      <xdr:col>20</xdr:col>
      <xdr:colOff>652463</xdr:colOff>
      <xdr:row>17</xdr:row>
      <xdr:rowOff>4762</xdr:rowOff>
    </xdr:to>
    <xdr:cxnSp macro="">
      <xdr:nvCxnSpPr>
        <xdr:cNvPr id="12" name="Straight Arrow Connector 11">
          <a:extLst>
            <a:ext uri="{FF2B5EF4-FFF2-40B4-BE49-F238E27FC236}">
              <a16:creationId xmlns:a16="http://schemas.microsoft.com/office/drawing/2014/main" id="{5FD1666C-8237-4D06-A863-43F70DE1F761}"/>
            </a:ext>
          </a:extLst>
        </xdr:cNvPr>
        <xdr:cNvCxnSpPr/>
      </xdr:nvCxnSpPr>
      <xdr:spPr>
        <a:xfrm flipV="1">
          <a:off x="21926551" y="2814638"/>
          <a:ext cx="0" cy="323849"/>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604838</xdr:colOff>
      <xdr:row>24</xdr:row>
      <xdr:rowOff>66682</xdr:rowOff>
    </xdr:from>
    <xdr:to>
      <xdr:col>20</xdr:col>
      <xdr:colOff>609600</xdr:colOff>
      <xdr:row>26</xdr:row>
      <xdr:rowOff>133350</xdr:rowOff>
    </xdr:to>
    <xdr:cxnSp macro="">
      <xdr:nvCxnSpPr>
        <xdr:cNvPr id="13" name="Straight Arrow Connector 12">
          <a:extLst>
            <a:ext uri="{FF2B5EF4-FFF2-40B4-BE49-F238E27FC236}">
              <a16:creationId xmlns:a16="http://schemas.microsoft.com/office/drawing/2014/main" id="{E9150ABB-149B-4D9C-BCD3-BA6DB4D9F89E}"/>
            </a:ext>
          </a:extLst>
        </xdr:cNvPr>
        <xdr:cNvCxnSpPr/>
      </xdr:nvCxnSpPr>
      <xdr:spPr>
        <a:xfrm flipH="1">
          <a:off x="21878926" y="4467232"/>
          <a:ext cx="4762" cy="428618"/>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38100</xdr:colOff>
      <xdr:row>18</xdr:row>
      <xdr:rowOff>123825</xdr:rowOff>
    </xdr:from>
    <xdr:to>
      <xdr:col>22</xdr:col>
      <xdr:colOff>19050</xdr:colOff>
      <xdr:row>19</xdr:row>
      <xdr:rowOff>119062</xdr:rowOff>
    </xdr:to>
    <xdr:cxnSp macro="">
      <xdr:nvCxnSpPr>
        <xdr:cNvPr id="14" name="Straight Arrow Connector 13">
          <a:extLst>
            <a:ext uri="{FF2B5EF4-FFF2-40B4-BE49-F238E27FC236}">
              <a16:creationId xmlns:a16="http://schemas.microsoft.com/office/drawing/2014/main" id="{5FDF6640-77ED-457B-81E1-EB42D8A8AFC0}"/>
            </a:ext>
          </a:extLst>
        </xdr:cNvPr>
        <xdr:cNvCxnSpPr/>
      </xdr:nvCxnSpPr>
      <xdr:spPr>
        <a:xfrm flipV="1">
          <a:off x="22612350" y="3438525"/>
          <a:ext cx="2033588" cy="176212"/>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21324</xdr:colOff>
      <xdr:row>22</xdr:row>
      <xdr:rowOff>109538</xdr:rowOff>
    </xdr:from>
    <xdr:to>
      <xdr:col>22</xdr:col>
      <xdr:colOff>0</xdr:colOff>
      <xdr:row>23</xdr:row>
      <xdr:rowOff>106623</xdr:rowOff>
    </xdr:to>
    <xdr:cxnSp macro="">
      <xdr:nvCxnSpPr>
        <xdr:cNvPr id="15" name="Straight Arrow Connector 14">
          <a:extLst>
            <a:ext uri="{FF2B5EF4-FFF2-40B4-BE49-F238E27FC236}">
              <a16:creationId xmlns:a16="http://schemas.microsoft.com/office/drawing/2014/main" id="{E9F2CC88-2D11-401F-8842-C10292CCF51C}"/>
            </a:ext>
          </a:extLst>
        </xdr:cNvPr>
        <xdr:cNvCxnSpPr/>
      </xdr:nvCxnSpPr>
      <xdr:spPr>
        <a:xfrm flipV="1">
          <a:off x="22595574" y="4148138"/>
          <a:ext cx="2031314" cy="178060"/>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380167</xdr:colOff>
      <xdr:row>18</xdr:row>
      <xdr:rowOff>162408</xdr:rowOff>
    </xdr:from>
    <xdr:to>
      <xdr:col>23</xdr:col>
      <xdr:colOff>382562</xdr:colOff>
      <xdr:row>19</xdr:row>
      <xdr:rowOff>176212</xdr:rowOff>
    </xdr:to>
    <xdr:cxnSp macro="">
      <xdr:nvCxnSpPr>
        <xdr:cNvPr id="16" name="Straight Arrow Connector 15">
          <a:extLst>
            <a:ext uri="{FF2B5EF4-FFF2-40B4-BE49-F238E27FC236}">
              <a16:creationId xmlns:a16="http://schemas.microsoft.com/office/drawing/2014/main" id="{0EECAA49-D444-4C18-A50B-A5DEE42816A8}"/>
            </a:ext>
          </a:extLst>
        </xdr:cNvPr>
        <xdr:cNvCxnSpPr/>
      </xdr:nvCxnSpPr>
      <xdr:spPr>
        <a:xfrm>
          <a:off x="27059692" y="3477108"/>
          <a:ext cx="2395" cy="194779"/>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401612</xdr:colOff>
      <xdr:row>20</xdr:row>
      <xdr:rowOff>157162</xdr:rowOff>
    </xdr:from>
    <xdr:to>
      <xdr:col>23</xdr:col>
      <xdr:colOff>406503</xdr:colOff>
      <xdr:row>22</xdr:row>
      <xdr:rowOff>13168</xdr:rowOff>
    </xdr:to>
    <xdr:cxnSp macro="">
      <xdr:nvCxnSpPr>
        <xdr:cNvPr id="17" name="Straight Arrow Connector 16">
          <a:extLst>
            <a:ext uri="{FF2B5EF4-FFF2-40B4-BE49-F238E27FC236}">
              <a16:creationId xmlns:a16="http://schemas.microsoft.com/office/drawing/2014/main" id="{A98F0791-D9B3-45C5-B339-50D16B51ECC6}"/>
            </a:ext>
          </a:extLst>
        </xdr:cNvPr>
        <xdr:cNvCxnSpPr/>
      </xdr:nvCxnSpPr>
      <xdr:spPr>
        <a:xfrm flipH="1" flipV="1">
          <a:off x="27081137" y="3833812"/>
          <a:ext cx="4891" cy="217956"/>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611187</xdr:colOff>
      <xdr:row>7</xdr:row>
      <xdr:rowOff>10948</xdr:rowOff>
    </xdr:from>
    <xdr:to>
      <xdr:col>20</xdr:col>
      <xdr:colOff>634999</xdr:colOff>
      <xdr:row>12</xdr:row>
      <xdr:rowOff>87313</xdr:rowOff>
    </xdr:to>
    <xdr:cxnSp macro="">
      <xdr:nvCxnSpPr>
        <xdr:cNvPr id="21" name="Straight Arrow Connector 20">
          <a:extLst>
            <a:ext uri="{FF2B5EF4-FFF2-40B4-BE49-F238E27FC236}">
              <a16:creationId xmlns:a16="http://schemas.microsoft.com/office/drawing/2014/main" id="{E46890B0-4BDB-4F43-89A7-A778E6527ABB}"/>
            </a:ext>
          </a:extLst>
        </xdr:cNvPr>
        <xdr:cNvCxnSpPr/>
      </xdr:nvCxnSpPr>
      <xdr:spPr>
        <a:xfrm flipV="1">
          <a:off x="21907500" y="1336511"/>
          <a:ext cx="23812" cy="989177"/>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733534</xdr:colOff>
      <xdr:row>29</xdr:row>
      <xdr:rowOff>104009</xdr:rowOff>
    </xdr:from>
    <xdr:to>
      <xdr:col>20</xdr:col>
      <xdr:colOff>743771</xdr:colOff>
      <xdr:row>32</xdr:row>
      <xdr:rowOff>131378</xdr:rowOff>
    </xdr:to>
    <xdr:cxnSp macro="">
      <xdr:nvCxnSpPr>
        <xdr:cNvPr id="23" name="Straight Arrow Connector 22">
          <a:extLst>
            <a:ext uri="{FF2B5EF4-FFF2-40B4-BE49-F238E27FC236}">
              <a16:creationId xmlns:a16="http://schemas.microsoft.com/office/drawing/2014/main" id="{46B91D0B-E6EB-4316-AF76-7919C602E9CE}"/>
            </a:ext>
          </a:extLst>
        </xdr:cNvPr>
        <xdr:cNvCxnSpPr/>
      </xdr:nvCxnSpPr>
      <xdr:spPr>
        <a:xfrm flipH="1">
          <a:off x="22007622" y="5409434"/>
          <a:ext cx="10237" cy="570294"/>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603250</xdr:colOff>
      <xdr:row>4</xdr:row>
      <xdr:rowOff>39688</xdr:rowOff>
    </xdr:from>
    <xdr:to>
      <xdr:col>20</xdr:col>
      <xdr:colOff>611188</xdr:colOff>
      <xdr:row>5</xdr:row>
      <xdr:rowOff>127000</xdr:rowOff>
    </xdr:to>
    <xdr:cxnSp macro="">
      <xdr:nvCxnSpPr>
        <xdr:cNvPr id="26" name="Straight Arrow Connector 25">
          <a:extLst>
            <a:ext uri="{FF2B5EF4-FFF2-40B4-BE49-F238E27FC236}">
              <a16:creationId xmlns:a16="http://schemas.microsoft.com/office/drawing/2014/main" id="{AE25A51B-E2B8-4681-BFD7-2C4BED699D55}"/>
            </a:ext>
          </a:extLst>
        </xdr:cNvPr>
        <xdr:cNvCxnSpPr/>
      </xdr:nvCxnSpPr>
      <xdr:spPr>
        <a:xfrm flipV="1">
          <a:off x="21899563" y="817563"/>
          <a:ext cx="7938" cy="269875"/>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261938</xdr:colOff>
      <xdr:row>20</xdr:row>
      <xdr:rowOff>111125</xdr:rowOff>
    </xdr:from>
    <xdr:to>
      <xdr:col>25</xdr:col>
      <xdr:colOff>1341438</xdr:colOff>
      <xdr:row>20</xdr:row>
      <xdr:rowOff>119063</xdr:rowOff>
    </xdr:to>
    <xdr:cxnSp macro="">
      <xdr:nvCxnSpPr>
        <xdr:cNvPr id="34" name="Straight Arrow Connector 33">
          <a:extLst>
            <a:ext uri="{FF2B5EF4-FFF2-40B4-BE49-F238E27FC236}">
              <a16:creationId xmlns:a16="http://schemas.microsoft.com/office/drawing/2014/main" id="{DD93D5FD-0EAF-414E-8BE3-9052DFF8BD8C}"/>
            </a:ext>
          </a:extLst>
        </xdr:cNvPr>
        <xdr:cNvCxnSpPr/>
      </xdr:nvCxnSpPr>
      <xdr:spPr>
        <a:xfrm flipV="1">
          <a:off x="27751088" y="3787775"/>
          <a:ext cx="1727200" cy="7938"/>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0</xdr:colOff>
      <xdr:row>20</xdr:row>
      <xdr:rowOff>79378</xdr:rowOff>
    </xdr:from>
    <xdr:to>
      <xdr:col>28</xdr:col>
      <xdr:colOff>15875</xdr:colOff>
      <xdr:row>20</xdr:row>
      <xdr:rowOff>87316</xdr:rowOff>
    </xdr:to>
    <xdr:cxnSp macro="">
      <xdr:nvCxnSpPr>
        <xdr:cNvPr id="35" name="Straight Arrow Connector 34">
          <a:extLst>
            <a:ext uri="{FF2B5EF4-FFF2-40B4-BE49-F238E27FC236}">
              <a16:creationId xmlns:a16="http://schemas.microsoft.com/office/drawing/2014/main" id="{9940BDC8-F27B-4590-B89C-DC33903DD4EC}"/>
            </a:ext>
          </a:extLst>
        </xdr:cNvPr>
        <xdr:cNvCxnSpPr/>
      </xdr:nvCxnSpPr>
      <xdr:spPr>
        <a:xfrm flipV="1">
          <a:off x="31032450" y="3756028"/>
          <a:ext cx="663575" cy="7938"/>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711309</xdr:colOff>
      <xdr:row>34</xdr:row>
      <xdr:rowOff>154813</xdr:rowOff>
    </xdr:from>
    <xdr:to>
      <xdr:col>20</xdr:col>
      <xdr:colOff>721546</xdr:colOff>
      <xdr:row>37</xdr:row>
      <xdr:rowOff>182181</xdr:rowOff>
    </xdr:to>
    <xdr:cxnSp macro="">
      <xdr:nvCxnSpPr>
        <xdr:cNvPr id="39" name="Straight Arrow Connector 38">
          <a:extLst>
            <a:ext uri="{FF2B5EF4-FFF2-40B4-BE49-F238E27FC236}">
              <a16:creationId xmlns:a16="http://schemas.microsoft.com/office/drawing/2014/main" id="{51C300AC-AD64-42C9-BB6F-E895F420BC50}"/>
            </a:ext>
          </a:extLst>
        </xdr:cNvPr>
        <xdr:cNvCxnSpPr/>
      </xdr:nvCxnSpPr>
      <xdr:spPr>
        <a:xfrm flipH="1">
          <a:off x="22007622" y="6409563"/>
          <a:ext cx="10237" cy="575056"/>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526677</xdr:colOff>
      <xdr:row>111</xdr:row>
      <xdr:rowOff>28519</xdr:rowOff>
    </xdr:from>
    <xdr:to>
      <xdr:col>14</xdr:col>
      <xdr:colOff>56030</xdr:colOff>
      <xdr:row>125</xdr:row>
      <xdr:rowOff>50934</xdr:rowOff>
    </xdr:to>
    <xdr:graphicFrame macro="">
      <xdr:nvGraphicFramePr>
        <xdr:cNvPr id="2" name="Diagram 1">
          <a:extLst>
            <a:ext uri="{FF2B5EF4-FFF2-40B4-BE49-F238E27FC236}">
              <a16:creationId xmlns:a16="http://schemas.microsoft.com/office/drawing/2014/main" id="{0F8743CB-D3AD-4990-979D-591E5193C04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6</xdr:col>
      <xdr:colOff>555812</xdr:colOff>
      <xdr:row>131</xdr:row>
      <xdr:rowOff>179293</xdr:rowOff>
    </xdr:from>
    <xdr:to>
      <xdr:col>14</xdr:col>
      <xdr:colOff>85165</xdr:colOff>
      <xdr:row>145</xdr:row>
      <xdr:rowOff>89646</xdr:rowOff>
    </xdr:to>
    <xdr:graphicFrame macro="">
      <xdr:nvGraphicFramePr>
        <xdr:cNvPr id="3" name="Diagram 2">
          <a:extLst>
            <a:ext uri="{FF2B5EF4-FFF2-40B4-BE49-F238E27FC236}">
              <a16:creationId xmlns:a16="http://schemas.microsoft.com/office/drawing/2014/main" id="{A259B2CB-0A35-40A0-8F48-E18B727AACB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7</xdr:col>
      <xdr:colOff>58271</xdr:colOff>
      <xdr:row>150</xdr:row>
      <xdr:rowOff>170327</xdr:rowOff>
    </xdr:from>
    <xdr:to>
      <xdr:col>14</xdr:col>
      <xdr:colOff>192742</xdr:colOff>
      <xdr:row>164</xdr:row>
      <xdr:rowOff>156882</xdr:rowOff>
    </xdr:to>
    <xdr:graphicFrame macro="">
      <xdr:nvGraphicFramePr>
        <xdr:cNvPr id="4" name="Diagram 3">
          <a:extLst>
            <a:ext uri="{FF2B5EF4-FFF2-40B4-BE49-F238E27FC236}">
              <a16:creationId xmlns:a16="http://schemas.microsoft.com/office/drawing/2014/main" id="{7EBE5C63-5F5C-46F4-AACD-C0B3F0C3A94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7</xdr:col>
      <xdr:colOff>98612</xdr:colOff>
      <xdr:row>165</xdr:row>
      <xdr:rowOff>121021</xdr:rowOff>
    </xdr:from>
    <xdr:to>
      <xdr:col>14</xdr:col>
      <xdr:colOff>233083</xdr:colOff>
      <xdr:row>181</xdr:row>
      <xdr:rowOff>107576</xdr:rowOff>
    </xdr:to>
    <xdr:graphicFrame macro="">
      <xdr:nvGraphicFramePr>
        <xdr:cNvPr id="5" name="Diagram 4">
          <a:extLst>
            <a:ext uri="{FF2B5EF4-FFF2-40B4-BE49-F238E27FC236}">
              <a16:creationId xmlns:a16="http://schemas.microsoft.com/office/drawing/2014/main" id="{29EF744F-1A71-40D2-94E8-C7CACDF7896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7</xdr:col>
      <xdr:colOff>56030</xdr:colOff>
      <xdr:row>6</xdr:row>
      <xdr:rowOff>11206</xdr:rowOff>
    </xdr:from>
    <xdr:to>
      <xdr:col>14</xdr:col>
      <xdr:colOff>190501</xdr:colOff>
      <xdr:row>19</xdr:row>
      <xdr:rowOff>188261</xdr:rowOff>
    </xdr:to>
    <xdr:graphicFrame macro="">
      <xdr:nvGraphicFramePr>
        <xdr:cNvPr id="6" name="Diagram 5">
          <a:extLst>
            <a:ext uri="{FF2B5EF4-FFF2-40B4-BE49-F238E27FC236}">
              <a16:creationId xmlns:a16="http://schemas.microsoft.com/office/drawing/2014/main" id="{59140B1D-45D3-4C1A-A09B-55A66E698FE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1" r:lo="rId22" r:qs="rId23" r:cs="rId24"/>
        </a:graphicData>
      </a:graphic>
    </xdr:graphicFrame>
    <xdr:clientData/>
  </xdr:twoCellAnchor>
  <xdr:twoCellAnchor>
    <xdr:from>
      <xdr:col>6</xdr:col>
      <xdr:colOff>537883</xdr:colOff>
      <xdr:row>32</xdr:row>
      <xdr:rowOff>123266</xdr:rowOff>
    </xdr:from>
    <xdr:to>
      <xdr:col>14</xdr:col>
      <xdr:colOff>67237</xdr:colOff>
      <xdr:row>46</xdr:row>
      <xdr:rowOff>109821</xdr:rowOff>
    </xdr:to>
    <xdr:graphicFrame macro="">
      <xdr:nvGraphicFramePr>
        <xdr:cNvPr id="7" name="Diagram 6">
          <a:extLst>
            <a:ext uri="{FF2B5EF4-FFF2-40B4-BE49-F238E27FC236}">
              <a16:creationId xmlns:a16="http://schemas.microsoft.com/office/drawing/2014/main" id="{4147E4F6-834E-43B4-BB7E-6F482082DDA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6" r:lo="rId27" r:qs="rId28" r:cs="rId29"/>
        </a:graphicData>
      </a:graphic>
    </xdr:graphicFrame>
    <xdr:clientData/>
  </xdr:twoCellAnchor>
  <xdr:twoCellAnchor>
    <xdr:from>
      <xdr:col>6</xdr:col>
      <xdr:colOff>401170</xdr:colOff>
      <xdr:row>56</xdr:row>
      <xdr:rowOff>53787</xdr:rowOff>
    </xdr:from>
    <xdr:to>
      <xdr:col>13</xdr:col>
      <xdr:colOff>535642</xdr:colOff>
      <xdr:row>70</xdr:row>
      <xdr:rowOff>40342</xdr:rowOff>
    </xdr:to>
    <xdr:graphicFrame macro="">
      <xdr:nvGraphicFramePr>
        <xdr:cNvPr id="8" name="Diagram 7">
          <a:extLst>
            <a:ext uri="{FF2B5EF4-FFF2-40B4-BE49-F238E27FC236}">
              <a16:creationId xmlns:a16="http://schemas.microsoft.com/office/drawing/2014/main" id="{517A8C2D-6A4A-42A6-8166-F75AED6EB38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1" r:lo="rId32" r:qs="rId33" r:cs="rId34"/>
        </a:graphicData>
      </a:graphic>
    </xdr:graphicFrame>
    <xdr:clientData/>
  </xdr:twoCellAnchor>
  <xdr:twoCellAnchor>
    <xdr:from>
      <xdr:col>7</xdr:col>
      <xdr:colOff>44826</xdr:colOff>
      <xdr:row>81</xdr:row>
      <xdr:rowOff>100854</xdr:rowOff>
    </xdr:from>
    <xdr:to>
      <xdr:col>13</xdr:col>
      <xdr:colOff>2</xdr:colOff>
      <xdr:row>94</xdr:row>
      <xdr:rowOff>67237</xdr:rowOff>
    </xdr:to>
    <xdr:graphicFrame macro="">
      <xdr:nvGraphicFramePr>
        <xdr:cNvPr id="9" name="Diagram 8">
          <a:extLst>
            <a:ext uri="{FF2B5EF4-FFF2-40B4-BE49-F238E27FC236}">
              <a16:creationId xmlns:a16="http://schemas.microsoft.com/office/drawing/2014/main" id="{6AA533DF-578F-4107-8E19-00AB37213A8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6" r:lo="rId37" r:qs="rId38" r:cs="rId39"/>
        </a:graphicData>
      </a:graphic>
    </xdr:graphicFrame>
    <xdr:clientData/>
  </xdr:twoCellAnchor>
  <xdr:twoCellAnchor>
    <xdr:from>
      <xdr:col>7</xdr:col>
      <xdr:colOff>0</xdr:colOff>
      <xdr:row>187</xdr:row>
      <xdr:rowOff>0</xdr:rowOff>
    </xdr:from>
    <xdr:to>
      <xdr:col>14</xdr:col>
      <xdr:colOff>134471</xdr:colOff>
      <xdr:row>200</xdr:row>
      <xdr:rowOff>121026</xdr:rowOff>
    </xdr:to>
    <xdr:graphicFrame macro="">
      <xdr:nvGraphicFramePr>
        <xdr:cNvPr id="10" name="Diagram 9">
          <a:extLst>
            <a:ext uri="{FF2B5EF4-FFF2-40B4-BE49-F238E27FC236}">
              <a16:creationId xmlns:a16="http://schemas.microsoft.com/office/drawing/2014/main" id="{6D868BF5-6E41-49D6-B090-14914CB014B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1" r:lo="rId42" r:qs="rId43" r:cs="rId44"/>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Guest User" id="{0B6E2B93-7609-4A6D-9199-FE09D08C2DF8}" userId="" providerId="Windows Live"/>
  <person displayName="Ravindra Singh Rathore" id="{A9C75943-C7BB-4438-B63E-4C594B46499E}" userId="2a8e3debf86ef558" providerId="Windows Live"/>
  <person displayName="Priyam Nandwana" id="{7B514B71-CB38-418D-911D-304CBF5336EA}" userId="91ee4bf60c7ce67e"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8E278F-3AE8-446D-ACB1-69F085ED2939}" name="Table1" displayName="Table1" ref="A1:G34" headerRowDxfId="152">
  <autoFilter ref="A1:G34" xr:uid="{2A8E278F-3AE8-446D-ACB1-69F085ED29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297FC05B-AC5B-416D-8317-50F4F51206B1}" name="e" totalsRowLabel="Total" dataDxfId="151"/>
    <tableColumn id="2" xr3:uid="{8D372F1F-BDFF-4A09-95BE-21618DFF1152}" name="Category" dataDxfId="150"/>
    <tableColumn id="3" xr3:uid="{864FBA1D-967C-491A-85AF-7C9CFF4DABC5}" name="Size" dataDxfId="149"/>
    <tableColumn id="4" xr3:uid="{0545E033-03D4-4679-9BD4-23095180CA70}" name="Quantity" dataDxfId="148"/>
    <tableColumn id="5" xr3:uid="{9C6A5471-C53C-4EE5-8CF7-7514D569FA85}" name="Description/ Requirement" dataDxfId="147"/>
    <tableColumn id="6" xr3:uid="{C6F8118E-B807-485C-AB92-85725F0191D0}" name="Space Consideration " totalsRowFunction="count" dataDxfId="146"/>
    <tableColumn id="7" xr3:uid="{DA3A1217-FAF3-46AF-B983-FA36A1F8A2CD}" name="Remark " dataDxfId="145"/>
  </tableColumns>
  <tableStyleInfo name="TableStyleLight8" showFirstColumn="1"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229A63-C107-4DE0-8B4C-59C978F14FE7}" name="Table4" displayName="Table4" ref="A174:H239" totalsRowShown="0" headerRowDxfId="144" dataDxfId="142" headerRowBorderDxfId="143" tableBorderDxfId="141" totalsRowBorderDxfId="140">
  <autoFilter ref="A174:H239" xr:uid="{37EF7C12-92C8-4B7B-9416-ECDFF6C14D65}"/>
  <tableColumns count="8">
    <tableColumn id="1" xr3:uid="{B8F1B805-D01B-4B3C-BCD8-D52DA3C30C5C}" name="Borewell" dataDxfId="139"/>
    <tableColumn id="2" xr3:uid="{622678A3-8DFF-4A7A-ADEB-01C10535B98F}" name="Column1" dataDxfId="138"/>
    <tableColumn id="3" xr3:uid="{64C77C4B-55A0-439E-9A42-0FB24E3B90E9}" name="Column2" dataDxfId="137"/>
    <tableColumn id="4" xr3:uid="{BBE6E126-BF23-4E09-BDA6-57A7D371FDAE}" name="Column3" dataDxfId="136"/>
    <tableColumn id="5" xr3:uid="{17C18302-015F-40E5-9096-F89AD220262E}" name="Column4" dataDxfId="135"/>
    <tableColumn id="6" xr3:uid="{46BF82F0-2004-493B-995A-E034E13E2338}" name="Column5" dataDxfId="134"/>
    <tableColumn id="7" xr3:uid="{7AB421E0-A22B-44EF-83E0-3EBF4377649D}" name="Column6" dataDxfId="133"/>
    <tableColumn id="8" xr3:uid="{57903383-94EC-4FE7-9AFF-0C399D099626}" name="Column7" dataDxfId="1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244479-73FD-49A2-885D-0F89755FEF7F}" name="Table5" displayName="Table5" ref="A242:H303" totalsRowShown="0" headerRowDxfId="131" dataDxfId="129" headerRowBorderDxfId="130" tableBorderDxfId="128" totalsRowBorderDxfId="127">
  <autoFilter ref="A242:H303" xr:uid="{6DD6E981-F8F3-43BE-A0D3-DA9D97BE5843}"/>
  <tableColumns count="8">
    <tableColumn id="1" xr3:uid="{1C1FD710-D68D-4C24-AE0B-170C511F28F3}" name="Irrigation Drainage" dataDxfId="126"/>
    <tableColumn id="2" xr3:uid="{5A2A6DB8-73CF-41F4-B25D-51BE5F0FB211}" name="Column1" dataDxfId="125"/>
    <tableColumn id="3" xr3:uid="{3EE042D3-9EF8-45D5-8FDC-EFC1FD001805}" name="Column2" dataDxfId="124"/>
    <tableColumn id="4" xr3:uid="{81D7AC06-A73C-44A3-A8ED-396F7DAE163B}" name="Column3" dataDxfId="123"/>
    <tableColumn id="5" xr3:uid="{6E18C954-86FA-4A3D-9051-097AE3EDDC7B}" name="Column4" dataDxfId="122"/>
    <tableColumn id="6" xr3:uid="{F5F020CB-8DAE-48B5-B1F6-DF51F5D7C1E5}" name="Column5" dataDxfId="121"/>
    <tableColumn id="7" xr3:uid="{B557C909-2061-4B9D-AE4E-5970C7EF9327}" name="Column6" dataDxfId="120"/>
    <tableColumn id="8" xr3:uid="{8BE05627-FE81-4736-9005-1DCC9528A88F}" name="Column7" dataDxfId="11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E542A5-E8D9-4390-A783-90B963555D52}" name="Table6" displayName="Table6" ref="A306:I327" totalsRowShown="0" headerRowDxfId="118" dataDxfId="116" headerRowBorderDxfId="117" tableBorderDxfId="115" totalsRowBorderDxfId="114">
  <autoFilter ref="A306:I327" xr:uid="{4506A3E0-5F11-418C-9D94-1D0F4C2728B9}"/>
  <tableColumns count="9">
    <tableColumn id="1" xr3:uid="{BC55E2A9-7887-488A-810F-101AE9943FDC}" name="Irrigation " dataDxfId="113"/>
    <tableColumn id="2" xr3:uid="{46C705E5-0278-4562-ACC7-1F377DB82629}" name="Column1" dataDxfId="112"/>
    <tableColumn id="3" xr3:uid="{A52B4B0C-E680-42FF-BA98-F0729E0D2083}" name="Column2" dataDxfId="111"/>
    <tableColumn id="4" xr3:uid="{B8FCD25F-6C2A-4E25-8E27-C7E930F7FC38}" name="Column3" dataDxfId="110"/>
    <tableColumn id="5" xr3:uid="{E194A327-788E-427B-AE65-DDB3E9822983}" name="Column4" dataDxfId="109"/>
    <tableColumn id="6" xr3:uid="{5767F466-A044-45B5-9A88-47208CAA4339}" name="Column5" dataDxfId="108"/>
    <tableColumn id="7" xr3:uid="{67C93E3A-40D2-4A69-9755-19FDF5157AA5}" name="Column6" dataDxfId="107"/>
    <tableColumn id="8" xr3:uid="{05D7E046-C94A-43BC-9E6A-122A704D68B8}" name="Column7" dataDxfId="106"/>
    <tableColumn id="9" xr3:uid="{1E6937AA-A82D-4C77-A307-8765F25BC606}" name="Column8" dataDxfId="10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97580BC-BFD3-4BE3-AA5F-6D283BDE3D9D}" name="Table8" displayName="Table8" ref="A331:H416" totalsRowShown="0" headerRowDxfId="104" dataDxfId="102" headerRowBorderDxfId="103" tableBorderDxfId="101" totalsRowBorderDxfId="100">
  <autoFilter ref="A331:H416" xr:uid="{89F49BF9-FB2B-49AC-B66A-9262867E6D96}"/>
  <tableColumns count="8">
    <tableColumn id="1" xr3:uid="{3A4127A3-E68A-40CA-9F05-8CF8DA229FC6}" name="Sr. No." dataDxfId="99"/>
    <tableColumn id="2" xr3:uid="{FFE67AC2-69A2-466E-9ED0-FFAA8A6A1296}" name="Material " dataDxfId="98"/>
    <tableColumn id="3" xr3:uid="{B7B24B5C-3D90-4CE4-9AEC-1683A7928DD3}" name="Description" dataDxfId="97"/>
    <tableColumn id="4" xr3:uid="{B5CC9270-8095-481C-9AD9-168D6FD051DA}" name="Pressure rating " dataDxfId="96"/>
    <tableColumn id="5" xr3:uid="{C39D9272-ABE7-4C9A-BFD0-02A864101CAB}" name="Size" dataDxfId="95"/>
    <tableColumn id="6" xr3:uid="{DE339C4F-BC07-41BB-828A-C99A3679CDD2}" name="Qty " dataDxfId="94"/>
    <tableColumn id="7" xr3:uid="{3454453E-91CA-4011-932F-24F499E9E607}" name="UoM " dataDxfId="93"/>
    <tableColumn id="8" xr3:uid="{E5C2BD07-A536-4176-B8ED-3CB302113D69}" name="Remark" dataDxfId="9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F413412-417F-49A8-94ED-4CA03BA93299}" name="Table9" displayName="Table9" ref="A420:H434" totalsRowShown="0" headerRowDxfId="91" dataDxfId="89" headerRowBorderDxfId="90" tableBorderDxfId="88" totalsRowBorderDxfId="87">
  <autoFilter ref="A420:H434" xr:uid="{A7932270-764C-43CE-A227-FBB7D10950BA}"/>
  <tableColumns count="8">
    <tableColumn id="1" xr3:uid="{CE3950ED-799C-447B-A45F-911838295789}" name="Sr. No." dataDxfId="86"/>
    <tableColumn id="2" xr3:uid="{CAC49F8B-303E-468D-8601-ECAE1F84CD04}" name="Material " dataDxfId="85"/>
    <tableColumn id="3" xr3:uid="{EFF3968E-F62D-4468-8FA8-9DF3DFA2AF94}" name="Description" dataDxfId="84"/>
    <tableColumn id="4" xr3:uid="{CAC11D46-D79D-4E74-B0CE-099C65FAD271}" name="Pressure rating " dataDxfId="83"/>
    <tableColumn id="5" xr3:uid="{1AD5E6E5-DFE8-4198-BF56-3B46D3E6D321}" name="Size" dataDxfId="82"/>
    <tableColumn id="6" xr3:uid="{FC8C2A76-B0B1-49ED-98EA-07529017EBAC}" name="Qty " dataDxfId="81"/>
    <tableColumn id="7" xr3:uid="{B17532EB-EED1-4935-B76F-43EEF8F33CE5}" name="UoM " dataDxfId="80"/>
    <tableColumn id="8" xr3:uid="{77B98772-FFD8-4537-8447-FFB73CB3E030}" name="Remark" dataDxfId="7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FEF10C1-5437-4E7E-A5B0-CD6F296E70E7}" name="Table10" displayName="Table10" ref="A438:H452" totalsRowShown="0" headerRowDxfId="78" dataDxfId="77" tableBorderDxfId="76">
  <autoFilter ref="A438:H452" xr:uid="{B02A9400-86BD-400B-99D8-7860728EDCA5}"/>
  <tableColumns count="8">
    <tableColumn id="1" xr3:uid="{829E8C0E-7D83-4239-934B-153F7DFAD1F0}" name="Sr. No." dataDxfId="75"/>
    <tableColumn id="2" xr3:uid="{96E68286-99AE-471E-9D8B-5A38758AE277}" name="Material " dataDxfId="74"/>
    <tableColumn id="3" xr3:uid="{5CBDE751-CB18-4530-9200-22C976041728}" name="Description" dataDxfId="73"/>
    <tableColumn id="4" xr3:uid="{4F94BEEE-0BE2-42E4-A251-1E9A13271DDE}" name="Pressure rating " dataDxfId="72"/>
    <tableColumn id="5" xr3:uid="{C2F2832C-3A42-4B62-A119-655D5541F880}" name="Size" dataDxfId="71"/>
    <tableColumn id="6" xr3:uid="{F5E252DF-E35B-49F1-B90E-4D7E4706AC4A}" name="Qty " dataDxfId="70"/>
    <tableColumn id="7" xr3:uid="{39FE3E02-2F58-45BA-90F3-4EDB85C9ECF0}" name="UoM " dataDxfId="69"/>
    <tableColumn id="8" xr3:uid="{F7246B76-D328-40B6-9475-059A72147BFD}" name="Remark" dataDxfId="6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3357FE4-B442-4F19-8CFF-F3B606BCC98E}" name="Table11" displayName="Table11" ref="A456:H470" totalsRowShown="0" headerRowDxfId="67" dataDxfId="66" tableBorderDxfId="65">
  <autoFilter ref="A456:H470" xr:uid="{2774E3EF-FA58-48DF-B37D-9C2782E3BB79}"/>
  <tableColumns count="8">
    <tableColumn id="1" xr3:uid="{05C87AA7-B614-4E71-B9C4-F9D5530A9366}" name="Sr. No." dataDxfId="64"/>
    <tableColumn id="2" xr3:uid="{DDF99F0A-5BDD-43C2-97CA-0F40DE16E6DC}" name="Material " dataDxfId="63"/>
    <tableColumn id="3" xr3:uid="{8250DE50-968A-4F12-9C00-BD2DC079F16B}" name="Description" dataDxfId="62"/>
    <tableColumn id="4" xr3:uid="{88C7B3BE-AA88-45AE-AB66-AD4CE33A606A}" name="Pressure rating " dataDxfId="61"/>
    <tableColumn id="5" xr3:uid="{79E2123A-6C9D-41DB-8EEB-D50B01DC4119}" name="Size" dataDxfId="60"/>
    <tableColumn id="6" xr3:uid="{DAFB43AB-8DC4-4BFB-9777-0FAACE1A61BE}" name="Qty " dataDxfId="59"/>
    <tableColumn id="7" xr3:uid="{1985DFBE-DD40-45E8-9BB6-46FB733072B3}" name="UoM " dataDxfId="58"/>
    <tableColumn id="8" xr3:uid="{C51A64A6-9158-43DE-8C1E-3A0EBF59FDCC}" name="Remark" dataDxfId="5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C28CAD8-E3D8-409C-B039-12193086B56A}" name="Table12" displayName="Table12" ref="A474:H490" totalsRowShown="0" headerRowDxfId="56" dataDxfId="55" tableBorderDxfId="54">
  <autoFilter ref="A474:H490" xr:uid="{B5A3A40F-033A-4F83-BDFE-A096262FF0DB}"/>
  <tableColumns count="8">
    <tableColumn id="1" xr3:uid="{E4D012D2-ED69-419A-AE3E-372D8A59C634}" name="Sr. No." dataDxfId="53"/>
    <tableColumn id="2" xr3:uid="{9C85A665-B83F-424C-ACA0-ECC3041CEE21}" name="Material " dataDxfId="52"/>
    <tableColumn id="3" xr3:uid="{ADDD9C02-12A1-4AF9-958C-5136221F0C9E}" name="Description" dataDxfId="51"/>
    <tableColumn id="4" xr3:uid="{0681F4D6-8418-48AD-B782-09D4C49BAE6B}" name="Pressure rating " dataDxfId="50"/>
    <tableColumn id="5" xr3:uid="{5EC05807-4A9B-43F6-BF22-8F94D56F1E01}" name="Size" dataDxfId="49"/>
    <tableColumn id="6" xr3:uid="{CA3B2EE1-A3F6-40F5-ADE8-DC4711BFEEFA}" name="Qty " dataDxfId="48"/>
    <tableColumn id="7" xr3:uid="{8FFC74E9-195D-4CEA-8E27-E279D8FD9370}" name="UoM " dataDxfId="47"/>
    <tableColumn id="8" xr3:uid="{A9CF7F2B-35D2-415D-A0B4-C6BB4872B97A}" name="Remark" dataDxfId="4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5A5D3A1-7917-450A-BFE3-25589EDBCBE9}" name="Table13" displayName="Table13" ref="A494:H510" totalsRowShown="0" headerRowDxfId="45" dataDxfId="44" tableBorderDxfId="43">
  <autoFilter ref="A494:H510" xr:uid="{FAFD7EF7-EEBD-4EF6-BF76-EFFE714AF233}"/>
  <tableColumns count="8">
    <tableColumn id="1" xr3:uid="{308533A5-FB13-4AA9-BCB5-1A5577AFCF4B}" name="Sr. No." dataDxfId="42"/>
    <tableColumn id="2" xr3:uid="{CC88E740-D0DF-449B-9257-7F88A77A7D26}" name="Material " dataDxfId="41"/>
    <tableColumn id="3" xr3:uid="{8258A516-4350-478D-B37C-960C8583B52C}" name="Description" dataDxfId="40"/>
    <tableColumn id="4" xr3:uid="{52280C42-149B-47A2-A34A-41F0F2272191}" name="Pressure rating " dataDxfId="39"/>
    <tableColumn id="5" xr3:uid="{C32E39DA-CA3B-4D9F-B8E9-36137B65BC2F}" name="Size" dataDxfId="38"/>
    <tableColumn id="6" xr3:uid="{7A73731C-89EF-4F7D-B70A-50C0F54754EF}" name="Qty " dataDxfId="37"/>
    <tableColumn id="7" xr3:uid="{F26DDF75-DD06-4213-A0E0-90DD5C89B17A}" name="UoM " dataDxfId="36"/>
    <tableColumn id="8" xr3:uid="{6DED18FD-0499-4DC7-B7ED-EE101A61913A}" name="Remark" dataDxfId="3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F2FAC19-BE57-47CB-8A20-384612E021CC}" name="Table2" displayName="Table2" ref="A44:H105" totalsRowShown="0" headerRowDxfId="34" dataDxfId="32" headerRowBorderDxfId="33" tableBorderDxfId="31" totalsRowBorderDxfId="30">
  <tableColumns count="8">
    <tableColumn id="1" xr3:uid="{61FBB37A-91E6-47FD-BB77-88F7B0591286}" name="Sr. No." dataDxfId="29"/>
    <tableColumn id="2" xr3:uid="{E8E69B57-B2B6-42A1-9C9C-6F23FD452AB6}" name="Material " dataDxfId="28"/>
    <tableColumn id="3" xr3:uid="{3D9BDC2F-8992-4093-80A3-0D13422FA120}" name="Description" dataDxfId="27"/>
    <tableColumn id="4" xr3:uid="{F67BBFAF-E898-470D-BD8C-021132BDA3EA}" name="Pressure rating " dataDxfId="26"/>
    <tableColumn id="5" xr3:uid="{6212AA73-5DA8-4BCD-921D-E63FF8E2ADE5}" name="Size" dataDxfId="25"/>
    <tableColumn id="6" xr3:uid="{8005CAD5-BEFF-4779-89B8-E4FAF38F2F36}" name="Qty " dataDxfId="24"/>
    <tableColumn id="7" xr3:uid="{5C85CC97-2162-4765-96FD-FCD1776791DD}" name="UoM " dataDxfId="23"/>
    <tableColumn id="8" xr3:uid="{EEEE9B28-6A09-4B6A-A3A2-ECDB8A699BB8}" name="Remark" dataDxfId="2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E2AC58B-3519-4A58-BD2A-3FD4D454B898}" name="Table3" displayName="Table3" ref="A110:H171" totalsRowShown="0" dataDxfId="20" headerRowBorderDxfId="21" tableBorderDxfId="19" totalsRowBorderDxfId="18">
  <autoFilter ref="A110:H171" xr:uid="{0F1C3F13-30CB-4DCB-AA8F-806466A33730}"/>
  <tableColumns count="8">
    <tableColumn id="1" xr3:uid="{8ED4D82B-856C-4FF7-BEEA-F5697EEE9968}" name="Column1" dataDxfId="17"/>
    <tableColumn id="2" xr3:uid="{EF4EC906-BA64-4167-B13E-388E028F371E}" name="Column2" dataDxfId="16"/>
    <tableColumn id="3" xr3:uid="{6D214F52-335F-4FBD-98F1-A64ED8B73638}" name="Column3" dataDxfId="15"/>
    <tableColumn id="4" xr3:uid="{9A5BC6F3-C649-43F0-BE43-7ED8B47B6D8F}" name="Column4" dataDxfId="14"/>
    <tableColumn id="5" xr3:uid="{87107045-456A-497E-A9E0-10DE64341C89}" name="Column5" dataDxfId="13"/>
    <tableColumn id="6" xr3:uid="{50D2793E-2A79-4846-83AC-8F0C31E2822F}" name="Column6" dataDxfId="12"/>
    <tableColumn id="7" xr3:uid="{AC851BAB-A1A9-4C94-AFF1-BC83A48FF40D}" name="Column7" dataDxfId="11"/>
    <tableColumn id="8" xr3:uid="{C5DCB406-26C6-4F71-8436-A949A4C8B3DA}" name="Column8" dataDxfId="1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hreadedComments/threadedComment1.xml><?xml version="1.0" encoding="utf-8"?>
<ThreadedComments xmlns="http://schemas.microsoft.com/office/spreadsheetml/2018/threadedcomments" xmlns:x="http://schemas.openxmlformats.org/spreadsheetml/2006/main">
  <threadedComment ref="AN2" dT="2025-03-03T05:11:18.39" personId="{7B514B71-CB38-418D-911D-304CBF5336EA}" id="{25163B7B-B220-4829-9B49-853E54928262}">
    <text xml:space="preserve">This is Growing length not the count of Growing chambers. 
Number of growing chamber will be counted on the spacing between them. </text>
  </threadedComment>
</ThreadedComments>
</file>

<file path=xl/threadedComments/threadedComment2.xml><?xml version="1.0" encoding="utf-8"?>
<ThreadedComments xmlns="http://schemas.microsoft.com/office/spreadsheetml/2018/threadedcomments" xmlns:x="http://schemas.openxmlformats.org/spreadsheetml/2006/main">
  <threadedComment ref="E120" dT="2024-12-19T08:52:51.08" personId="{A9C75943-C7BB-4438-B63E-4C594B46499E}" id="{BD8EE60A-44A9-4C8C-ADB6-347DA0831714}">
    <text>Ye final hai amit sir ki taraf se</text>
  </threadedComment>
  <threadedComment ref="E120" dT="2024-12-19T10:25:29.08" personId="{A9C75943-C7BB-4438-B63E-4C594B46499E}" id="{536F3ABD-541E-48B9-8496-7871F1A74B10}" parentId="{BD8EE60A-44A9-4C8C-ADB6-347DA0831714}">
    <text xml:space="preserve">Ab nahi hai final, Tank ki capacity kam karni hai
</text>
  </threadedComment>
</ThreadedComments>
</file>

<file path=xl/threadedComments/threadedComment3.xml><?xml version="1.0" encoding="utf-8"?>
<ThreadedComments xmlns="http://schemas.microsoft.com/office/spreadsheetml/2018/threadedcomments" xmlns:x="http://schemas.openxmlformats.org/spreadsheetml/2006/main">
  <threadedComment ref="B15" dT="2024-11-26T08:36:31.70" personId="{0B6E2B93-7609-4A6D-9199-FE09D08C2DF8}" id="{71BE635E-3034-4D0A-897F-76E9A6DCC2D5}">
    <text xml:space="preserve">these are yet to be put up here. </text>
  </threadedComment>
</ThreadedComments>
</file>

<file path=xl/threadedComments/threadedComment4.xml><?xml version="1.0" encoding="utf-8"?>
<ThreadedComments xmlns="http://schemas.microsoft.com/office/spreadsheetml/2018/threadedcomments" xmlns:x="http://schemas.openxmlformats.org/spreadsheetml/2006/main">
  <threadedComment ref="C58" dT="2024-11-26T08:55:59.27" personId="{0B6E2B93-7609-4A6D-9199-FE09D08C2DF8}" id="{6839EB78-933F-4DD5-B55E-D71D015693EB}">
    <text xml:space="preserve">@priyam
</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63" row="9">
    <wetp:webextensionref xmlns:r="http://schemas.openxmlformats.org/officeDocument/2006/relationships" r:id="rId1"/>
  </wetp:taskpane>
  <wetp:taskpane dockstate="right" visibility="0" width="700" row="11">
    <wetp:webextensionref xmlns:r="http://schemas.openxmlformats.org/officeDocument/2006/relationships" r:id="rId2"/>
  </wetp:taskpane>
</wetp:taskpanes>
</file>

<file path=xl/webextensions/webextension1.xml><?xml version="1.0" encoding="utf-8"?>
<we:webextension xmlns:we="http://schemas.microsoft.com/office/webextensions/webextension/2010/11" id="{0E94761E-0E0D-477D-8146-085F467E4753}">
  <we:reference id="wa200006253" version="1.6.0.0" store="en-US" storeType="OMEX"/>
  <we:alternateReferences>
    <we:reference id="WA200006253" version="1.6.0.0" store="WA200006253"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_xldudf_JS_ID4_ACRONYM</we:customFunctionIds>
        <we:customFunctionIds>_xldudf_JS_ID4_ADDNUMBERS</we:customFunctionIds>
        <we:customFunctionIds>_xldudf_JS_ID4_AGE</we:customFunctionIds>
        <we:customFunctionIds>_xldudf_JS_ID4_AVERAGEVISIBLEIFS</we:customFunctionIds>
        <we:customFunctionIds>_xldudf_JS_ID4_CONTAINS</we:customFunctionIds>
        <we:customFunctionIds>_xldudf_JS_ID4_COUNTBETWEEN</we:customFunctionIds>
        <we:customFunctionIds>_xldudf_JS_ID4_COUNTFORMAT</we:customFunctionIds>
        <we:customFunctionIds>_xldudf_JS_ID4_COUNTHIDDENSHEETST</we:customFunctionIds>
        <we:customFunctionIds>_xldudf_JS_ID4_COUNTSUBSTRING</we:customFunctionIds>
        <we:customFunctionIds>_xldudf_JS_ID4_COUNTVISIBLE</we:customFunctionIds>
        <we:customFunctionIds>_xldudf_JS_ID4_COUNTVISIBLEIFS</we:customFunctionIds>
        <we:customFunctionIds>_xldudf_JS_ID4_DATEDIFFERENCE</we:customFunctionIds>
        <we:customFunctionIds>_xldudf_JS_ID4_DATESERIAL</we:customFunctionIds>
        <we:customFunctionIds>_xldudf_JS_ID4_DAYSTO</we:customFunctionIds>
        <we:customFunctionIds>_xldudf_JS_ID4_DAYSTOCHRISTMAS</we:customFunctionIds>
        <we:customFunctionIds>_xldudf_JS_ID4_MAXVISIBLEIFS</we:customFunctionIds>
        <we:customFunctionIds>_xldudf_JS_ID4_MINVISIBLEIFS</we:customFunctionIds>
        <we:customFunctionIds>_xldudf_JS_ID4_REVERSE</we:customFunctionIds>
        <we:customFunctionIds>_xldudf_JS_ID4_SAMPLEDATA</we:customFunctionIds>
        <we:customFunctionIds>_xldudf_JS_ID4_SCRAMBLE</we:customFunctionIds>
        <we:customFunctionIds>_xldudf_JS_ID4_SPELLNUMBER</we:customFunctionIds>
        <we:customFunctionIds>_xldudf_JS_ID4_SPELLNUMBERREVERSE</we:customFunctionIds>
        <we:customFunctionIds>_xldudf_JS_ID4_SUMVISIBLE</we:customFunctionIds>
        <we:customFunctionIds>_xldudf_JS_ID4_SUMVISIBLEIFS</we:customFunctionIds>
        <we:customFunctionIds>_xldudf_JS_ID4_TESTING</we:customFunctionIds>
      </we:customFunctionIdList>
    </a:ext>
  </we:extLst>
</we:webextension>
</file>

<file path=xl/webextensions/webextension2.xml><?xml version="1.0" encoding="utf-8"?>
<we:webextension xmlns:we="http://schemas.microsoft.com/office/webextensions/webextension/2010/11" id="{31986302-25E5-4611-A9EA-D5FD0F8C72BF}">
  <we:reference id="wa200005502" version="1.0.0.11" store="en-US" storeType="OMEX"/>
  <we:alternateReferences>
    <we:reference id="wa200005502" version="1.0.0.11" store="wa200005502" storeType="OMEX"/>
  </we:alternateReferences>
  <we:properties>
    <we:property name="docId" value="&quot;O8iyV00_RGASjFzOrT41F&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1drv.ms/x/s!An7mfAz2S-6Ro3GoUqcbxgIaD5cD?e=83OflJ" TargetMode="External"/><Relationship Id="rId1" Type="http://schemas.openxmlformats.org/officeDocument/2006/relationships/hyperlink" Target="https://1drv.ms/x/s!An7mfAz2S-6Ro282T8ymsHwOL8Ra?e=8WUCgG"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 Id="rId4" Type="http://schemas.microsoft.com/office/2017/10/relationships/threadedComment" Target="../threadedComments/threadedComment4.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printerSettings" Target="../printerSettings/printerSettings18.bin"/><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2396F-1DB2-4676-B544-A122FF107E16}">
  <sheetPr>
    <tabColor theme="8" tint="0.79998168889431442"/>
    <pageSetUpPr fitToPage="1"/>
  </sheetPr>
  <dimension ref="A1:N58"/>
  <sheetViews>
    <sheetView zoomScale="72" zoomScaleNormal="115" workbookViewId="0">
      <selection activeCell="R22" sqref="R22"/>
    </sheetView>
  </sheetViews>
  <sheetFormatPr defaultColWidth="9.1328125" defaultRowHeight="15" customHeight="1" x14ac:dyDescent="0.45"/>
  <cols>
    <col min="1" max="3" width="9.1328125" style="79"/>
    <col min="4" max="4" width="11.265625" style="79" customWidth="1"/>
    <col min="5" max="5" width="11.3984375" style="79" customWidth="1"/>
    <col min="6" max="6" width="14.86328125" style="79" bestFit="1" customWidth="1"/>
    <col min="7" max="8" width="14.265625" style="79" bestFit="1" customWidth="1"/>
    <col min="9" max="10" width="9.1328125" style="79"/>
    <col min="11" max="11" width="6" style="79" bestFit="1" customWidth="1"/>
    <col min="12" max="12" width="20.1328125" style="79" bestFit="1" customWidth="1"/>
    <col min="13" max="13" width="14.59765625" style="79" bestFit="1" customWidth="1"/>
    <col min="14" max="14" width="21" style="79" bestFit="1" customWidth="1"/>
    <col min="15" max="16384" width="9.1328125" style="79"/>
  </cols>
  <sheetData>
    <row r="1" spans="1:14" ht="18" customHeight="1" x14ac:dyDescent="0.45">
      <c r="A1" s="520" t="s">
        <v>0</v>
      </c>
      <c r="B1" s="520" t="s">
        <v>1</v>
      </c>
      <c r="C1" s="520" t="s">
        <v>2</v>
      </c>
      <c r="D1" s="522" t="s">
        <v>3</v>
      </c>
      <c r="E1" s="522"/>
      <c r="K1" s="517" t="s">
        <v>4</v>
      </c>
      <c r="L1" s="517"/>
      <c r="M1" s="517"/>
      <c r="N1" s="517"/>
    </row>
    <row r="2" spans="1:14" ht="14.25" x14ac:dyDescent="0.45">
      <c r="A2" s="520"/>
      <c r="B2" s="520"/>
      <c r="C2" s="520"/>
      <c r="D2" s="373" t="s">
        <v>5</v>
      </c>
      <c r="E2" s="373" t="s">
        <v>6</v>
      </c>
      <c r="K2" s="473" t="s">
        <v>7</v>
      </c>
      <c r="L2" s="473" t="s">
        <v>8</v>
      </c>
      <c r="M2" s="473" t="s">
        <v>9</v>
      </c>
      <c r="N2" s="473" t="s">
        <v>10</v>
      </c>
    </row>
    <row r="3" spans="1:14" ht="14.25" x14ac:dyDescent="0.45">
      <c r="A3" s="490" t="s">
        <v>11</v>
      </c>
      <c r="B3" s="490">
        <v>1</v>
      </c>
      <c r="C3" s="490" t="s">
        <v>12</v>
      </c>
      <c r="D3" s="304">
        <v>2864</v>
      </c>
      <c r="E3" s="374">
        <f t="shared" ref="E3:E17" si="0">D3/4047</f>
        <v>0.70768470471954537</v>
      </c>
      <c r="K3" s="490">
        <v>1</v>
      </c>
      <c r="L3" s="490" t="s">
        <v>13</v>
      </c>
      <c r="M3" s="375">
        <v>2864</v>
      </c>
      <c r="N3" s="376">
        <f>M3/$D$20</f>
        <v>1.8041967733603795E-2</v>
      </c>
    </row>
    <row r="4" spans="1:14" ht="14.25" x14ac:dyDescent="0.45">
      <c r="A4" s="490" t="s">
        <v>11</v>
      </c>
      <c r="B4" s="490">
        <v>2</v>
      </c>
      <c r="C4" s="490" t="s">
        <v>14</v>
      </c>
      <c r="D4" s="304">
        <v>8521</v>
      </c>
      <c r="E4" s="374">
        <f t="shared" si="0"/>
        <v>2.1055102545095132</v>
      </c>
      <c r="K4" s="490">
        <v>2</v>
      </c>
      <c r="L4" s="490" t="s">
        <v>15</v>
      </c>
      <c r="M4" s="375">
        <v>8521</v>
      </c>
      <c r="N4" s="376">
        <f t="shared" ref="N4:N49" si="1">M4/$D$20</f>
        <v>5.3678633749314919E-2</v>
      </c>
    </row>
    <row r="5" spans="1:14" ht="14.25" x14ac:dyDescent="0.45">
      <c r="A5" s="490" t="s">
        <v>11</v>
      </c>
      <c r="B5" s="490">
        <v>3</v>
      </c>
      <c r="C5" s="490" t="s">
        <v>16</v>
      </c>
      <c r="D5" s="304">
        <v>4256</v>
      </c>
      <c r="E5" s="374">
        <f t="shared" si="0"/>
        <v>1.051643192488263</v>
      </c>
      <c r="K5" s="490">
        <v>3</v>
      </c>
      <c r="L5" s="490" t="s">
        <v>17</v>
      </c>
      <c r="M5" s="375">
        <v>4256</v>
      </c>
      <c r="N5" s="376">
        <f t="shared" si="1"/>
        <v>2.681096881083022E-2</v>
      </c>
    </row>
    <row r="6" spans="1:14" ht="14.25" x14ac:dyDescent="0.45">
      <c r="A6" s="490" t="s">
        <v>11</v>
      </c>
      <c r="B6" s="490">
        <v>4</v>
      </c>
      <c r="C6" s="490" t="s">
        <v>18</v>
      </c>
      <c r="D6" s="304">
        <v>8585</v>
      </c>
      <c r="E6" s="374">
        <f t="shared" si="0"/>
        <v>2.1213244378552014</v>
      </c>
      <c r="K6" s="490">
        <v>4</v>
      </c>
      <c r="L6" s="490" t="s">
        <v>19</v>
      </c>
      <c r="M6" s="375">
        <v>8585</v>
      </c>
      <c r="N6" s="376">
        <f t="shared" si="1"/>
        <v>5.4081806212635676E-2</v>
      </c>
    </row>
    <row r="7" spans="1:14" ht="14.25" x14ac:dyDescent="0.45">
      <c r="A7" s="490" t="s">
        <v>11</v>
      </c>
      <c r="B7" s="490">
        <v>5</v>
      </c>
      <c r="C7" s="490" t="s">
        <v>20</v>
      </c>
      <c r="D7" s="304">
        <v>6545</v>
      </c>
      <c r="E7" s="374">
        <f t="shared" si="0"/>
        <v>1.6172473437113912</v>
      </c>
      <c r="K7" s="490">
        <v>5</v>
      </c>
      <c r="L7" s="490" t="s">
        <v>21</v>
      </c>
      <c r="M7" s="375">
        <v>6545</v>
      </c>
      <c r="N7" s="376">
        <f t="shared" si="1"/>
        <v>4.1230683944286604E-2</v>
      </c>
    </row>
    <row r="8" spans="1:14" ht="14.25" x14ac:dyDescent="0.45">
      <c r="A8" s="490" t="s">
        <v>11</v>
      </c>
      <c r="B8" s="490">
        <v>6</v>
      </c>
      <c r="C8" s="490" t="s">
        <v>22</v>
      </c>
      <c r="D8" s="304">
        <v>6073</v>
      </c>
      <c r="E8" s="374">
        <f t="shared" si="0"/>
        <v>1.5006177415369411</v>
      </c>
      <c r="K8" s="490">
        <v>6</v>
      </c>
      <c r="L8" s="490" t="s">
        <v>23</v>
      </c>
      <c r="M8" s="375">
        <v>6073</v>
      </c>
      <c r="N8" s="376">
        <f t="shared" si="1"/>
        <v>3.8257287027296034E-2</v>
      </c>
    </row>
    <row r="9" spans="1:14" ht="14.25" x14ac:dyDescent="0.45">
      <c r="A9" s="490" t="s">
        <v>11</v>
      </c>
      <c r="B9" s="490">
        <v>7</v>
      </c>
      <c r="C9" s="490" t="s">
        <v>24</v>
      </c>
      <c r="D9" s="304">
        <v>6789</v>
      </c>
      <c r="E9" s="374">
        <f t="shared" si="0"/>
        <v>1.6775389177168272</v>
      </c>
      <c r="K9" s="490">
        <v>7</v>
      </c>
      <c r="L9" s="490" t="s">
        <v>25</v>
      </c>
      <c r="M9" s="375">
        <v>6789</v>
      </c>
      <c r="N9" s="376">
        <f t="shared" si="1"/>
        <v>4.2767778960696987E-2</v>
      </c>
    </row>
    <row r="10" spans="1:14" ht="14.25" x14ac:dyDescent="0.45">
      <c r="A10" s="490" t="s">
        <v>26</v>
      </c>
      <c r="B10" s="490">
        <v>8</v>
      </c>
      <c r="C10" s="490" t="s">
        <v>27</v>
      </c>
      <c r="D10" s="304">
        <v>10201</v>
      </c>
      <c r="E10" s="374">
        <f t="shared" si="0"/>
        <v>2.5206325673338275</v>
      </c>
      <c r="K10" s="490">
        <v>8</v>
      </c>
      <c r="L10" s="490" t="s">
        <v>28</v>
      </c>
      <c r="M10" s="375">
        <v>10201</v>
      </c>
      <c r="N10" s="376">
        <f t="shared" si="1"/>
        <v>6.426191091148474E-2</v>
      </c>
    </row>
    <row r="11" spans="1:14" ht="14.25" x14ac:dyDescent="0.45">
      <c r="A11" s="490" t="s">
        <v>26</v>
      </c>
      <c r="B11" s="490">
        <v>9</v>
      </c>
      <c r="C11" s="490" t="s">
        <v>29</v>
      </c>
      <c r="D11" s="304">
        <v>10201</v>
      </c>
      <c r="E11" s="374">
        <f t="shared" si="0"/>
        <v>2.5206325673338275</v>
      </c>
      <c r="K11" s="490">
        <v>9</v>
      </c>
      <c r="L11" s="490" t="s">
        <v>30</v>
      </c>
      <c r="M11" s="375">
        <v>10201</v>
      </c>
      <c r="N11" s="376">
        <f t="shared" si="1"/>
        <v>6.426191091148474E-2</v>
      </c>
    </row>
    <row r="12" spans="1:14" ht="14.25" x14ac:dyDescent="0.45">
      <c r="A12" s="490" t="s">
        <v>26</v>
      </c>
      <c r="B12" s="490">
        <v>10</v>
      </c>
      <c r="C12" s="490" t="s">
        <v>31</v>
      </c>
      <c r="D12" s="304">
        <v>7373</v>
      </c>
      <c r="E12" s="374">
        <f t="shared" si="0"/>
        <v>1.8218433407462318</v>
      </c>
      <c r="K12" s="490">
        <v>10</v>
      </c>
      <c r="L12" s="490" t="s">
        <v>32</v>
      </c>
      <c r="M12" s="375">
        <v>7373</v>
      </c>
      <c r="N12" s="376">
        <f t="shared" si="1"/>
        <v>4.6446727688498876E-2</v>
      </c>
    </row>
    <row r="13" spans="1:14" ht="14.25" x14ac:dyDescent="0.45">
      <c r="A13" s="490" t="s">
        <v>26</v>
      </c>
      <c r="B13" s="490">
        <v>11</v>
      </c>
      <c r="C13" s="490" t="s">
        <v>33</v>
      </c>
      <c r="D13" s="304">
        <v>4000</v>
      </c>
      <c r="E13" s="374">
        <f t="shared" si="0"/>
        <v>0.98838645910551026</v>
      </c>
      <c r="K13" s="490">
        <v>11</v>
      </c>
      <c r="L13" s="490" t="s">
        <v>34</v>
      </c>
      <c r="M13" s="375">
        <v>4000</v>
      </c>
      <c r="N13" s="376">
        <f t="shared" si="1"/>
        <v>2.5198278957547199E-2</v>
      </c>
    </row>
    <row r="14" spans="1:14" ht="14.25" x14ac:dyDescent="0.45">
      <c r="A14" s="490" t="s">
        <v>26</v>
      </c>
      <c r="B14" s="490">
        <v>12</v>
      </c>
      <c r="C14" s="490" t="s">
        <v>35</v>
      </c>
      <c r="D14" s="304">
        <v>4000</v>
      </c>
      <c r="E14" s="374">
        <f t="shared" si="0"/>
        <v>0.98838645910551026</v>
      </c>
      <c r="K14" s="490">
        <v>12</v>
      </c>
      <c r="L14" s="490" t="s">
        <v>36</v>
      </c>
      <c r="M14" s="375">
        <v>4000</v>
      </c>
      <c r="N14" s="376">
        <f t="shared" si="1"/>
        <v>2.5198278957547199E-2</v>
      </c>
    </row>
    <row r="15" spans="1:14" ht="14.25" x14ac:dyDescent="0.45">
      <c r="A15" s="490" t="s">
        <v>26</v>
      </c>
      <c r="B15" s="490">
        <v>13</v>
      </c>
      <c r="C15" s="490" t="s">
        <v>37</v>
      </c>
      <c r="D15" s="304">
        <v>6161</v>
      </c>
      <c r="E15" s="374">
        <f t="shared" si="0"/>
        <v>1.5223622436372621</v>
      </c>
      <c r="K15" s="490">
        <v>13</v>
      </c>
      <c r="L15" s="490" t="s">
        <v>38</v>
      </c>
      <c r="M15" s="375">
        <v>6161</v>
      </c>
      <c r="N15" s="376">
        <f t="shared" si="1"/>
        <v>3.8811649164362076E-2</v>
      </c>
    </row>
    <row r="16" spans="1:14" ht="14.25" x14ac:dyDescent="0.45">
      <c r="A16" s="490" t="s">
        <v>26</v>
      </c>
      <c r="B16" s="490">
        <v>14</v>
      </c>
      <c r="C16" s="490" t="s">
        <v>39</v>
      </c>
      <c r="D16" s="304">
        <v>7777</v>
      </c>
      <c r="E16" s="374">
        <f t="shared" si="0"/>
        <v>1.9216703731158884</v>
      </c>
      <c r="K16" s="490">
        <v>14</v>
      </c>
      <c r="L16" s="490" t="s">
        <v>40</v>
      </c>
      <c r="M16" s="375">
        <v>7777</v>
      </c>
      <c r="N16" s="376">
        <f t="shared" si="1"/>
        <v>4.899175386321114E-2</v>
      </c>
    </row>
    <row r="17" spans="1:14" ht="14.25" x14ac:dyDescent="0.45">
      <c r="A17" s="490" t="s">
        <v>41</v>
      </c>
      <c r="B17" s="490">
        <v>15</v>
      </c>
      <c r="C17" s="490" t="s">
        <v>42</v>
      </c>
      <c r="D17" s="304">
        <v>4249</v>
      </c>
      <c r="E17" s="374">
        <f t="shared" si="0"/>
        <v>1.0499135161848283</v>
      </c>
      <c r="K17" s="490">
        <v>15</v>
      </c>
      <c r="L17" s="490" t="s">
        <v>43</v>
      </c>
      <c r="M17" s="375">
        <v>4249</v>
      </c>
      <c r="N17" s="376">
        <f t="shared" si="1"/>
        <v>2.6766871822654512E-2</v>
      </c>
    </row>
    <row r="18" spans="1:14" ht="14.25" x14ac:dyDescent="0.45">
      <c r="A18" s="490"/>
      <c r="B18" s="490"/>
      <c r="C18" s="490"/>
      <c r="D18" s="304"/>
      <c r="E18" s="374"/>
      <c r="K18" s="490"/>
      <c r="L18" s="490"/>
      <c r="M18" s="375"/>
      <c r="N18" s="376"/>
    </row>
    <row r="19" spans="1:14" ht="14.25" x14ac:dyDescent="0.45">
      <c r="A19" s="521" t="s">
        <v>44</v>
      </c>
      <c r="B19" s="521"/>
      <c r="C19" s="521"/>
      <c r="D19" s="377">
        <f t="shared" ref="D19" si="2">SUM(D3:D18)</f>
        <v>97595</v>
      </c>
      <c r="E19" s="378">
        <f>SUM(E3:E18)</f>
        <v>24.115394119100564</v>
      </c>
      <c r="H19" s="179"/>
      <c r="K19" s="490">
        <v>17</v>
      </c>
      <c r="L19" s="490" t="s">
        <v>45</v>
      </c>
      <c r="M19" s="375">
        <v>25.4</v>
      </c>
      <c r="N19" s="376">
        <f t="shared" si="1"/>
        <v>1.600090713804247E-4</v>
      </c>
    </row>
    <row r="20" spans="1:14" ht="14.25" x14ac:dyDescent="0.45">
      <c r="A20" s="521" t="s">
        <v>46</v>
      </c>
      <c r="B20" s="521"/>
      <c r="C20" s="521"/>
      <c r="D20" s="304">
        <v>158741</v>
      </c>
      <c r="E20" s="374">
        <f>D20/4047</f>
        <v>39.22436372621695</v>
      </c>
      <c r="H20" s="179"/>
      <c r="K20" s="490">
        <v>18</v>
      </c>
      <c r="L20" s="490" t="s">
        <v>47</v>
      </c>
      <c r="M20" s="375">
        <v>54.4</v>
      </c>
      <c r="N20" s="376">
        <f>M20/$D$20</f>
        <v>3.4269659382264191E-4</v>
      </c>
    </row>
    <row r="21" spans="1:14" ht="14.25" customHeight="1" x14ac:dyDescent="0.45">
      <c r="A21" s="521" t="s">
        <v>48</v>
      </c>
      <c r="B21" s="521"/>
      <c r="C21" s="521"/>
      <c r="D21" s="519">
        <f>D19/D20*100</f>
        <v>61.480650871545471</v>
      </c>
      <c r="E21" s="519"/>
      <c r="K21" s="490">
        <v>19</v>
      </c>
      <c r="L21" s="490" t="s">
        <v>49</v>
      </c>
      <c r="M21" s="375">
        <v>45.4</v>
      </c>
      <c r="N21" s="376">
        <f t="shared" si="1"/>
        <v>2.8600046616816073E-4</v>
      </c>
    </row>
    <row r="22" spans="1:14" ht="14.25" x14ac:dyDescent="0.45">
      <c r="K22" s="490">
        <v>20</v>
      </c>
      <c r="L22" s="490" t="s">
        <v>50</v>
      </c>
      <c r="M22" s="375">
        <v>304</v>
      </c>
      <c r="N22" s="376">
        <f t="shared" si="1"/>
        <v>1.9150692007735871E-3</v>
      </c>
    </row>
    <row r="23" spans="1:14" ht="14.25" x14ac:dyDescent="0.45">
      <c r="K23" s="490">
        <v>21</v>
      </c>
      <c r="L23" s="490" t="s">
        <v>51</v>
      </c>
      <c r="M23" s="375">
        <v>18.63</v>
      </c>
      <c r="N23" s="376">
        <f t="shared" si="1"/>
        <v>1.1736098424477608E-4</v>
      </c>
    </row>
    <row r="24" spans="1:14" ht="14.25" x14ac:dyDescent="0.45">
      <c r="K24" s="490">
        <v>22</v>
      </c>
      <c r="L24" s="490" t="s">
        <v>52</v>
      </c>
      <c r="M24" s="375">
        <v>18.63</v>
      </c>
      <c r="N24" s="376">
        <f t="shared" si="1"/>
        <v>1.1736098424477608E-4</v>
      </c>
    </row>
    <row r="25" spans="1:14" ht="14.25" x14ac:dyDescent="0.45">
      <c r="K25" s="490">
        <v>23</v>
      </c>
      <c r="L25" s="490" t="s">
        <v>53</v>
      </c>
      <c r="M25" s="375">
        <v>18.63</v>
      </c>
      <c r="N25" s="376">
        <f t="shared" si="1"/>
        <v>1.1736098424477608E-4</v>
      </c>
    </row>
    <row r="26" spans="1:14" ht="14.25" x14ac:dyDescent="0.45">
      <c r="K26" s="490">
        <v>24</v>
      </c>
      <c r="L26" s="490" t="s">
        <v>54</v>
      </c>
      <c r="M26" s="375">
        <v>51.48</v>
      </c>
      <c r="N26" s="376">
        <f t="shared" si="1"/>
        <v>3.2430185018363246E-4</v>
      </c>
    </row>
    <row r="27" spans="1:14" ht="28.5" x14ac:dyDescent="0.45">
      <c r="K27" s="490">
        <v>25</v>
      </c>
      <c r="L27" s="185" t="s">
        <v>55</v>
      </c>
      <c r="M27" s="375">
        <v>629.29999999999995</v>
      </c>
      <c r="N27" s="376">
        <f t="shared" si="1"/>
        <v>3.9643192369961128E-3</v>
      </c>
    </row>
    <row r="28" spans="1:14" ht="14.25" x14ac:dyDescent="0.45">
      <c r="K28" s="490">
        <v>26</v>
      </c>
      <c r="L28" s="490" t="s">
        <v>56</v>
      </c>
      <c r="M28" s="375">
        <v>364</v>
      </c>
      <c r="N28" s="376">
        <f t="shared" si="1"/>
        <v>2.2930433851367951E-3</v>
      </c>
    </row>
    <row r="29" spans="1:14" ht="14.25" x14ac:dyDescent="0.45">
      <c r="K29" s="490">
        <v>27</v>
      </c>
      <c r="L29" s="490" t="s">
        <v>57</v>
      </c>
      <c r="M29" s="375">
        <v>256</v>
      </c>
      <c r="N29" s="376">
        <f t="shared" si="1"/>
        <v>1.6126898532830207E-3</v>
      </c>
    </row>
    <row r="30" spans="1:14" ht="14.25" x14ac:dyDescent="0.45">
      <c r="K30" s="490">
        <v>28</v>
      </c>
      <c r="L30" s="490" t="s">
        <v>58</v>
      </c>
      <c r="M30" s="375">
        <v>256</v>
      </c>
      <c r="N30" s="376">
        <f t="shared" si="1"/>
        <v>1.6126898532830207E-3</v>
      </c>
    </row>
    <row r="31" spans="1:14" ht="14.25" x14ac:dyDescent="0.45">
      <c r="K31" s="490">
        <v>29</v>
      </c>
      <c r="L31" s="490" t="s">
        <v>59</v>
      </c>
      <c r="M31" s="375">
        <v>256</v>
      </c>
      <c r="N31" s="376">
        <f t="shared" si="1"/>
        <v>1.6126898532830207E-3</v>
      </c>
    </row>
    <row r="32" spans="1:14" ht="14.25" x14ac:dyDescent="0.45">
      <c r="K32" s="490">
        <v>30</v>
      </c>
      <c r="L32" s="490" t="s">
        <v>60</v>
      </c>
      <c r="M32" s="375">
        <v>256</v>
      </c>
      <c r="N32" s="376">
        <f t="shared" si="1"/>
        <v>1.6126898532830207E-3</v>
      </c>
    </row>
    <row r="33" spans="11:14" ht="14.25" x14ac:dyDescent="0.45">
      <c r="K33" s="490">
        <v>31</v>
      </c>
      <c r="L33" s="490" t="s">
        <v>61</v>
      </c>
      <c r="M33" s="375">
        <v>256</v>
      </c>
      <c r="N33" s="376">
        <f t="shared" si="1"/>
        <v>1.6126898532830207E-3</v>
      </c>
    </row>
    <row r="34" spans="11:14" ht="14.25" x14ac:dyDescent="0.45">
      <c r="K34" s="490">
        <v>32</v>
      </c>
      <c r="L34" s="490" t="s">
        <v>62</v>
      </c>
      <c r="M34" s="375">
        <v>256</v>
      </c>
      <c r="N34" s="376">
        <f t="shared" si="1"/>
        <v>1.6126898532830207E-3</v>
      </c>
    </row>
    <row r="35" spans="11:14" ht="14.25" x14ac:dyDescent="0.45">
      <c r="K35" s="490">
        <v>33</v>
      </c>
      <c r="L35" s="490" t="s">
        <v>63</v>
      </c>
      <c r="M35" s="375">
        <v>169</v>
      </c>
      <c r="N35" s="376">
        <f t="shared" si="1"/>
        <v>1.0646272859563691E-3</v>
      </c>
    </row>
    <row r="36" spans="11:14" ht="14.25" x14ac:dyDescent="0.45">
      <c r="K36" s="490">
        <v>34</v>
      </c>
      <c r="L36" s="490" t="s">
        <v>64</v>
      </c>
      <c r="M36" s="375">
        <v>169</v>
      </c>
      <c r="N36" s="376">
        <f t="shared" si="1"/>
        <v>1.0646272859563691E-3</v>
      </c>
    </row>
    <row r="37" spans="11:14" ht="14.25" x14ac:dyDescent="0.45">
      <c r="K37" s="490">
        <v>35</v>
      </c>
      <c r="L37" s="490" t="s">
        <v>65</v>
      </c>
      <c r="M37" s="375">
        <v>169</v>
      </c>
      <c r="N37" s="376">
        <f t="shared" si="1"/>
        <v>1.0646272859563691E-3</v>
      </c>
    </row>
    <row r="38" spans="11:14" ht="14.25" x14ac:dyDescent="0.45">
      <c r="K38" s="490">
        <v>36</v>
      </c>
      <c r="L38" s="490" t="s">
        <v>66</v>
      </c>
      <c r="M38" s="375">
        <v>169</v>
      </c>
      <c r="N38" s="376">
        <f t="shared" si="1"/>
        <v>1.0646272859563691E-3</v>
      </c>
    </row>
    <row r="39" spans="11:14" ht="14.25" x14ac:dyDescent="0.45">
      <c r="K39" s="490">
        <v>37</v>
      </c>
      <c r="L39" s="490" t="s">
        <v>67</v>
      </c>
      <c r="M39" s="375">
        <v>1254</v>
      </c>
      <c r="N39" s="376">
        <f t="shared" si="1"/>
        <v>7.8996604531910465E-3</v>
      </c>
    </row>
    <row r="40" spans="11:14" ht="14.25" x14ac:dyDescent="0.45">
      <c r="K40" s="490">
        <v>38</v>
      </c>
      <c r="L40" s="490" t="s">
        <v>68</v>
      </c>
      <c r="M40" s="375">
        <v>112</v>
      </c>
      <c r="N40" s="376">
        <f t="shared" si="1"/>
        <v>7.0555181081132163E-4</v>
      </c>
    </row>
    <row r="41" spans="11:14" ht="14.25" x14ac:dyDescent="0.45">
      <c r="K41" s="490">
        <v>39</v>
      </c>
      <c r="L41" s="490" t="s">
        <v>69</v>
      </c>
      <c r="M41" s="375">
        <v>218.44</v>
      </c>
      <c r="N41" s="376">
        <f t="shared" si="1"/>
        <v>1.3760780138716525E-3</v>
      </c>
    </row>
    <row r="42" spans="11:14" ht="14.25" x14ac:dyDescent="0.45">
      <c r="K42" s="490">
        <v>40</v>
      </c>
      <c r="L42" s="490" t="s">
        <v>70</v>
      </c>
      <c r="M42" s="375">
        <v>251.54</v>
      </c>
      <c r="N42" s="376">
        <f t="shared" si="1"/>
        <v>1.5845937722453556E-3</v>
      </c>
    </row>
    <row r="43" spans="11:14" ht="14.25" x14ac:dyDescent="0.45">
      <c r="K43" s="490">
        <v>41</v>
      </c>
      <c r="L43" s="490" t="s">
        <v>71</v>
      </c>
      <c r="M43" s="375">
        <v>454.36</v>
      </c>
      <c r="N43" s="376">
        <f t="shared" si="1"/>
        <v>2.8622725067877866E-3</v>
      </c>
    </row>
    <row r="44" spans="11:14" ht="14.25" x14ac:dyDescent="0.45">
      <c r="K44" s="490">
        <v>42</v>
      </c>
      <c r="L44" s="490" t="s">
        <v>72</v>
      </c>
      <c r="M44" s="375">
        <v>630</v>
      </c>
      <c r="N44" s="376">
        <f t="shared" si="1"/>
        <v>3.9687289358136838E-3</v>
      </c>
    </row>
    <row r="45" spans="11:14" ht="14.25" x14ac:dyDescent="0.45">
      <c r="K45" s="490">
        <v>43</v>
      </c>
      <c r="L45" s="490" t="s">
        <v>73</v>
      </c>
      <c r="M45" s="375">
        <v>107.8</v>
      </c>
      <c r="N45" s="376">
        <f t="shared" si="1"/>
        <v>6.7909361790589699E-4</v>
      </c>
    </row>
    <row r="46" spans="11:14" ht="14.25" x14ac:dyDescent="0.45">
      <c r="K46" s="490">
        <v>44</v>
      </c>
      <c r="L46" s="490" t="s">
        <v>74</v>
      </c>
      <c r="M46" s="375">
        <v>150</v>
      </c>
      <c r="N46" s="376">
        <f t="shared" si="1"/>
        <v>9.4493546090802002E-4</v>
      </c>
    </row>
    <row r="47" spans="11:14" ht="14.25" x14ac:dyDescent="0.45">
      <c r="K47" s="490">
        <v>45</v>
      </c>
      <c r="L47" s="490" t="s">
        <v>75</v>
      </c>
      <c r="M47" s="375">
        <v>157.47999999999999</v>
      </c>
      <c r="N47" s="376">
        <f t="shared" si="1"/>
        <v>9.9205624255863318E-4</v>
      </c>
    </row>
    <row r="48" spans="11:14" ht="14.25" x14ac:dyDescent="0.45">
      <c r="K48" s="490">
        <v>46</v>
      </c>
      <c r="L48" s="490" t="s">
        <v>76</v>
      </c>
      <c r="M48" s="375">
        <v>16</v>
      </c>
      <c r="N48" s="376">
        <f t="shared" si="1"/>
        <v>1.0079311583018879E-4</v>
      </c>
    </row>
    <row r="49" spans="11:14" ht="14.25" x14ac:dyDescent="0.45">
      <c r="K49" s="490">
        <v>47</v>
      </c>
      <c r="L49" s="490" t="s">
        <v>77</v>
      </c>
      <c r="M49" s="375">
        <v>10</v>
      </c>
      <c r="N49" s="376">
        <f t="shared" si="1"/>
        <v>6.2995697393867999E-5</v>
      </c>
    </row>
    <row r="50" spans="11:14" ht="14.25" x14ac:dyDescent="0.45">
      <c r="K50" s="490">
        <v>48</v>
      </c>
      <c r="L50" s="490" t="s">
        <v>78</v>
      </c>
      <c r="M50" s="375">
        <v>129</v>
      </c>
      <c r="N50" s="376">
        <f>M50/$D$20</f>
        <v>8.1264449638089717E-4</v>
      </c>
    </row>
    <row r="51" spans="11:14" ht="14.25" x14ac:dyDescent="0.45">
      <c r="M51" s="379">
        <f>SUM(M3:M50)</f>
        <v>104827.48999999999</v>
      </c>
      <c r="N51" s="380">
        <f>SUM(N3:N50)</f>
        <v>0.66036808385987211</v>
      </c>
    </row>
    <row r="52" spans="11:14" ht="14.25" x14ac:dyDescent="0.45"/>
    <row r="53" spans="11:14" ht="14.25" x14ac:dyDescent="0.45">
      <c r="L53" s="490" t="s">
        <v>79</v>
      </c>
      <c r="M53" s="375">
        <v>170263</v>
      </c>
      <c r="N53" s="468"/>
    </row>
    <row r="54" spans="11:14" ht="14.25" x14ac:dyDescent="0.45">
      <c r="L54" s="490" t="s">
        <v>80</v>
      </c>
      <c r="M54" s="375">
        <v>112976</v>
      </c>
    </row>
    <row r="55" spans="11:14" ht="14.25" x14ac:dyDescent="0.45">
      <c r="L55" s="490" t="s">
        <v>81</v>
      </c>
      <c r="M55" s="375">
        <v>7232.49</v>
      </c>
    </row>
    <row r="56" spans="11:14" ht="14.25" x14ac:dyDescent="0.45">
      <c r="L56" s="490" t="s">
        <v>82</v>
      </c>
      <c r="M56" s="375">
        <f>M53-M55-M54</f>
        <v>50054.510000000009</v>
      </c>
    </row>
    <row r="57" spans="11:14" ht="14.25" x14ac:dyDescent="0.45"/>
    <row r="58" spans="11:14" ht="14.25" x14ac:dyDescent="0.45">
      <c r="K58" s="518" t="s">
        <v>83</v>
      </c>
      <c r="L58" s="518"/>
      <c r="M58" s="518"/>
      <c r="N58" s="518"/>
    </row>
  </sheetData>
  <mergeCells count="10">
    <mergeCell ref="K1:N1"/>
    <mergeCell ref="K58:N58"/>
    <mergeCell ref="D21:E21"/>
    <mergeCell ref="B1:B2"/>
    <mergeCell ref="C1:C2"/>
    <mergeCell ref="A19:C19"/>
    <mergeCell ref="D1:E1"/>
    <mergeCell ref="A20:C20"/>
    <mergeCell ref="A21:C21"/>
    <mergeCell ref="A1:A2"/>
  </mergeCells>
  <phoneticPr fontId="2" type="noConversion"/>
  <pageMargins left="0.25" right="0.25"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42D50-8F71-486F-ABD5-B0915A7AE1AD}">
  <sheetPr>
    <tabColor rgb="FFFFC000"/>
  </sheetPr>
  <dimension ref="A1:AT36"/>
  <sheetViews>
    <sheetView tabSelected="1" zoomScale="97" workbookViewId="0">
      <pane xSplit="11" ySplit="2" topLeftCell="L3" activePane="bottomRight" state="frozen"/>
      <selection pane="topRight" activeCell="L1" sqref="L1"/>
      <selection pane="bottomLeft" activeCell="A3" sqref="A3"/>
      <selection pane="bottomRight" activeCell="R16" sqref="R16"/>
    </sheetView>
  </sheetViews>
  <sheetFormatPr defaultRowHeight="15" customHeight="1" x14ac:dyDescent="0.45"/>
  <cols>
    <col min="1" max="1" width="6.1328125" bestFit="1" customWidth="1"/>
    <col min="2" max="2" width="4.1328125" bestFit="1" customWidth="1"/>
    <col min="3" max="3" width="8.1328125" bestFit="1" customWidth="1"/>
    <col min="4" max="4" width="8.1328125" customWidth="1"/>
    <col min="5" max="5" width="9.86328125" customWidth="1"/>
    <col min="6" max="6" width="7.86328125" bestFit="1" customWidth="1"/>
    <col min="7" max="7" width="7.265625" customWidth="1"/>
    <col min="8" max="9" width="9.86328125" bestFit="1" customWidth="1"/>
    <col min="10" max="10" width="12.1328125" bestFit="1" customWidth="1"/>
    <col min="11" max="11" width="12.1328125" customWidth="1"/>
    <col min="12" max="12" width="10.73046875" bestFit="1" customWidth="1"/>
    <col min="13" max="13" width="9.73046875" bestFit="1" customWidth="1"/>
    <col min="14" max="14" width="11.73046875" customWidth="1"/>
    <col min="15" max="15" width="10.73046875" bestFit="1" customWidth="1"/>
    <col min="16" max="16" width="3.86328125" bestFit="1" customWidth="1"/>
    <col min="17" max="17" width="3.86328125" customWidth="1"/>
    <col min="18" max="18" width="9.06640625" style="1"/>
    <col min="21" max="22" width="7.3984375" style="79" customWidth="1"/>
    <col min="23" max="23" width="4.73046875" bestFit="1" customWidth="1"/>
    <col min="28" max="32" width="12.46484375" customWidth="1"/>
    <col min="33" max="33" width="13.73046875" customWidth="1"/>
    <col min="34" max="34" width="6.265625" customWidth="1"/>
    <col min="35" max="35" width="8.59765625" customWidth="1"/>
    <col min="36" max="36" width="9.1328125" bestFit="1" customWidth="1"/>
    <col min="37" max="37" width="10.53125" bestFit="1" customWidth="1"/>
    <col min="40" max="40" width="10.73046875" bestFit="1" customWidth="1"/>
  </cols>
  <sheetData>
    <row r="1" spans="1:46" ht="21" x14ac:dyDescent="0.65">
      <c r="A1" s="524" t="str">
        <f>"Mangal - "&amp;ROUND(J19/4047,2)&amp;" Acres"</f>
        <v>Mangal - 24.12 Acres</v>
      </c>
      <c r="B1" s="525"/>
      <c r="C1" s="525"/>
      <c r="D1" s="525"/>
      <c r="E1" s="525"/>
      <c r="F1" s="525"/>
      <c r="G1" s="525"/>
      <c r="H1" s="525"/>
      <c r="I1" s="525"/>
      <c r="J1" s="525"/>
      <c r="K1" s="525"/>
      <c r="L1" s="525"/>
      <c r="M1" s="525"/>
      <c r="N1" s="525"/>
      <c r="O1" s="525"/>
      <c r="S1" s="523" t="s">
        <v>1676</v>
      </c>
      <c r="T1" s="523"/>
      <c r="U1" s="523"/>
      <c r="V1" s="523"/>
      <c r="X1" s="523" t="s">
        <v>1677</v>
      </c>
      <c r="Y1" s="523"/>
      <c r="Z1" s="523"/>
      <c r="AA1" s="523"/>
      <c r="AB1" s="523"/>
      <c r="AC1" s="523"/>
      <c r="AD1" s="523"/>
      <c r="AE1" s="523"/>
      <c r="AF1" s="523"/>
      <c r="AH1" s="523" t="s">
        <v>1675</v>
      </c>
      <c r="AI1" s="523"/>
      <c r="AJ1" s="523"/>
      <c r="AK1" s="523"/>
      <c r="AR1" s="523" t="s">
        <v>1679</v>
      </c>
      <c r="AS1" s="523"/>
      <c r="AT1" s="523"/>
    </row>
    <row r="2" spans="1:46" ht="57" x14ac:dyDescent="0.45">
      <c r="A2" s="481" t="s">
        <v>84</v>
      </c>
      <c r="B2" s="481" t="s">
        <v>85</v>
      </c>
      <c r="C2" s="481" t="s">
        <v>86</v>
      </c>
      <c r="D2" s="481" t="s">
        <v>87</v>
      </c>
      <c r="E2" s="481" t="s">
        <v>88</v>
      </c>
      <c r="F2" s="481" t="s">
        <v>89</v>
      </c>
      <c r="G2" s="481" t="s">
        <v>90</v>
      </c>
      <c r="H2" s="481" t="s">
        <v>91</v>
      </c>
      <c r="I2" s="481" t="s">
        <v>92</v>
      </c>
      <c r="J2" s="481" t="s">
        <v>93</v>
      </c>
      <c r="K2" s="481" t="s">
        <v>94</v>
      </c>
      <c r="L2" s="481" t="s">
        <v>95</v>
      </c>
      <c r="M2" s="481" t="s">
        <v>96</v>
      </c>
      <c r="N2" s="481" t="s">
        <v>97</v>
      </c>
      <c r="O2" s="481" t="s">
        <v>98</v>
      </c>
      <c r="R2" s="480" t="s">
        <v>99</v>
      </c>
      <c r="S2" s="480" t="s">
        <v>100</v>
      </c>
      <c r="T2" s="480" t="s">
        <v>101</v>
      </c>
      <c r="U2" s="480" t="s">
        <v>102</v>
      </c>
      <c r="V2" s="480" t="s">
        <v>103</v>
      </c>
      <c r="X2" s="480" t="s">
        <v>104</v>
      </c>
      <c r="Y2" s="480" t="s">
        <v>105</v>
      </c>
      <c r="Z2" s="480" t="s">
        <v>104</v>
      </c>
      <c r="AA2" s="480" t="s">
        <v>105</v>
      </c>
      <c r="AB2" s="480" t="s">
        <v>1678</v>
      </c>
      <c r="AC2" s="480"/>
      <c r="AD2" s="480" t="s">
        <v>1680</v>
      </c>
      <c r="AE2" s="480"/>
      <c r="AF2" s="480"/>
      <c r="AH2" s="480" t="s">
        <v>1672</v>
      </c>
      <c r="AI2" s="480" t="s">
        <v>1671</v>
      </c>
      <c r="AJ2" s="480" t="s">
        <v>1673</v>
      </c>
      <c r="AK2" s="480" t="s">
        <v>1674</v>
      </c>
      <c r="AN2" s="480" t="s">
        <v>106</v>
      </c>
      <c r="AR2" s="480" t="s">
        <v>107</v>
      </c>
      <c r="AS2" s="480" t="s">
        <v>108</v>
      </c>
      <c r="AT2" s="480" t="s">
        <v>109</v>
      </c>
    </row>
    <row r="3" spans="1:46" ht="14.25" x14ac:dyDescent="0.45">
      <c r="A3" s="1">
        <v>1</v>
      </c>
      <c r="B3" s="1" t="s">
        <v>12</v>
      </c>
      <c r="C3" s="1">
        <v>9</v>
      </c>
      <c r="D3" s="1">
        <v>2</v>
      </c>
      <c r="E3" s="1">
        <f>C3*8+D3*2</f>
        <v>76</v>
      </c>
      <c r="F3" s="49">
        <v>6</v>
      </c>
      <c r="G3" s="49">
        <v>3</v>
      </c>
      <c r="H3" s="1">
        <v>44</v>
      </c>
      <c r="I3" s="1">
        <v>24</v>
      </c>
      <c r="J3" s="4">
        <f t="shared" ref="J3:J16" si="0">8*F3*H3+8*G3*I3+2*D3*H3</f>
        <v>2864</v>
      </c>
      <c r="K3" s="4">
        <f>SUMIFS('Mangal AeroponicsV6'!$K$21:$K$48,'Mangal AeroponicsV6'!$B$21:$B$48,'Mangal Foundation'!B3)</f>
        <v>2400</v>
      </c>
      <c r="L3" s="80">
        <f t="shared" ref="L3:L17" si="1">(F3+1)*((H3-5)/4+1)+(G3)*((I3-5)/4+1)</f>
        <v>92.5</v>
      </c>
      <c r="M3" s="80">
        <f>C3*4</f>
        <v>36</v>
      </c>
      <c r="N3" s="384">
        <f>SUM(L3:M3)</f>
        <v>128.5</v>
      </c>
      <c r="O3" s="385">
        <f t="shared" ref="O3:O17" si="2">((H3-5)/4+1)*2+(C3*6+2)</f>
        <v>77.5</v>
      </c>
      <c r="P3" s="385">
        <f>O3+N3</f>
        <v>206</v>
      </c>
      <c r="Q3" s="385"/>
      <c r="R3" s="1">
        <v>27</v>
      </c>
      <c r="S3" s="13">
        <f>(H3-D3*2)*(E3-2*D3)</f>
        <v>2880</v>
      </c>
      <c r="T3" s="13">
        <f>2*H3+2*E3-4*D3-8</f>
        <v>224</v>
      </c>
      <c r="U3" s="179">
        <f t="shared" ref="U3:U17" si="3">S3/4.2/98</f>
        <v>6.9970845481049562</v>
      </c>
      <c r="V3" s="179">
        <f>T3/2.5/98</f>
        <v>0.91428571428571426</v>
      </c>
      <c r="W3" s="474"/>
      <c r="X3" s="390">
        <f>$E3-2*$D3+2</f>
        <v>74</v>
      </c>
      <c r="Y3" s="498">
        <f>IF($I3&gt;0,($I3-$D3*2)/4,($H3-$D3*2)/4)</f>
        <v>5</v>
      </c>
      <c r="Z3" s="390">
        <f>IF($I3&lt;=0,0,($E3-2*$D3-$G3*8)+2)</f>
        <v>50</v>
      </c>
      <c r="AA3" s="498">
        <f>IF($I3&lt;=0,0,($H3-$I3)/4)</f>
        <v>5</v>
      </c>
      <c r="AB3" s="4">
        <f>(AA3*Z3+Y3*X3)*4.4</f>
        <v>2728</v>
      </c>
      <c r="AC3" s="4"/>
      <c r="AD3" s="15">
        <f>(F3*(H3+2)+G3*(I3+2))*30</f>
        <v>10620</v>
      </c>
      <c r="AE3" s="4"/>
      <c r="AF3" s="4"/>
      <c r="AG3" s="127"/>
      <c r="AH3" s="15">
        <f t="shared" ref="AH3:AH17" si="4">(E3-D3*2+1)*2</f>
        <v>146</v>
      </c>
      <c r="AI3" s="15">
        <f t="shared" ref="AI3:AI17" si="5">(H3+1-2*D3)*F3+(I3+1-2*D3)*G3</f>
        <v>309</v>
      </c>
      <c r="AJ3" s="127">
        <f t="shared" ref="AJ3:AJ6" si="6">AH3*3</f>
        <v>438</v>
      </c>
      <c r="AK3" s="127">
        <f t="shared" ref="AK3:AK6" si="7">AI3*1.5</f>
        <v>463.5</v>
      </c>
      <c r="AL3" s="1"/>
      <c r="AM3" s="1"/>
      <c r="AN3" s="390">
        <f t="shared" ref="AN3:AN17" si="8">IF(E3&gt;56,5*(H3-2*D3-4)*F3+5*(I3-2*D3-4)*G3,5*(H3-D3*2)*F3+5*(I3-D3*2)*G3)</f>
        <v>1320</v>
      </c>
      <c r="AR3" s="1">
        <f t="shared" ref="AR3:AR17" si="9">IF(H3&gt;56,(C3+1)*2,(C3+1)*1)</f>
        <v>10</v>
      </c>
      <c r="AS3" s="1">
        <f t="shared" ref="AS3:AT17" si="10">AR3</f>
        <v>10</v>
      </c>
      <c r="AT3" s="1">
        <f t="shared" si="10"/>
        <v>10</v>
      </c>
    </row>
    <row r="4" spans="1:46" ht="14.25" x14ac:dyDescent="0.45">
      <c r="A4" s="1">
        <v>2</v>
      </c>
      <c r="B4" s="42" t="s">
        <v>14</v>
      </c>
      <c r="C4" s="1">
        <v>10</v>
      </c>
      <c r="D4" s="1">
        <v>2.5</v>
      </c>
      <c r="E4" s="1">
        <f t="shared" ref="E4:E16" si="11">C4*8+D4*2</f>
        <v>85</v>
      </c>
      <c r="F4" s="49">
        <v>8</v>
      </c>
      <c r="G4" s="49">
        <v>2</v>
      </c>
      <c r="H4" s="1">
        <v>101</v>
      </c>
      <c r="I4" s="1">
        <v>97</v>
      </c>
      <c r="J4" s="4">
        <f t="shared" si="0"/>
        <v>8521</v>
      </c>
      <c r="K4" s="4">
        <f>SUMIFS('Mangal AeroponicsV6'!$K$21:$K$48,'Mangal AeroponicsV6'!$B$21:$B$48,'Mangal Foundation'!B4)</f>
        <v>7296</v>
      </c>
      <c r="L4" s="80">
        <f t="shared" si="1"/>
        <v>273</v>
      </c>
      <c r="M4" s="80">
        <f t="shared" ref="M4:M17" si="12">C4*4</f>
        <v>40</v>
      </c>
      <c r="N4" s="384">
        <f t="shared" ref="N4:N17" si="13">SUM(L4:M4)</f>
        <v>313</v>
      </c>
      <c r="O4" s="385">
        <f t="shared" si="2"/>
        <v>112</v>
      </c>
      <c r="P4" s="385">
        <f t="shared" ref="P4:P17" si="14">O4+N4</f>
        <v>425</v>
      </c>
      <c r="Q4" s="385"/>
      <c r="R4" s="1">
        <v>66</v>
      </c>
      <c r="S4" s="13">
        <f t="shared" ref="S4:S17" si="15">(H4-D4*2)*(E4-2*D4)</f>
        <v>7680</v>
      </c>
      <c r="T4" s="13">
        <f t="shared" ref="T4:T17" si="16">2*H4+2*E4-4*D4-8</f>
        <v>354</v>
      </c>
      <c r="U4" s="179">
        <f t="shared" si="3"/>
        <v>18.658892128279881</v>
      </c>
      <c r="V4" s="179">
        <f t="shared" ref="V4:V17" si="17">T4/2.6/98</f>
        <v>1.3893249607535323</v>
      </c>
      <c r="W4" s="474"/>
      <c r="X4" s="390">
        <f t="shared" ref="X4:X17" si="18">E4-2*D4+2</f>
        <v>82</v>
      </c>
      <c r="Y4" s="498">
        <f t="shared" ref="Y4:Y17" si="19">IF(I4&gt;0,(I4-D4*2)/4,(H4-D4*2)/4)</f>
        <v>23</v>
      </c>
      <c r="Z4" s="390">
        <f t="shared" ref="Z4:Z17" si="20">IF(I4&lt;=0,0,(E4-2*D4-G4*8)+2)</f>
        <v>66</v>
      </c>
      <c r="AA4" s="498">
        <f t="shared" ref="AA4:AA17" si="21">IF(I4&lt;=0,0,(H4-I4)/4)</f>
        <v>1</v>
      </c>
      <c r="AB4" s="4">
        <f>(AA4*Z4+Y4*X4)*4.4</f>
        <v>8588.8000000000011</v>
      </c>
      <c r="AC4" s="4"/>
      <c r="AD4" s="15">
        <f t="shared" ref="AD4:AD17" si="22">(F4*(H4+2)+G4*(I4+2))*30</f>
        <v>30660</v>
      </c>
      <c r="AE4" s="4"/>
      <c r="AF4" s="4"/>
      <c r="AG4" s="127"/>
      <c r="AH4" s="15">
        <f t="shared" si="4"/>
        <v>162</v>
      </c>
      <c r="AI4" s="15">
        <f t="shared" si="5"/>
        <v>962</v>
      </c>
      <c r="AJ4" s="127">
        <f t="shared" si="6"/>
        <v>486</v>
      </c>
      <c r="AK4" s="127">
        <f t="shared" si="7"/>
        <v>1443</v>
      </c>
      <c r="AL4" s="1"/>
      <c r="AM4" s="1"/>
      <c r="AN4" s="390">
        <f t="shared" si="8"/>
        <v>4560</v>
      </c>
      <c r="AR4" s="42">
        <f t="shared" si="9"/>
        <v>22</v>
      </c>
      <c r="AS4" s="42">
        <f t="shared" si="10"/>
        <v>22</v>
      </c>
      <c r="AT4" s="42">
        <f t="shared" si="10"/>
        <v>22</v>
      </c>
    </row>
    <row r="5" spans="1:46" ht="14.25" x14ac:dyDescent="0.45">
      <c r="A5" s="1">
        <v>3</v>
      </c>
      <c r="B5" s="1" t="s">
        <v>16</v>
      </c>
      <c r="C5" s="1">
        <v>9</v>
      </c>
      <c r="D5" s="1">
        <v>2</v>
      </c>
      <c r="E5" s="1">
        <f t="shared" si="11"/>
        <v>76</v>
      </c>
      <c r="F5" s="49">
        <v>9</v>
      </c>
      <c r="G5" s="49">
        <v>0</v>
      </c>
      <c r="H5" s="1">
        <v>56</v>
      </c>
      <c r="I5" s="1">
        <v>0</v>
      </c>
      <c r="J5" s="4">
        <f t="shared" si="0"/>
        <v>4256</v>
      </c>
      <c r="K5" s="4">
        <f>SUMIFS('Mangal AeroponicsV6'!$K$21:$K$48,'Mangal AeroponicsV6'!$B$21:$B$48,'Mangal Foundation'!B5)</f>
        <v>3744</v>
      </c>
      <c r="L5" s="80">
        <f t="shared" si="1"/>
        <v>137.5</v>
      </c>
      <c r="M5" s="80">
        <f t="shared" si="12"/>
        <v>36</v>
      </c>
      <c r="N5" s="384">
        <f t="shared" si="13"/>
        <v>173.5</v>
      </c>
      <c r="O5" s="385">
        <f t="shared" si="2"/>
        <v>83.5</v>
      </c>
      <c r="P5" s="385">
        <f t="shared" si="14"/>
        <v>257</v>
      </c>
      <c r="Q5" s="385"/>
      <c r="R5" s="1">
        <v>40</v>
      </c>
      <c r="S5" s="13">
        <f t="shared" si="15"/>
        <v>3744</v>
      </c>
      <c r="T5" s="13">
        <f t="shared" si="16"/>
        <v>248</v>
      </c>
      <c r="U5" s="179">
        <f t="shared" si="3"/>
        <v>9.0962099125364428</v>
      </c>
      <c r="V5" s="179">
        <f t="shared" si="17"/>
        <v>0.9733124018838305</v>
      </c>
      <c r="W5" s="474"/>
      <c r="X5" s="390">
        <f t="shared" si="18"/>
        <v>74</v>
      </c>
      <c r="Y5" s="498">
        <f t="shared" si="19"/>
        <v>13</v>
      </c>
      <c r="Z5" s="390">
        <f t="shared" si="20"/>
        <v>0</v>
      </c>
      <c r="AA5" s="498">
        <f t="shared" si="21"/>
        <v>0</v>
      </c>
      <c r="AB5" s="4">
        <f>(AA5*Z5+Y5*X5)*4.4</f>
        <v>4232.8</v>
      </c>
      <c r="AC5" s="4"/>
      <c r="AD5" s="15">
        <f t="shared" si="22"/>
        <v>15660</v>
      </c>
      <c r="AE5" s="4"/>
      <c r="AF5" s="4"/>
      <c r="AG5" s="127"/>
      <c r="AH5" s="15">
        <f t="shared" si="4"/>
        <v>146</v>
      </c>
      <c r="AI5" s="15">
        <f t="shared" si="5"/>
        <v>477</v>
      </c>
      <c r="AJ5" s="127">
        <f t="shared" si="6"/>
        <v>438</v>
      </c>
      <c r="AK5" s="127">
        <f t="shared" si="7"/>
        <v>715.5</v>
      </c>
      <c r="AL5" s="1"/>
      <c r="AM5" s="1"/>
      <c r="AN5" s="390">
        <f t="shared" si="8"/>
        <v>2160</v>
      </c>
      <c r="AR5" s="1">
        <f t="shared" si="9"/>
        <v>10</v>
      </c>
      <c r="AS5" s="1">
        <f t="shared" si="10"/>
        <v>10</v>
      </c>
      <c r="AT5" s="1">
        <f t="shared" si="10"/>
        <v>10</v>
      </c>
    </row>
    <row r="6" spans="1:46" ht="14.25" x14ac:dyDescent="0.45">
      <c r="A6" s="1">
        <v>4</v>
      </c>
      <c r="B6" s="42" t="s">
        <v>18</v>
      </c>
      <c r="C6" s="1">
        <v>10</v>
      </c>
      <c r="D6" s="1">
        <v>2.5</v>
      </c>
      <c r="E6" s="1">
        <f>C6*8+D6*2</f>
        <v>85</v>
      </c>
      <c r="F6" s="49">
        <v>10</v>
      </c>
      <c r="G6" s="49">
        <v>0</v>
      </c>
      <c r="H6" s="1">
        <v>101</v>
      </c>
      <c r="I6" s="1">
        <v>0</v>
      </c>
      <c r="J6" s="4">
        <f t="shared" si="0"/>
        <v>8585</v>
      </c>
      <c r="K6" s="4">
        <f>SUMIFS('Mangal AeroponicsV6'!$K$21:$K$48,'Mangal AeroponicsV6'!$B$21:$B$48,'Mangal Foundation'!B6)</f>
        <v>7360</v>
      </c>
      <c r="L6" s="80">
        <f t="shared" si="1"/>
        <v>275</v>
      </c>
      <c r="M6" s="80">
        <f t="shared" si="12"/>
        <v>40</v>
      </c>
      <c r="N6" s="384">
        <f t="shared" si="13"/>
        <v>315</v>
      </c>
      <c r="O6" s="385">
        <f t="shared" si="2"/>
        <v>112</v>
      </c>
      <c r="P6" s="385">
        <f t="shared" si="14"/>
        <v>427</v>
      </c>
      <c r="Q6" s="385"/>
      <c r="R6" s="1">
        <v>66</v>
      </c>
      <c r="S6" s="13">
        <f t="shared" si="15"/>
        <v>7680</v>
      </c>
      <c r="T6" s="13">
        <f t="shared" si="16"/>
        <v>354</v>
      </c>
      <c r="U6" s="179">
        <f t="shared" si="3"/>
        <v>18.658892128279881</v>
      </c>
      <c r="V6" s="179">
        <f t="shared" si="17"/>
        <v>1.3893249607535323</v>
      </c>
      <c r="W6" s="474"/>
      <c r="X6" s="390">
        <f t="shared" si="18"/>
        <v>82</v>
      </c>
      <c r="Y6" s="498">
        <f t="shared" si="19"/>
        <v>24</v>
      </c>
      <c r="Z6" s="390">
        <f t="shared" si="20"/>
        <v>0</v>
      </c>
      <c r="AA6" s="498">
        <f t="shared" si="21"/>
        <v>0</v>
      </c>
      <c r="AB6" s="4">
        <f t="shared" ref="AB6:AB17" si="23">(AA6*Z6+Y6*X6)*4.4</f>
        <v>8659.2000000000007</v>
      </c>
      <c r="AC6" s="4"/>
      <c r="AD6" s="15">
        <f t="shared" si="22"/>
        <v>30900</v>
      </c>
      <c r="AE6" s="4"/>
      <c r="AF6" s="4"/>
      <c r="AG6" s="127"/>
      <c r="AH6" s="15">
        <f t="shared" si="4"/>
        <v>162</v>
      </c>
      <c r="AI6" s="15">
        <f t="shared" si="5"/>
        <v>970</v>
      </c>
      <c r="AJ6" s="127">
        <f t="shared" si="6"/>
        <v>486</v>
      </c>
      <c r="AK6" s="127">
        <f t="shared" si="7"/>
        <v>1455</v>
      </c>
      <c r="AL6" s="1"/>
      <c r="AM6" s="1"/>
      <c r="AN6" s="390">
        <f t="shared" si="8"/>
        <v>4600</v>
      </c>
      <c r="AR6" s="42">
        <f t="shared" si="9"/>
        <v>22</v>
      </c>
      <c r="AS6" s="42">
        <f t="shared" si="10"/>
        <v>22</v>
      </c>
      <c r="AT6" s="42">
        <f t="shared" si="10"/>
        <v>22</v>
      </c>
    </row>
    <row r="7" spans="1:46" ht="14.25" x14ac:dyDescent="0.45">
      <c r="A7" s="1">
        <v>5</v>
      </c>
      <c r="B7" s="42" t="s">
        <v>20</v>
      </c>
      <c r="C7" s="1">
        <v>10</v>
      </c>
      <c r="D7" s="1">
        <v>2.5</v>
      </c>
      <c r="E7" s="1">
        <f t="shared" si="11"/>
        <v>85</v>
      </c>
      <c r="F7" s="49">
        <v>10</v>
      </c>
      <c r="G7" s="49">
        <v>0</v>
      </c>
      <c r="H7" s="1">
        <v>77</v>
      </c>
      <c r="I7" s="1">
        <v>0</v>
      </c>
      <c r="J7" s="4">
        <f t="shared" si="0"/>
        <v>6545</v>
      </c>
      <c r="K7" s="4">
        <f>SUMIFS('Mangal AeroponicsV6'!$K$21:$K$48,'Mangal AeroponicsV6'!$B$21:$B$48,'Mangal Foundation'!B7)</f>
        <v>5440</v>
      </c>
      <c r="L7" s="80">
        <f t="shared" si="1"/>
        <v>209</v>
      </c>
      <c r="M7" s="80">
        <f t="shared" si="12"/>
        <v>40</v>
      </c>
      <c r="N7" s="384">
        <f t="shared" si="13"/>
        <v>249</v>
      </c>
      <c r="O7" s="385">
        <f t="shared" si="2"/>
        <v>100</v>
      </c>
      <c r="P7" s="385">
        <f t="shared" si="14"/>
        <v>349</v>
      </c>
      <c r="Q7" s="385"/>
      <c r="R7" s="1">
        <v>55</v>
      </c>
      <c r="S7" s="13">
        <f t="shared" si="15"/>
        <v>5760</v>
      </c>
      <c r="T7" s="13">
        <f t="shared" si="16"/>
        <v>306</v>
      </c>
      <c r="U7" s="179">
        <f t="shared" si="3"/>
        <v>13.994169096209912</v>
      </c>
      <c r="V7" s="179">
        <f t="shared" si="17"/>
        <v>1.2009419152276295</v>
      </c>
      <c r="W7" s="474"/>
      <c r="X7" s="390">
        <f t="shared" si="18"/>
        <v>82</v>
      </c>
      <c r="Y7" s="498">
        <f t="shared" si="19"/>
        <v>18</v>
      </c>
      <c r="Z7" s="390">
        <f t="shared" si="20"/>
        <v>0</v>
      </c>
      <c r="AA7" s="498">
        <f t="shared" si="21"/>
        <v>0</v>
      </c>
      <c r="AB7" s="4">
        <f t="shared" si="23"/>
        <v>6494.4000000000005</v>
      </c>
      <c r="AC7" s="4"/>
      <c r="AD7" s="15">
        <f t="shared" si="22"/>
        <v>23700</v>
      </c>
      <c r="AE7" s="4"/>
      <c r="AF7" s="4"/>
      <c r="AG7" s="127"/>
      <c r="AH7" s="15">
        <f t="shared" si="4"/>
        <v>162</v>
      </c>
      <c r="AI7" s="15">
        <f t="shared" si="5"/>
        <v>730</v>
      </c>
      <c r="AJ7" s="127">
        <f>AH7*3</f>
        <v>486</v>
      </c>
      <c r="AK7" s="127">
        <f>AI7*1.5</f>
        <v>1095</v>
      </c>
      <c r="AL7" s="1"/>
      <c r="AM7" s="1"/>
      <c r="AN7" s="390">
        <f t="shared" si="8"/>
        <v>3400</v>
      </c>
      <c r="AR7" s="42">
        <f t="shared" si="9"/>
        <v>22</v>
      </c>
      <c r="AS7" s="42">
        <f t="shared" si="10"/>
        <v>22</v>
      </c>
      <c r="AT7" s="42">
        <f t="shared" si="10"/>
        <v>22</v>
      </c>
    </row>
    <row r="8" spans="1:46" ht="14.25" x14ac:dyDescent="0.45">
      <c r="A8" s="1">
        <v>6</v>
      </c>
      <c r="B8" s="42" t="s">
        <v>22</v>
      </c>
      <c r="C8" s="1">
        <v>10</v>
      </c>
      <c r="D8" s="1">
        <v>2.5</v>
      </c>
      <c r="E8" s="1">
        <f t="shared" si="11"/>
        <v>85</v>
      </c>
      <c r="F8" s="49">
        <v>4</v>
      </c>
      <c r="G8" s="49">
        <v>6</v>
      </c>
      <c r="H8" s="1">
        <v>85</v>
      </c>
      <c r="I8" s="1">
        <v>61</v>
      </c>
      <c r="J8" s="4">
        <f t="shared" si="0"/>
        <v>6073</v>
      </c>
      <c r="K8" s="4">
        <f>SUMIFS('Mangal AeroponicsV6'!$K$21:$K$48,'Mangal AeroponicsV6'!$B$21:$B$48,'Mangal Foundation'!B8)</f>
        <v>4928</v>
      </c>
      <c r="L8" s="80">
        <f t="shared" si="1"/>
        <v>195</v>
      </c>
      <c r="M8" s="80">
        <f t="shared" si="12"/>
        <v>40</v>
      </c>
      <c r="N8" s="384">
        <f t="shared" si="13"/>
        <v>235</v>
      </c>
      <c r="O8" s="385">
        <f t="shared" si="2"/>
        <v>104</v>
      </c>
      <c r="P8" s="385">
        <f t="shared" si="14"/>
        <v>339</v>
      </c>
      <c r="Q8" s="385"/>
      <c r="R8" s="1">
        <v>49</v>
      </c>
      <c r="S8" s="13">
        <f t="shared" si="15"/>
        <v>6400</v>
      </c>
      <c r="T8" s="13">
        <f t="shared" si="16"/>
        <v>322</v>
      </c>
      <c r="U8" s="179">
        <f t="shared" si="3"/>
        <v>15.54907677356657</v>
      </c>
      <c r="V8" s="179">
        <f t="shared" si="17"/>
        <v>1.2637362637362637</v>
      </c>
      <c r="W8" s="474"/>
      <c r="X8" s="390">
        <f t="shared" si="18"/>
        <v>82</v>
      </c>
      <c r="Y8" s="498">
        <f t="shared" si="19"/>
        <v>14</v>
      </c>
      <c r="Z8" s="390">
        <f t="shared" si="20"/>
        <v>34</v>
      </c>
      <c r="AA8" s="498">
        <f t="shared" si="21"/>
        <v>6</v>
      </c>
      <c r="AB8" s="4">
        <f t="shared" si="23"/>
        <v>5948.8</v>
      </c>
      <c r="AC8" s="4"/>
      <c r="AD8" s="15">
        <f t="shared" si="22"/>
        <v>21780</v>
      </c>
      <c r="AE8" s="4"/>
      <c r="AF8" s="4"/>
      <c r="AG8" s="127"/>
      <c r="AH8" s="15">
        <f t="shared" si="4"/>
        <v>162</v>
      </c>
      <c r="AI8" s="15">
        <f t="shared" si="5"/>
        <v>666</v>
      </c>
      <c r="AJ8" s="127">
        <f t="shared" ref="AJ8:AJ17" si="24">AH8*3</f>
        <v>486</v>
      </c>
      <c r="AK8" s="127">
        <f t="shared" ref="AK8:AK17" si="25">AI8*1.5</f>
        <v>999</v>
      </c>
      <c r="AL8" s="1"/>
      <c r="AM8" s="1"/>
      <c r="AN8" s="390">
        <f t="shared" si="8"/>
        <v>3080</v>
      </c>
      <c r="AR8" s="42">
        <f t="shared" si="9"/>
        <v>22</v>
      </c>
      <c r="AS8" s="42">
        <f t="shared" si="10"/>
        <v>22</v>
      </c>
      <c r="AT8" s="42">
        <f t="shared" si="10"/>
        <v>22</v>
      </c>
    </row>
    <row r="9" spans="1:46" ht="14.25" x14ac:dyDescent="0.45">
      <c r="A9" s="1">
        <v>7</v>
      </c>
      <c r="B9" s="42" t="s">
        <v>24</v>
      </c>
      <c r="C9" s="1">
        <v>11</v>
      </c>
      <c r="D9" s="1">
        <v>2.5</v>
      </c>
      <c r="E9" s="1">
        <f t="shared" si="11"/>
        <v>93</v>
      </c>
      <c r="F9" s="49">
        <v>11</v>
      </c>
      <c r="G9" s="49">
        <v>0</v>
      </c>
      <c r="H9" s="1">
        <v>73</v>
      </c>
      <c r="I9" s="1">
        <v>0</v>
      </c>
      <c r="J9" s="4">
        <f t="shared" si="0"/>
        <v>6789</v>
      </c>
      <c r="K9" s="4">
        <f>SUMIFS('Mangal AeroponicsV6'!$K$21:$K$48,'Mangal AeroponicsV6'!$B$21:$B$48,'Mangal Foundation'!B9)</f>
        <v>5632</v>
      </c>
      <c r="L9" s="80">
        <f t="shared" si="1"/>
        <v>216</v>
      </c>
      <c r="M9" s="80">
        <f t="shared" si="12"/>
        <v>44</v>
      </c>
      <c r="N9" s="384">
        <f t="shared" si="13"/>
        <v>260</v>
      </c>
      <c r="O9" s="385">
        <f t="shared" si="2"/>
        <v>104</v>
      </c>
      <c r="P9" s="385">
        <f t="shared" si="14"/>
        <v>364</v>
      </c>
      <c r="Q9" s="385"/>
      <c r="R9" s="1">
        <v>60</v>
      </c>
      <c r="S9" s="13">
        <f>(H9-D9*2)*(E9-2*D9)</f>
        <v>5984</v>
      </c>
      <c r="T9" s="13">
        <f t="shared" si="16"/>
        <v>314</v>
      </c>
      <c r="U9" s="179">
        <f t="shared" si="3"/>
        <v>14.538386783284741</v>
      </c>
      <c r="V9" s="179">
        <f t="shared" si="17"/>
        <v>1.2323390894819466</v>
      </c>
      <c r="W9" s="474"/>
      <c r="X9" s="390">
        <f t="shared" si="18"/>
        <v>90</v>
      </c>
      <c r="Y9" s="498">
        <f t="shared" si="19"/>
        <v>17</v>
      </c>
      <c r="Z9" s="390">
        <f t="shared" si="20"/>
        <v>0</v>
      </c>
      <c r="AA9" s="498">
        <f t="shared" si="21"/>
        <v>0</v>
      </c>
      <c r="AB9" s="4">
        <f t="shared" si="23"/>
        <v>6732.0000000000009</v>
      </c>
      <c r="AC9" s="4"/>
      <c r="AD9" s="15">
        <f t="shared" si="22"/>
        <v>24750</v>
      </c>
      <c r="AE9" s="4"/>
      <c r="AF9" s="4"/>
      <c r="AG9" s="127"/>
      <c r="AH9" s="15">
        <f t="shared" si="4"/>
        <v>178</v>
      </c>
      <c r="AI9" s="15">
        <f t="shared" si="5"/>
        <v>759</v>
      </c>
      <c r="AJ9" s="127">
        <f t="shared" si="24"/>
        <v>534</v>
      </c>
      <c r="AK9" s="127">
        <f t="shared" si="25"/>
        <v>1138.5</v>
      </c>
      <c r="AL9" s="1"/>
      <c r="AM9" s="1"/>
      <c r="AN9" s="390">
        <f t="shared" si="8"/>
        <v>3520</v>
      </c>
      <c r="AR9" s="42">
        <f t="shared" si="9"/>
        <v>24</v>
      </c>
      <c r="AS9" s="42">
        <f t="shared" si="10"/>
        <v>24</v>
      </c>
      <c r="AT9" s="42">
        <f t="shared" si="10"/>
        <v>24</v>
      </c>
    </row>
    <row r="10" spans="1:46" s="505" customFormat="1" ht="14.25" x14ac:dyDescent="0.45">
      <c r="A10" s="499">
        <v>8</v>
      </c>
      <c r="B10" s="499" t="s">
        <v>27</v>
      </c>
      <c r="C10" s="499">
        <v>12</v>
      </c>
      <c r="D10" s="499">
        <v>2.5</v>
      </c>
      <c r="E10" s="499">
        <f t="shared" si="11"/>
        <v>101</v>
      </c>
      <c r="F10" s="500">
        <v>12</v>
      </c>
      <c r="G10" s="500">
        <v>0</v>
      </c>
      <c r="H10" s="499">
        <v>101</v>
      </c>
      <c r="I10" s="499">
        <v>0</v>
      </c>
      <c r="J10" s="501">
        <f t="shared" si="0"/>
        <v>10201</v>
      </c>
      <c r="K10" s="501">
        <f>SUMIFS('Mangal AeroponicsV6'!$K$21:$K$48,'Mangal AeroponicsV6'!$B$21:$B$48,'Mangal Foundation'!B10)</f>
        <v>8832</v>
      </c>
      <c r="L10" s="502">
        <f t="shared" si="1"/>
        <v>325</v>
      </c>
      <c r="M10" s="502">
        <f t="shared" si="12"/>
        <v>48</v>
      </c>
      <c r="N10" s="503">
        <f t="shared" si="13"/>
        <v>373</v>
      </c>
      <c r="O10" s="504">
        <f t="shared" si="2"/>
        <v>124</v>
      </c>
      <c r="P10" s="504">
        <f t="shared" si="14"/>
        <v>497</v>
      </c>
      <c r="Q10" s="504"/>
      <c r="R10" s="499">
        <v>78</v>
      </c>
      <c r="S10" s="506">
        <f t="shared" si="15"/>
        <v>9216</v>
      </c>
      <c r="T10" s="506">
        <f t="shared" si="16"/>
        <v>386</v>
      </c>
      <c r="U10" s="507">
        <f t="shared" si="3"/>
        <v>22.390670553935859</v>
      </c>
      <c r="V10" s="507">
        <f t="shared" si="17"/>
        <v>1.5149136577708004</v>
      </c>
      <c r="W10" s="508"/>
      <c r="X10" s="509">
        <f t="shared" si="18"/>
        <v>98</v>
      </c>
      <c r="Y10" s="510">
        <f t="shared" si="19"/>
        <v>24</v>
      </c>
      <c r="Z10" s="509">
        <f t="shared" si="20"/>
        <v>0</v>
      </c>
      <c r="AA10" s="510">
        <f t="shared" si="21"/>
        <v>0</v>
      </c>
      <c r="AB10" s="501">
        <f t="shared" si="23"/>
        <v>10348.800000000001</v>
      </c>
      <c r="AC10" s="501"/>
      <c r="AD10" s="514">
        <f t="shared" si="22"/>
        <v>37080</v>
      </c>
      <c r="AE10" s="501"/>
      <c r="AF10" s="501"/>
      <c r="AG10" s="513"/>
      <c r="AH10" s="514">
        <f t="shared" si="4"/>
        <v>194</v>
      </c>
      <c r="AI10" s="514">
        <f t="shared" si="5"/>
        <v>1164</v>
      </c>
      <c r="AJ10" s="513">
        <f t="shared" si="24"/>
        <v>582</v>
      </c>
      <c r="AK10" s="513">
        <f t="shared" si="25"/>
        <v>1746</v>
      </c>
      <c r="AL10" s="499"/>
      <c r="AM10" s="499"/>
      <c r="AN10" s="509">
        <f t="shared" si="8"/>
        <v>5520</v>
      </c>
      <c r="AR10" s="499">
        <f t="shared" si="9"/>
        <v>26</v>
      </c>
      <c r="AS10" s="499">
        <f t="shared" si="10"/>
        <v>26</v>
      </c>
      <c r="AT10" s="499">
        <f t="shared" si="10"/>
        <v>26</v>
      </c>
    </row>
    <row r="11" spans="1:46" s="505" customFormat="1" ht="14.25" x14ac:dyDescent="0.45">
      <c r="A11" s="499">
        <v>9</v>
      </c>
      <c r="B11" s="499" t="s">
        <v>29</v>
      </c>
      <c r="C11" s="499">
        <v>12</v>
      </c>
      <c r="D11" s="499">
        <v>2.5</v>
      </c>
      <c r="E11" s="499">
        <f t="shared" si="11"/>
        <v>101</v>
      </c>
      <c r="F11" s="500">
        <v>12</v>
      </c>
      <c r="G11" s="500">
        <v>0</v>
      </c>
      <c r="H11" s="499">
        <v>101</v>
      </c>
      <c r="I11" s="499">
        <v>0</v>
      </c>
      <c r="J11" s="501">
        <f t="shared" si="0"/>
        <v>10201</v>
      </c>
      <c r="K11" s="501">
        <f>SUMIFS('Mangal AeroponicsV6'!$K$21:$K$48,'Mangal AeroponicsV6'!$B$21:$B$48,'Mangal Foundation'!B11)</f>
        <v>8832</v>
      </c>
      <c r="L11" s="502">
        <f t="shared" si="1"/>
        <v>325</v>
      </c>
      <c r="M11" s="502">
        <f t="shared" si="12"/>
        <v>48</v>
      </c>
      <c r="N11" s="503">
        <f t="shared" si="13"/>
        <v>373</v>
      </c>
      <c r="O11" s="504">
        <f t="shared" si="2"/>
        <v>124</v>
      </c>
      <c r="P11" s="504">
        <f t="shared" si="14"/>
        <v>497</v>
      </c>
      <c r="Q11" s="504"/>
      <c r="R11" s="499">
        <v>78</v>
      </c>
      <c r="S11" s="506">
        <f t="shared" si="15"/>
        <v>9216</v>
      </c>
      <c r="T11" s="506">
        <f t="shared" si="16"/>
        <v>386</v>
      </c>
      <c r="U11" s="507">
        <f t="shared" si="3"/>
        <v>22.390670553935859</v>
      </c>
      <c r="V11" s="507">
        <f t="shared" si="17"/>
        <v>1.5149136577708004</v>
      </c>
      <c r="W11" s="508"/>
      <c r="X11" s="509">
        <f t="shared" si="18"/>
        <v>98</v>
      </c>
      <c r="Y11" s="510">
        <f t="shared" si="19"/>
        <v>24</v>
      </c>
      <c r="Z11" s="509">
        <f t="shared" si="20"/>
        <v>0</v>
      </c>
      <c r="AA11" s="510">
        <f t="shared" si="21"/>
        <v>0</v>
      </c>
      <c r="AB11" s="501">
        <f t="shared" si="23"/>
        <v>10348.800000000001</v>
      </c>
      <c r="AC11" s="501"/>
      <c r="AD11" s="514">
        <f t="shared" si="22"/>
        <v>37080</v>
      </c>
      <c r="AE11" s="501"/>
      <c r="AF11" s="501"/>
      <c r="AG11" s="513"/>
      <c r="AH11" s="514">
        <f t="shared" si="4"/>
        <v>194</v>
      </c>
      <c r="AI11" s="514">
        <f t="shared" si="5"/>
        <v>1164</v>
      </c>
      <c r="AJ11" s="513">
        <f t="shared" si="24"/>
        <v>582</v>
      </c>
      <c r="AK11" s="513">
        <f t="shared" si="25"/>
        <v>1746</v>
      </c>
      <c r="AL11" s="499"/>
      <c r="AM11" s="499"/>
      <c r="AN11" s="509">
        <f t="shared" si="8"/>
        <v>5520</v>
      </c>
      <c r="AR11" s="499">
        <f t="shared" si="9"/>
        <v>26</v>
      </c>
      <c r="AS11" s="499">
        <f t="shared" si="10"/>
        <v>26</v>
      </c>
      <c r="AT11" s="499">
        <f t="shared" si="10"/>
        <v>26</v>
      </c>
    </row>
    <row r="12" spans="1:46" s="505" customFormat="1" ht="14.25" x14ac:dyDescent="0.45">
      <c r="A12" s="499">
        <v>10</v>
      </c>
      <c r="B12" s="499" t="s">
        <v>31</v>
      </c>
      <c r="C12" s="499">
        <v>12</v>
      </c>
      <c r="D12" s="499">
        <v>2.5</v>
      </c>
      <c r="E12" s="499">
        <f>C12*8+D12*2</f>
        <v>101</v>
      </c>
      <c r="F12" s="500">
        <v>12</v>
      </c>
      <c r="G12" s="500">
        <v>0</v>
      </c>
      <c r="H12" s="499">
        <v>73</v>
      </c>
      <c r="I12" s="499">
        <v>0</v>
      </c>
      <c r="J12" s="501">
        <f t="shared" si="0"/>
        <v>7373</v>
      </c>
      <c r="K12" s="501">
        <f>SUMIFS('Mangal AeroponicsV6'!$K$21:$K$48,'Mangal AeroponicsV6'!$B$21:$B$48,'Mangal Foundation'!B12)</f>
        <v>6144</v>
      </c>
      <c r="L12" s="502">
        <f t="shared" si="1"/>
        <v>234</v>
      </c>
      <c r="M12" s="502">
        <f t="shared" si="12"/>
        <v>48</v>
      </c>
      <c r="N12" s="503">
        <f t="shared" si="13"/>
        <v>282</v>
      </c>
      <c r="O12" s="504">
        <f t="shared" si="2"/>
        <v>110</v>
      </c>
      <c r="P12" s="504">
        <f t="shared" si="14"/>
        <v>392</v>
      </c>
      <c r="Q12" s="504"/>
      <c r="R12" s="499">
        <v>65</v>
      </c>
      <c r="S12" s="506">
        <f t="shared" si="15"/>
        <v>6528</v>
      </c>
      <c r="T12" s="506">
        <f t="shared" si="16"/>
        <v>330</v>
      </c>
      <c r="U12" s="507">
        <f t="shared" si="3"/>
        <v>15.8600583090379</v>
      </c>
      <c r="V12" s="507">
        <f t="shared" si="17"/>
        <v>1.2951334379905808</v>
      </c>
      <c r="W12" s="508"/>
      <c r="X12" s="509">
        <f t="shared" si="18"/>
        <v>98</v>
      </c>
      <c r="Y12" s="510">
        <f t="shared" si="19"/>
        <v>17</v>
      </c>
      <c r="Z12" s="509">
        <f t="shared" si="20"/>
        <v>0</v>
      </c>
      <c r="AA12" s="510">
        <f t="shared" si="21"/>
        <v>0</v>
      </c>
      <c r="AB12" s="501">
        <f t="shared" si="23"/>
        <v>7330.4000000000005</v>
      </c>
      <c r="AC12" s="501"/>
      <c r="AD12" s="514">
        <f t="shared" si="22"/>
        <v>27000</v>
      </c>
      <c r="AE12" s="501"/>
      <c r="AF12" s="501"/>
      <c r="AG12" s="513"/>
      <c r="AH12" s="514">
        <f t="shared" si="4"/>
        <v>194</v>
      </c>
      <c r="AI12" s="514">
        <f t="shared" si="5"/>
        <v>828</v>
      </c>
      <c r="AJ12" s="513">
        <f t="shared" si="24"/>
        <v>582</v>
      </c>
      <c r="AK12" s="513">
        <f t="shared" si="25"/>
        <v>1242</v>
      </c>
      <c r="AL12" s="499"/>
      <c r="AM12" s="499"/>
      <c r="AN12" s="509">
        <f t="shared" si="8"/>
        <v>3840</v>
      </c>
      <c r="AR12" s="499">
        <f t="shared" si="9"/>
        <v>26</v>
      </c>
      <c r="AS12" s="499">
        <f t="shared" si="10"/>
        <v>26</v>
      </c>
      <c r="AT12" s="499">
        <f t="shared" si="10"/>
        <v>26</v>
      </c>
    </row>
    <row r="13" spans="1:46" ht="14.25" x14ac:dyDescent="0.45">
      <c r="A13" s="1">
        <v>11</v>
      </c>
      <c r="B13" s="1" t="s">
        <v>33</v>
      </c>
      <c r="C13" s="1">
        <v>12</v>
      </c>
      <c r="D13" s="1">
        <v>2</v>
      </c>
      <c r="E13" s="1">
        <f t="shared" si="11"/>
        <v>100</v>
      </c>
      <c r="F13" s="49">
        <v>12</v>
      </c>
      <c r="G13" s="49">
        <v>0</v>
      </c>
      <c r="H13" s="1">
        <v>40</v>
      </c>
      <c r="I13" s="1">
        <v>0</v>
      </c>
      <c r="J13" s="4">
        <f t="shared" si="0"/>
        <v>4000</v>
      </c>
      <c r="K13" s="4">
        <f>SUMIFS('Mangal AeroponicsV6'!$K$21:$K$48,'Mangal AeroponicsV6'!$B$21:$B$48,'Mangal Foundation'!B13)</f>
        <v>3456</v>
      </c>
      <c r="L13" s="80">
        <f t="shared" si="1"/>
        <v>126.75</v>
      </c>
      <c r="M13" s="80">
        <f t="shared" si="12"/>
        <v>48</v>
      </c>
      <c r="N13" s="384">
        <f>SUM(L13:M13)</f>
        <v>174.75</v>
      </c>
      <c r="O13" s="385">
        <f t="shared" si="2"/>
        <v>93.5</v>
      </c>
      <c r="P13" s="385">
        <f t="shared" si="14"/>
        <v>268.25</v>
      </c>
      <c r="Q13" s="385"/>
      <c r="R13" s="1">
        <v>36</v>
      </c>
      <c r="S13" s="13">
        <f t="shared" si="15"/>
        <v>3456</v>
      </c>
      <c r="T13" s="13">
        <f t="shared" si="16"/>
        <v>264</v>
      </c>
      <c r="U13" s="179">
        <f t="shared" si="3"/>
        <v>8.3965014577259467</v>
      </c>
      <c r="V13" s="179">
        <f t="shared" si="17"/>
        <v>1.0361067503924646</v>
      </c>
      <c r="W13" s="474"/>
      <c r="X13" s="390">
        <f t="shared" si="18"/>
        <v>98</v>
      </c>
      <c r="Y13" s="498">
        <f t="shared" si="19"/>
        <v>9</v>
      </c>
      <c r="Z13" s="390">
        <f t="shared" si="20"/>
        <v>0</v>
      </c>
      <c r="AA13" s="498">
        <f t="shared" si="21"/>
        <v>0</v>
      </c>
      <c r="AB13" s="4">
        <f t="shared" si="23"/>
        <v>3880.8</v>
      </c>
      <c r="AC13" s="4"/>
      <c r="AD13" s="15">
        <f t="shared" si="22"/>
        <v>15120</v>
      </c>
      <c r="AE13" s="4"/>
      <c r="AF13" s="4"/>
      <c r="AG13" s="127"/>
      <c r="AH13" s="15">
        <f t="shared" si="4"/>
        <v>194</v>
      </c>
      <c r="AI13" s="15">
        <f t="shared" si="5"/>
        <v>444</v>
      </c>
      <c r="AJ13" s="127">
        <f t="shared" si="24"/>
        <v>582</v>
      </c>
      <c r="AK13" s="127">
        <f t="shared" si="25"/>
        <v>666</v>
      </c>
      <c r="AL13" s="1"/>
      <c r="AM13" s="1"/>
      <c r="AN13" s="390">
        <f t="shared" si="8"/>
        <v>1920</v>
      </c>
      <c r="AR13" s="1">
        <f t="shared" si="9"/>
        <v>13</v>
      </c>
      <c r="AS13" s="1">
        <f t="shared" si="10"/>
        <v>13</v>
      </c>
      <c r="AT13" s="1">
        <f t="shared" si="10"/>
        <v>13</v>
      </c>
    </row>
    <row r="14" spans="1:46" ht="14.25" x14ac:dyDescent="0.45">
      <c r="A14" s="1">
        <v>12</v>
      </c>
      <c r="B14" s="1" t="s">
        <v>35</v>
      </c>
      <c r="C14" s="1">
        <v>12</v>
      </c>
      <c r="D14" s="1">
        <v>2</v>
      </c>
      <c r="E14" s="1">
        <f t="shared" si="11"/>
        <v>100</v>
      </c>
      <c r="F14" s="49">
        <v>12</v>
      </c>
      <c r="G14" s="49">
        <v>0</v>
      </c>
      <c r="H14" s="1">
        <v>40</v>
      </c>
      <c r="I14" s="1">
        <v>0</v>
      </c>
      <c r="J14" s="4">
        <f t="shared" si="0"/>
        <v>4000</v>
      </c>
      <c r="K14" s="4">
        <f>SUMIFS('Mangal AeroponicsV6'!$K$21:$K$48,'Mangal AeroponicsV6'!$B$21:$B$48,'Mangal Foundation'!B14)</f>
        <v>3456</v>
      </c>
      <c r="L14" s="80">
        <f t="shared" si="1"/>
        <v>126.75</v>
      </c>
      <c r="M14" s="80">
        <f t="shared" si="12"/>
        <v>48</v>
      </c>
      <c r="N14" s="384">
        <f t="shared" si="13"/>
        <v>174.75</v>
      </c>
      <c r="O14" s="385">
        <f t="shared" si="2"/>
        <v>93.5</v>
      </c>
      <c r="P14" s="385">
        <f t="shared" si="14"/>
        <v>268.25</v>
      </c>
      <c r="Q14" s="385"/>
      <c r="R14" s="1">
        <v>39</v>
      </c>
      <c r="S14" s="13">
        <f t="shared" si="15"/>
        <v>3456</v>
      </c>
      <c r="T14" s="13">
        <f t="shared" si="16"/>
        <v>264</v>
      </c>
      <c r="U14" s="179">
        <f t="shared" si="3"/>
        <v>8.3965014577259467</v>
      </c>
      <c r="V14" s="179">
        <f t="shared" si="17"/>
        <v>1.0361067503924646</v>
      </c>
      <c r="W14" s="474"/>
      <c r="X14" s="390">
        <f t="shared" si="18"/>
        <v>98</v>
      </c>
      <c r="Y14" s="498">
        <f t="shared" si="19"/>
        <v>9</v>
      </c>
      <c r="Z14" s="390">
        <f t="shared" si="20"/>
        <v>0</v>
      </c>
      <c r="AA14" s="498">
        <f t="shared" si="21"/>
        <v>0</v>
      </c>
      <c r="AB14" s="4">
        <f t="shared" si="23"/>
        <v>3880.8</v>
      </c>
      <c r="AC14" s="4"/>
      <c r="AD14" s="15">
        <f t="shared" si="22"/>
        <v>15120</v>
      </c>
      <c r="AE14" s="4"/>
      <c r="AF14" s="4"/>
      <c r="AG14" s="127"/>
      <c r="AH14" s="15">
        <f t="shared" si="4"/>
        <v>194</v>
      </c>
      <c r="AI14" s="15">
        <f t="shared" si="5"/>
        <v>444</v>
      </c>
      <c r="AJ14" s="127">
        <f t="shared" si="24"/>
        <v>582</v>
      </c>
      <c r="AK14" s="127">
        <f t="shared" si="25"/>
        <v>666</v>
      </c>
      <c r="AL14" s="1"/>
      <c r="AM14" s="1"/>
      <c r="AN14" s="390">
        <f t="shared" si="8"/>
        <v>1920</v>
      </c>
      <c r="AR14" s="1">
        <f t="shared" si="9"/>
        <v>13</v>
      </c>
      <c r="AS14" s="1">
        <f t="shared" si="10"/>
        <v>13</v>
      </c>
      <c r="AT14" s="1">
        <f t="shared" si="10"/>
        <v>13</v>
      </c>
    </row>
    <row r="15" spans="1:46" s="505" customFormat="1" ht="14.25" x14ac:dyDescent="0.45">
      <c r="A15" s="499">
        <v>13</v>
      </c>
      <c r="B15" s="499" t="s">
        <v>37</v>
      </c>
      <c r="C15" s="499">
        <v>12</v>
      </c>
      <c r="D15" s="499">
        <v>2.5</v>
      </c>
      <c r="E15" s="499">
        <f t="shared" si="11"/>
        <v>101</v>
      </c>
      <c r="F15" s="500">
        <v>12</v>
      </c>
      <c r="G15" s="500">
        <v>0</v>
      </c>
      <c r="H15" s="499">
        <v>61</v>
      </c>
      <c r="I15" s="499">
        <v>0</v>
      </c>
      <c r="J15" s="501">
        <f t="shared" si="0"/>
        <v>6161</v>
      </c>
      <c r="K15" s="501">
        <f>SUMIFS('Mangal AeroponicsV6'!$K$21:$K$48,'Mangal AeroponicsV6'!$B$21:$B$48,'Mangal Foundation'!B15)</f>
        <v>4992</v>
      </c>
      <c r="L15" s="502">
        <f t="shared" si="1"/>
        <v>195</v>
      </c>
      <c r="M15" s="502">
        <f t="shared" si="12"/>
        <v>48</v>
      </c>
      <c r="N15" s="503">
        <f t="shared" si="13"/>
        <v>243</v>
      </c>
      <c r="O15" s="504">
        <f t="shared" si="2"/>
        <v>104</v>
      </c>
      <c r="P15" s="504">
        <f t="shared" si="14"/>
        <v>347</v>
      </c>
      <c r="Q15" s="504"/>
      <c r="R15" s="499">
        <v>52</v>
      </c>
      <c r="S15" s="506">
        <f t="shared" si="15"/>
        <v>5376</v>
      </c>
      <c r="T15" s="506">
        <f t="shared" si="16"/>
        <v>306</v>
      </c>
      <c r="U15" s="507">
        <f t="shared" si="3"/>
        <v>13.061224489795919</v>
      </c>
      <c r="V15" s="507">
        <f t="shared" si="17"/>
        <v>1.2009419152276295</v>
      </c>
      <c r="W15" s="508"/>
      <c r="X15" s="509">
        <f t="shared" si="18"/>
        <v>98</v>
      </c>
      <c r="Y15" s="510">
        <f t="shared" si="19"/>
        <v>14</v>
      </c>
      <c r="Z15" s="509">
        <f t="shared" si="20"/>
        <v>0</v>
      </c>
      <c r="AA15" s="510">
        <f t="shared" si="21"/>
        <v>0</v>
      </c>
      <c r="AB15" s="501">
        <f t="shared" si="23"/>
        <v>6036.8</v>
      </c>
      <c r="AC15" s="501"/>
      <c r="AD15" s="514">
        <f t="shared" si="22"/>
        <v>22680</v>
      </c>
      <c r="AE15" s="501"/>
      <c r="AF15" s="501"/>
      <c r="AG15" s="513"/>
      <c r="AH15" s="514">
        <f t="shared" si="4"/>
        <v>194</v>
      </c>
      <c r="AI15" s="514">
        <f t="shared" si="5"/>
        <v>684</v>
      </c>
      <c r="AJ15" s="513">
        <f t="shared" si="24"/>
        <v>582</v>
      </c>
      <c r="AK15" s="513">
        <f t="shared" si="25"/>
        <v>1026</v>
      </c>
      <c r="AL15" s="499"/>
      <c r="AM15" s="499"/>
      <c r="AN15" s="509">
        <f t="shared" si="8"/>
        <v>3120</v>
      </c>
      <c r="AR15" s="499">
        <f t="shared" si="9"/>
        <v>26</v>
      </c>
      <c r="AS15" s="499">
        <f t="shared" si="10"/>
        <v>26</v>
      </c>
      <c r="AT15" s="499">
        <f t="shared" si="10"/>
        <v>26</v>
      </c>
    </row>
    <row r="16" spans="1:46" ht="14.25" x14ac:dyDescent="0.45">
      <c r="A16" s="1">
        <v>14</v>
      </c>
      <c r="B16" s="42" t="s">
        <v>39</v>
      </c>
      <c r="C16" s="1">
        <v>12</v>
      </c>
      <c r="D16" s="1">
        <v>2.5</v>
      </c>
      <c r="E16" s="1">
        <f t="shared" si="11"/>
        <v>101</v>
      </c>
      <c r="F16" s="49">
        <v>12</v>
      </c>
      <c r="G16" s="49">
        <v>0</v>
      </c>
      <c r="H16" s="1">
        <v>77</v>
      </c>
      <c r="I16" s="1">
        <v>0</v>
      </c>
      <c r="J16" s="4">
        <f t="shared" si="0"/>
        <v>7777</v>
      </c>
      <c r="K16" s="4">
        <f>SUMIFS('Mangal AeroponicsV6'!$K$21:$K$48,'Mangal AeroponicsV6'!$B$21:$B$48,'Mangal Foundation'!B16)</f>
        <v>6528</v>
      </c>
      <c r="L16" s="80">
        <f t="shared" si="1"/>
        <v>247</v>
      </c>
      <c r="M16" s="80">
        <f t="shared" si="12"/>
        <v>48</v>
      </c>
      <c r="N16" s="384">
        <f t="shared" si="13"/>
        <v>295</v>
      </c>
      <c r="O16" s="385">
        <f t="shared" si="2"/>
        <v>112</v>
      </c>
      <c r="P16" s="385">
        <f t="shared" si="14"/>
        <v>407</v>
      </c>
      <c r="Q16" s="385"/>
      <c r="R16" s="1">
        <v>65</v>
      </c>
      <c r="S16" s="13">
        <f t="shared" si="15"/>
        <v>6912</v>
      </c>
      <c r="T16" s="13">
        <f t="shared" si="16"/>
        <v>338</v>
      </c>
      <c r="U16" s="179">
        <f t="shared" si="3"/>
        <v>16.793002915451893</v>
      </c>
      <c r="V16" s="179">
        <f t="shared" si="17"/>
        <v>1.3265306122448979</v>
      </c>
      <c r="W16" s="474"/>
      <c r="X16" s="390">
        <f t="shared" si="18"/>
        <v>98</v>
      </c>
      <c r="Y16" s="498">
        <f t="shared" si="19"/>
        <v>18</v>
      </c>
      <c r="Z16" s="390">
        <f t="shared" si="20"/>
        <v>0</v>
      </c>
      <c r="AA16" s="498">
        <f t="shared" si="21"/>
        <v>0</v>
      </c>
      <c r="AB16" s="4">
        <f t="shared" si="23"/>
        <v>7761.6</v>
      </c>
      <c r="AC16" s="4"/>
      <c r="AD16" s="15">
        <f t="shared" si="22"/>
        <v>28440</v>
      </c>
      <c r="AE16" s="4"/>
      <c r="AF16" s="4"/>
      <c r="AG16" s="127"/>
      <c r="AH16" s="15">
        <f t="shared" si="4"/>
        <v>194</v>
      </c>
      <c r="AI16" s="15">
        <f t="shared" si="5"/>
        <v>876</v>
      </c>
      <c r="AJ16" s="127">
        <f t="shared" si="24"/>
        <v>582</v>
      </c>
      <c r="AK16" s="127">
        <f t="shared" si="25"/>
        <v>1314</v>
      </c>
      <c r="AL16" s="1"/>
      <c r="AM16" s="1"/>
      <c r="AN16" s="390">
        <f t="shared" si="8"/>
        <v>4080</v>
      </c>
      <c r="AR16" s="42">
        <f t="shared" si="9"/>
        <v>26</v>
      </c>
      <c r="AS16" s="42">
        <f t="shared" si="10"/>
        <v>26</v>
      </c>
      <c r="AT16" s="42">
        <f t="shared" si="10"/>
        <v>26</v>
      </c>
    </row>
    <row r="17" spans="1:46" ht="14.25" x14ac:dyDescent="0.45">
      <c r="A17" s="1">
        <v>15</v>
      </c>
      <c r="B17" s="1" t="s">
        <v>42</v>
      </c>
      <c r="C17" s="1">
        <v>8</v>
      </c>
      <c r="D17" s="1">
        <v>2.5</v>
      </c>
      <c r="E17" s="1">
        <f>C17*8+D17*2</f>
        <v>69</v>
      </c>
      <c r="F17" s="49">
        <v>6</v>
      </c>
      <c r="G17" s="49">
        <v>2</v>
      </c>
      <c r="H17" s="1">
        <v>69</v>
      </c>
      <c r="I17" s="1">
        <v>37</v>
      </c>
      <c r="J17" s="4">
        <f>8*F17*H17+8*G17*I17+2*D17*H17</f>
        <v>4249</v>
      </c>
      <c r="K17" s="4">
        <f>SUMIFS('Mangal AeroponicsV6'!$K$21:$K$48,'Mangal AeroponicsV6'!$B$21:$B$48,'Mangal Foundation'!B17)</f>
        <v>3328</v>
      </c>
      <c r="L17" s="80">
        <f t="shared" si="1"/>
        <v>137</v>
      </c>
      <c r="M17" s="80">
        <f t="shared" si="12"/>
        <v>32</v>
      </c>
      <c r="N17" s="384">
        <f t="shared" si="13"/>
        <v>169</v>
      </c>
      <c r="O17" s="385">
        <f t="shared" si="2"/>
        <v>84</v>
      </c>
      <c r="P17" s="385">
        <f t="shared" si="14"/>
        <v>253</v>
      </c>
      <c r="Q17" s="385"/>
      <c r="R17" s="1" t="s">
        <v>288</v>
      </c>
      <c r="S17" s="13">
        <f t="shared" si="15"/>
        <v>4096</v>
      </c>
      <c r="T17" s="13">
        <f t="shared" si="16"/>
        <v>258</v>
      </c>
      <c r="U17" s="179">
        <f t="shared" si="3"/>
        <v>9.9514091350826046</v>
      </c>
      <c r="V17" s="179">
        <f t="shared" si="17"/>
        <v>1.0125588697017267</v>
      </c>
      <c r="W17" s="474"/>
      <c r="X17" s="390">
        <f t="shared" si="18"/>
        <v>66</v>
      </c>
      <c r="Y17" s="498">
        <f t="shared" si="19"/>
        <v>8</v>
      </c>
      <c r="Z17" s="390">
        <f t="shared" si="20"/>
        <v>50</v>
      </c>
      <c r="AA17" s="498">
        <f t="shared" si="21"/>
        <v>8</v>
      </c>
      <c r="AB17" s="4">
        <f t="shared" si="23"/>
        <v>4083.2000000000003</v>
      </c>
      <c r="AC17" s="4"/>
      <c r="AD17" s="15">
        <f t="shared" si="22"/>
        <v>15120</v>
      </c>
      <c r="AE17" s="4"/>
      <c r="AF17" s="4"/>
      <c r="AG17" s="127"/>
      <c r="AH17" s="15">
        <f t="shared" si="4"/>
        <v>130</v>
      </c>
      <c r="AI17" s="15">
        <f t="shared" si="5"/>
        <v>456</v>
      </c>
      <c r="AJ17" s="127">
        <f t="shared" si="24"/>
        <v>390</v>
      </c>
      <c r="AK17" s="127">
        <f t="shared" si="25"/>
        <v>684</v>
      </c>
      <c r="AL17" s="1"/>
      <c r="AM17" s="1"/>
      <c r="AN17" s="390">
        <f t="shared" si="8"/>
        <v>2080</v>
      </c>
      <c r="AR17" s="1">
        <f t="shared" si="9"/>
        <v>18</v>
      </c>
      <c r="AS17" s="1">
        <f t="shared" si="10"/>
        <v>18</v>
      </c>
      <c r="AT17" s="1">
        <f t="shared" si="10"/>
        <v>18</v>
      </c>
    </row>
    <row r="18" spans="1:46" s="348" customFormat="1" ht="14.65" thickBot="1" x14ac:dyDescent="0.5">
      <c r="A18" s="34"/>
      <c r="B18" s="34"/>
      <c r="C18" s="34"/>
      <c r="D18" s="34"/>
      <c r="E18" s="34"/>
      <c r="F18" s="50"/>
      <c r="G18" s="50"/>
      <c r="H18" s="34"/>
      <c r="I18" s="34"/>
      <c r="J18" s="35"/>
      <c r="K18" s="35"/>
      <c r="L18" s="81"/>
      <c r="M18" s="81"/>
      <c r="N18" s="452"/>
      <c r="O18" s="453"/>
      <c r="P18" s="453"/>
      <c r="Q18" s="453"/>
      <c r="R18" s="34"/>
      <c r="S18" s="338"/>
      <c r="T18" s="338"/>
      <c r="U18" s="454"/>
      <c r="V18" s="454"/>
      <c r="Y18" s="515"/>
      <c r="AA18" s="515"/>
      <c r="AD18" s="516"/>
      <c r="AH18" s="34"/>
      <c r="AI18" s="34"/>
      <c r="AN18" s="413"/>
      <c r="AR18" s="34"/>
      <c r="AS18" s="34"/>
      <c r="AT18" s="34"/>
    </row>
    <row r="19" spans="1:46" ht="14.65" thickTop="1" x14ac:dyDescent="0.45">
      <c r="A19" s="42"/>
      <c r="B19" s="42"/>
      <c r="C19" s="42"/>
      <c r="D19" s="42"/>
      <c r="E19" s="42"/>
      <c r="F19" s="42"/>
      <c r="G19" s="42"/>
      <c r="H19" s="42"/>
      <c r="I19" s="42"/>
      <c r="J19" s="8">
        <f>SUM(J3:J18)</f>
        <v>97595</v>
      </c>
      <c r="K19" s="8">
        <f>SUM(K3:K18)</f>
        <v>82368</v>
      </c>
      <c r="L19" s="346"/>
      <c r="M19" s="346"/>
      <c r="N19" s="346"/>
      <c r="O19" s="58"/>
      <c r="P19" s="1"/>
      <c r="Q19" s="1"/>
      <c r="R19" s="1">
        <f>SUM(R3:R18)</f>
        <v>776</v>
      </c>
      <c r="S19" s="326">
        <f>SUM(S3:S18)</f>
        <v>88384</v>
      </c>
      <c r="T19" s="326">
        <f>SUM(T3:T18)</f>
        <v>4654</v>
      </c>
      <c r="U19" s="455">
        <f t="shared" ref="U19:V19" si="26">SUM(U3:U18)</f>
        <v>214.7327502429543</v>
      </c>
      <c r="V19" s="455">
        <f t="shared" si="26"/>
        <v>18.300470957613815</v>
      </c>
      <c r="AD19" s="15">
        <f>SUM(AD3:AD18)</f>
        <v>355710</v>
      </c>
      <c r="AH19" s="42">
        <f>SUBTOTAL(9,AH3:AH16)</f>
        <v>2476</v>
      </c>
      <c r="AI19" s="42">
        <f>SUBTOTAL(9,AI3:AI16)</f>
        <v>10477</v>
      </c>
      <c r="AN19" s="218"/>
      <c r="AR19" s="42">
        <f>SUM(AR3:AR18)</f>
        <v>306</v>
      </c>
      <c r="AS19" s="42">
        <f>SUM(AS3:AS18)</f>
        <v>306</v>
      </c>
      <c r="AT19" s="42">
        <f>SUM(AT3:AT18)</f>
        <v>306</v>
      </c>
    </row>
    <row r="20" spans="1:46" ht="14.25" x14ac:dyDescent="0.45">
      <c r="AH20" s="1">
        <v>2500</v>
      </c>
      <c r="AI20" s="1">
        <v>10700</v>
      </c>
      <c r="AR20" s="1"/>
      <c r="AS20" s="1"/>
      <c r="AT20" s="1"/>
    </row>
    <row r="21" spans="1:46" ht="14.25" x14ac:dyDescent="0.45">
      <c r="C21" s="13"/>
      <c r="AH21" s="1"/>
      <c r="AI21" s="1"/>
    </row>
    <row r="22" spans="1:46" ht="14.25" x14ac:dyDescent="0.45">
      <c r="C22" s="13"/>
    </row>
    <row r="23" spans="1:46" ht="14.25" x14ac:dyDescent="0.45">
      <c r="C23" s="13"/>
      <c r="O23" s="470"/>
    </row>
    <row r="24" spans="1:46" ht="14.25" x14ac:dyDescent="0.45">
      <c r="C24" s="13"/>
      <c r="O24" s="470"/>
    </row>
    <row r="25" spans="1:46" ht="14.25" x14ac:dyDescent="0.45">
      <c r="C25" s="13"/>
      <c r="O25" s="470"/>
    </row>
    <row r="26" spans="1:46" ht="14.25" x14ac:dyDescent="0.45">
      <c r="C26" s="13"/>
      <c r="O26" s="470"/>
    </row>
    <row r="27" spans="1:46" ht="14.25" x14ac:dyDescent="0.45">
      <c r="C27" s="13"/>
      <c r="O27" s="470"/>
    </row>
    <row r="28" spans="1:46" ht="14.25" x14ac:dyDescent="0.45">
      <c r="C28" s="13"/>
    </row>
    <row r="29" spans="1:46" ht="14.25" x14ac:dyDescent="0.45">
      <c r="C29" s="13"/>
    </row>
    <row r="30" spans="1:46" ht="14.25" x14ac:dyDescent="0.45">
      <c r="C30" s="13"/>
    </row>
    <row r="31" spans="1:46" ht="14.25" x14ac:dyDescent="0.45">
      <c r="C31" s="13"/>
    </row>
    <row r="32" spans="1:46" ht="14.25" x14ac:dyDescent="0.45">
      <c r="C32" s="13"/>
    </row>
    <row r="33" spans="3:3" ht="14.25" x14ac:dyDescent="0.45">
      <c r="C33" s="13"/>
    </row>
    <row r="34" spans="3:3" ht="14.25" x14ac:dyDescent="0.45">
      <c r="C34" s="13"/>
    </row>
    <row r="35" spans="3:3" ht="14.25" x14ac:dyDescent="0.45">
      <c r="C35" s="13"/>
    </row>
    <row r="36" spans="3:3" ht="14.25" x14ac:dyDescent="0.45">
      <c r="C36" s="13"/>
    </row>
  </sheetData>
  <mergeCells count="5">
    <mergeCell ref="AR1:AT1"/>
    <mergeCell ref="X1:AF1"/>
    <mergeCell ref="A1:O1"/>
    <mergeCell ref="AH1:AK1"/>
    <mergeCell ref="S1:V1"/>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44F61-0E9F-42B1-827B-4330E5A54CEE}">
  <sheetPr>
    <tabColor theme="7" tint="0.39997558519241921"/>
    <pageSetUpPr fitToPage="1"/>
  </sheetPr>
  <dimension ref="A1:BB104"/>
  <sheetViews>
    <sheetView topLeftCell="A52" zoomScale="66" zoomScaleNormal="100" zoomScaleSheetLayoutView="46" workbookViewId="0">
      <selection activeCell="E78" sqref="E78:G78"/>
    </sheetView>
  </sheetViews>
  <sheetFormatPr defaultRowHeight="14.25" x14ac:dyDescent="0.45"/>
  <cols>
    <col min="1" max="1" width="5.86328125" customWidth="1"/>
    <col min="2" max="2" width="8.1328125" customWidth="1"/>
    <col min="3" max="3" width="13.86328125" customWidth="1"/>
    <col min="4" max="5" width="11.265625" customWidth="1"/>
    <col min="6" max="6" width="11.3984375" customWidth="1"/>
    <col min="7" max="7" width="15.3984375" customWidth="1"/>
    <col min="8" max="8" width="13" customWidth="1"/>
    <col min="9" max="9" width="13.1328125" customWidth="1"/>
    <col min="10" max="10" width="15" customWidth="1"/>
    <col min="11" max="11" width="14.1328125" customWidth="1"/>
    <col min="12" max="12" width="12.59765625" customWidth="1"/>
    <col min="13" max="13" width="18.265625" customWidth="1"/>
    <col min="14" max="14" width="8.86328125" customWidth="1"/>
    <col min="15" max="15" width="13" customWidth="1"/>
    <col min="16" max="16" width="11.59765625" customWidth="1"/>
    <col min="17" max="17" width="12.59765625" customWidth="1"/>
    <col min="18" max="18" width="14.3984375" customWidth="1"/>
    <col min="19" max="19" width="10.59765625" customWidth="1"/>
    <col min="20" max="20" width="12.265625" customWidth="1"/>
    <col min="21" max="21" width="11.86328125" customWidth="1"/>
    <col min="22" max="22" width="11.3984375" customWidth="1"/>
    <col min="23" max="23" width="12" customWidth="1"/>
    <col min="24" max="25" width="14.86328125" customWidth="1"/>
    <col min="26" max="26" width="10.86328125" customWidth="1"/>
    <col min="27" max="27" width="7.1328125" customWidth="1"/>
    <col min="28" max="28" width="12" customWidth="1"/>
    <col min="29" max="29" width="9.59765625" customWidth="1"/>
    <col min="30" max="30" width="7.1328125" customWidth="1"/>
    <col min="31" max="31" width="13" customWidth="1"/>
    <col min="32" max="32" width="9.1328125" customWidth="1"/>
    <col min="33" max="33" width="7.1328125" customWidth="1"/>
    <col min="34" max="34" width="12" customWidth="1"/>
    <col min="35" max="35" width="10.73046875" bestFit="1" customWidth="1"/>
    <col min="36" max="36" width="8.73046875" bestFit="1" customWidth="1"/>
    <col min="37" max="37" width="6.3984375" customWidth="1"/>
  </cols>
  <sheetData>
    <row r="1" spans="1:54" ht="21.4" thickBot="1" x14ac:dyDescent="0.7">
      <c r="A1" s="533" t="s">
        <v>110</v>
      </c>
      <c r="B1" s="534"/>
      <c r="C1" s="534"/>
      <c r="D1" s="534"/>
      <c r="E1" s="534"/>
      <c r="F1" s="535"/>
      <c r="BB1" t="s">
        <v>111</v>
      </c>
    </row>
    <row r="2" spans="1:54" ht="14.65" thickBot="1" x14ac:dyDescent="0.5">
      <c r="A2" s="130" t="s">
        <v>112</v>
      </c>
      <c r="B2" s="536" t="s">
        <v>113</v>
      </c>
      <c r="C2" s="536"/>
      <c r="D2" s="536"/>
      <c r="E2" s="536"/>
      <c r="F2" s="131" t="s">
        <v>114</v>
      </c>
      <c r="BB2" s="1">
        <v>40</v>
      </c>
    </row>
    <row r="3" spans="1:54" x14ac:dyDescent="0.45">
      <c r="A3" s="478">
        <v>1</v>
      </c>
      <c r="B3" s="537" t="s">
        <v>115</v>
      </c>
      <c r="C3" s="537"/>
      <c r="D3" s="537"/>
      <c r="E3" s="537"/>
      <c r="F3" s="207">
        <v>5</v>
      </c>
      <c r="BB3" s="1">
        <v>50</v>
      </c>
    </row>
    <row r="4" spans="1:54" x14ac:dyDescent="0.45">
      <c r="A4" s="479">
        <v>2</v>
      </c>
      <c r="B4" s="529" t="s">
        <v>116</v>
      </c>
      <c r="C4" s="529"/>
      <c r="D4" s="529"/>
      <c r="E4" s="529"/>
      <c r="F4" s="208">
        <v>4.5</v>
      </c>
      <c r="BB4" s="1">
        <v>63</v>
      </c>
    </row>
    <row r="5" spans="1:54" x14ac:dyDescent="0.45">
      <c r="A5" s="479">
        <v>3</v>
      </c>
      <c r="B5" s="529" t="s">
        <v>117</v>
      </c>
      <c r="C5" s="529"/>
      <c r="D5" s="529"/>
      <c r="E5" s="529"/>
      <c r="F5" s="209">
        <v>2.2000000000000002</v>
      </c>
      <c r="BB5" s="1">
        <v>75</v>
      </c>
    </row>
    <row r="6" spans="1:54" x14ac:dyDescent="0.45">
      <c r="A6" s="479">
        <v>4</v>
      </c>
      <c r="B6" s="529" t="s">
        <v>118</v>
      </c>
      <c r="C6" s="529"/>
      <c r="D6" s="529"/>
      <c r="E6" s="529"/>
      <c r="F6" s="210">
        <v>5</v>
      </c>
      <c r="BB6" s="1">
        <v>90</v>
      </c>
    </row>
    <row r="7" spans="1:54" x14ac:dyDescent="0.45">
      <c r="A7" s="479">
        <v>5</v>
      </c>
      <c r="B7" s="529" t="s">
        <v>119</v>
      </c>
      <c r="C7" s="529"/>
      <c r="D7" s="529"/>
      <c r="E7" s="529"/>
      <c r="F7" s="210">
        <v>1</v>
      </c>
      <c r="BB7" s="1">
        <v>110</v>
      </c>
    </row>
    <row r="8" spans="1:54" x14ac:dyDescent="0.45">
      <c r="A8" s="479">
        <v>6</v>
      </c>
      <c r="B8" s="529" t="s">
        <v>120</v>
      </c>
      <c r="C8" s="529"/>
      <c r="D8" s="529"/>
      <c r="E8" s="529"/>
      <c r="F8" s="210">
        <v>1</v>
      </c>
      <c r="BB8" s="1">
        <v>140</v>
      </c>
    </row>
    <row r="9" spans="1:54" x14ac:dyDescent="0.45">
      <c r="A9" s="479">
        <v>7</v>
      </c>
      <c r="B9" s="529" t="s">
        <v>121</v>
      </c>
      <c r="C9" s="529"/>
      <c r="D9" s="529"/>
      <c r="E9" s="529"/>
      <c r="F9" s="211">
        <v>0.29166666666666669</v>
      </c>
      <c r="BB9" s="1">
        <v>160</v>
      </c>
    </row>
    <row r="10" spans="1:54" x14ac:dyDescent="0.45">
      <c r="A10" s="479">
        <v>8</v>
      </c>
      <c r="B10" s="529" t="s">
        <v>122</v>
      </c>
      <c r="C10" s="529"/>
      <c r="D10" s="529"/>
      <c r="E10" s="529"/>
      <c r="F10" s="211">
        <v>0.375</v>
      </c>
      <c r="BB10" s="1">
        <v>200</v>
      </c>
    </row>
    <row r="11" spans="1:54" x14ac:dyDescent="0.45">
      <c r="A11" s="479">
        <v>9</v>
      </c>
      <c r="B11" s="529" t="s">
        <v>123</v>
      </c>
      <c r="C11" s="529"/>
      <c r="D11" s="529"/>
      <c r="E11" s="529"/>
      <c r="F11" s="211">
        <v>0.70833333333333337</v>
      </c>
      <c r="BB11" s="1">
        <v>250</v>
      </c>
    </row>
    <row r="12" spans="1:54" x14ac:dyDescent="0.45">
      <c r="A12" s="479">
        <v>10</v>
      </c>
      <c r="B12" s="529" t="s">
        <v>124</v>
      </c>
      <c r="C12" s="529"/>
      <c r="D12" s="529"/>
      <c r="E12" s="529"/>
      <c r="F12" s="211">
        <v>0.75</v>
      </c>
      <c r="BB12" s="1">
        <v>280</v>
      </c>
    </row>
    <row r="13" spans="1:54" x14ac:dyDescent="0.45">
      <c r="A13" s="479">
        <v>11</v>
      </c>
      <c r="B13" s="529" t="s">
        <v>125</v>
      </c>
      <c r="C13" s="529"/>
      <c r="D13" s="529"/>
      <c r="E13" s="529"/>
      <c r="F13" s="212">
        <v>3</v>
      </c>
      <c r="BB13" s="1">
        <v>315</v>
      </c>
    </row>
    <row r="14" spans="1:54" ht="14.65" thickBot="1" x14ac:dyDescent="0.5"/>
    <row r="15" spans="1:54" ht="21.4" thickBot="1" x14ac:dyDescent="0.7">
      <c r="A15" s="533" t="str">
        <f>"Mangal-"&amp;ROUND(J47/4047,2)&amp;" Acres Metadata"</f>
        <v>Mangal-24.86 Acres Metadata</v>
      </c>
      <c r="B15" s="534"/>
      <c r="C15" s="534"/>
      <c r="D15" s="534"/>
      <c r="E15" s="534"/>
      <c r="F15" s="534"/>
      <c r="G15" s="534"/>
      <c r="H15" s="534"/>
      <c r="I15" s="534"/>
      <c r="J15" s="534"/>
      <c r="K15" s="534"/>
      <c r="L15" s="534"/>
      <c r="M15" s="534"/>
      <c r="N15" s="534"/>
      <c r="O15" s="534"/>
      <c r="P15" s="534"/>
      <c r="Q15" s="534"/>
      <c r="R15" s="534"/>
      <c r="S15" s="534"/>
      <c r="T15" s="534"/>
      <c r="U15" s="534"/>
      <c r="V15" s="534"/>
      <c r="W15" s="534"/>
      <c r="X15" s="534"/>
      <c r="Y15" s="534"/>
      <c r="Z15" s="534"/>
      <c r="AA15" s="534"/>
      <c r="AB15" s="534"/>
      <c r="AC15" s="534"/>
      <c r="AD15" s="534"/>
      <c r="AE15" s="534"/>
      <c r="AF15" s="534"/>
      <c r="AG15" s="534"/>
      <c r="AH15" s="534"/>
      <c r="AI15" s="534"/>
      <c r="AJ15" s="535"/>
    </row>
    <row r="16" spans="1:54" x14ac:dyDescent="0.45">
      <c r="A16" s="538" t="s">
        <v>84</v>
      </c>
      <c r="B16" s="530" t="s">
        <v>85</v>
      </c>
      <c r="C16" s="530" t="s">
        <v>126</v>
      </c>
      <c r="D16" s="530" t="s">
        <v>86</v>
      </c>
      <c r="E16" s="530" t="s">
        <v>88</v>
      </c>
      <c r="F16" s="530" t="s">
        <v>89</v>
      </c>
      <c r="G16" s="530" t="s">
        <v>90</v>
      </c>
      <c r="H16" s="530" t="s">
        <v>91</v>
      </c>
      <c r="I16" s="530" t="s">
        <v>92</v>
      </c>
      <c r="J16" s="530" t="s">
        <v>93</v>
      </c>
      <c r="K16" s="530" t="s">
        <v>94</v>
      </c>
      <c r="L16" s="530" t="s">
        <v>127</v>
      </c>
      <c r="M16" s="530" t="s">
        <v>128</v>
      </c>
      <c r="N16" s="530" t="s">
        <v>129</v>
      </c>
      <c r="O16" s="530" t="s">
        <v>130</v>
      </c>
      <c r="P16" s="530" t="s">
        <v>127</v>
      </c>
      <c r="Q16" s="530" t="s">
        <v>131</v>
      </c>
      <c r="R16" s="530" t="s">
        <v>132</v>
      </c>
      <c r="S16" s="530" t="s">
        <v>133</v>
      </c>
      <c r="T16" s="530" t="s">
        <v>134</v>
      </c>
      <c r="U16" s="530" t="s">
        <v>135</v>
      </c>
      <c r="V16" s="530" t="s">
        <v>136</v>
      </c>
      <c r="W16" s="530" t="s">
        <v>137</v>
      </c>
      <c r="X16" s="530" t="s">
        <v>138</v>
      </c>
      <c r="Y16" s="530" t="s">
        <v>139</v>
      </c>
      <c r="Z16" s="541" t="s">
        <v>140</v>
      </c>
      <c r="AA16" s="542"/>
      <c r="AB16" s="543"/>
      <c r="AC16" s="541" t="s">
        <v>141</v>
      </c>
      <c r="AD16" s="542"/>
      <c r="AE16" s="543"/>
      <c r="AF16" s="541" t="s">
        <v>142</v>
      </c>
      <c r="AG16" s="542"/>
      <c r="AH16" s="543"/>
      <c r="AI16" s="544">
        <f>Z17</f>
        <v>0.29166666666666669</v>
      </c>
      <c r="AJ16" s="546">
        <f>AH17</f>
        <v>0.75</v>
      </c>
      <c r="AL16" s="526" t="s">
        <v>143</v>
      </c>
      <c r="AM16" s="526" t="s">
        <v>144</v>
      </c>
    </row>
    <row r="17" spans="1:42" x14ac:dyDescent="0.45">
      <c r="A17" s="539"/>
      <c r="B17" s="531"/>
      <c r="C17" s="531"/>
      <c r="D17" s="531"/>
      <c r="E17" s="531"/>
      <c r="F17" s="531"/>
      <c r="G17" s="531"/>
      <c r="H17" s="531"/>
      <c r="I17" s="531"/>
      <c r="J17" s="531"/>
      <c r="K17" s="531"/>
      <c r="L17" s="531"/>
      <c r="M17" s="531"/>
      <c r="N17" s="531"/>
      <c r="O17" s="531"/>
      <c r="P17" s="531"/>
      <c r="Q17" s="531"/>
      <c r="R17" s="531"/>
      <c r="S17" s="531"/>
      <c r="T17" s="531"/>
      <c r="U17" s="531"/>
      <c r="V17" s="531"/>
      <c r="W17" s="531"/>
      <c r="X17" s="531"/>
      <c r="Y17" s="531"/>
      <c r="Z17" s="26">
        <f>$F$9</f>
        <v>0.29166666666666669</v>
      </c>
      <c r="AA17" s="27" t="s">
        <v>145</v>
      </c>
      <c r="AB17" s="28">
        <f>$F$10</f>
        <v>0.375</v>
      </c>
      <c r="AC17" s="26">
        <f>AB17</f>
        <v>0.375</v>
      </c>
      <c r="AD17" s="27" t="s">
        <v>145</v>
      </c>
      <c r="AE17" s="28">
        <f>$F$11</f>
        <v>0.70833333333333337</v>
      </c>
      <c r="AF17" s="26">
        <f>AE17</f>
        <v>0.70833333333333337</v>
      </c>
      <c r="AG17" s="27" t="s">
        <v>145</v>
      </c>
      <c r="AH17" s="28">
        <f>$F$12</f>
        <v>0.75</v>
      </c>
      <c r="AI17" s="545"/>
      <c r="AJ17" s="547"/>
      <c r="AL17" s="526"/>
      <c r="AM17" s="526"/>
    </row>
    <row r="18" spans="1:42" ht="57.4" thickBot="1" x14ac:dyDescent="0.5">
      <c r="A18" s="540"/>
      <c r="B18" s="532"/>
      <c r="C18" s="532"/>
      <c r="D18" s="532"/>
      <c r="E18" s="532"/>
      <c r="F18" s="532"/>
      <c r="G18" s="532"/>
      <c r="H18" s="532"/>
      <c r="I18" s="532"/>
      <c r="J18" s="532"/>
      <c r="K18" s="532"/>
      <c r="L18" s="532"/>
      <c r="M18" s="532"/>
      <c r="N18" s="532"/>
      <c r="O18" s="532"/>
      <c r="P18" s="532"/>
      <c r="Q18" s="532"/>
      <c r="R18" s="532"/>
      <c r="S18" s="532"/>
      <c r="T18" s="532"/>
      <c r="U18" s="532"/>
      <c r="V18" s="532"/>
      <c r="W18" s="532"/>
      <c r="X18" s="532"/>
      <c r="Y18" s="532"/>
      <c r="Z18" s="476" t="s">
        <v>146</v>
      </c>
      <c r="AA18" s="476" t="s">
        <v>147</v>
      </c>
      <c r="AB18" s="476" t="s">
        <v>148</v>
      </c>
      <c r="AC18" s="476" t="s">
        <v>146</v>
      </c>
      <c r="AD18" s="476" t="s">
        <v>147</v>
      </c>
      <c r="AE18" s="476" t="s">
        <v>148</v>
      </c>
      <c r="AF18" s="476" t="s">
        <v>146</v>
      </c>
      <c r="AG18" s="476" t="s">
        <v>147</v>
      </c>
      <c r="AH18" s="476" t="s">
        <v>148</v>
      </c>
      <c r="AI18" s="548" t="s">
        <v>149</v>
      </c>
      <c r="AJ18" s="549"/>
      <c r="AL18" s="527"/>
      <c r="AM18" s="527"/>
      <c r="AP18" t="s">
        <v>150</v>
      </c>
    </row>
    <row r="19" spans="1:42" x14ac:dyDescent="0.45">
      <c r="A19" s="1">
        <v>1</v>
      </c>
      <c r="B19" s="1" t="s">
        <v>12</v>
      </c>
      <c r="C19" s="1" t="s">
        <v>151</v>
      </c>
      <c r="D19" s="1">
        <f>SUM(F19:G19)</f>
        <v>9</v>
      </c>
      <c r="E19" s="1">
        <f>D19*8+$F$13*2</f>
        <v>78</v>
      </c>
      <c r="F19" s="80">
        <v>6</v>
      </c>
      <c r="G19" s="80">
        <v>3</v>
      </c>
      <c r="H19" s="80">
        <v>46</v>
      </c>
      <c r="I19" s="80">
        <v>26</v>
      </c>
      <c r="J19" s="127">
        <f>8*(F19*H19+G19*I19)+($F$13*2)*H19</f>
        <v>3108</v>
      </c>
      <c r="K19" s="127">
        <f>IF(COUNTIFS($B$19:$B$46,B19)&lt;2,((H19-$F$13*2)*F19+(I19-$F$13*2)*G19)*8,((H19-2-$F$13)*F19+(I19-$F$13-2)*G19)*8)</f>
        <v>2400</v>
      </c>
      <c r="L19" s="11">
        <f>IF(COUNTIFS($B$19:$B$46,B19)&lt;2,(H19-2*$F$13)*5*F19+(I19-2*$F$13)*5*G19,(H19-2-$F$13)*5*F19+(I19-2-$F$13)*5*G19)</f>
        <v>1500</v>
      </c>
      <c r="M19" s="49">
        <f t="shared" ref="M19:M44" si="0">$F$3</f>
        <v>5</v>
      </c>
      <c r="N19" s="29">
        <f t="shared" ref="N19" si="1">L19*M19</f>
        <v>7500</v>
      </c>
      <c r="O19" s="55">
        <f t="shared" ref="O19" si="2">N19/K19</f>
        <v>3.125</v>
      </c>
      <c r="P19" s="29">
        <f>IF(COUNTIFS($B$19:$B$46,B19)&lt;2,(H19-2*$F$13)*5*F19+(I19-2*$F$13)*5*G19,(H19-2-$F$13)*5*F19+(I19-2-$F$13)*5*G19)</f>
        <v>1500</v>
      </c>
      <c r="Q19" s="51">
        <f t="shared" ref="Q19:Q44" si="3">$F$4</f>
        <v>4.5</v>
      </c>
      <c r="R19" s="30">
        <f t="shared" ref="R19" si="4">Q19*N19</f>
        <v>33750</v>
      </c>
      <c r="S19" s="53">
        <f t="shared" ref="S19:S44" si="5">$F$5</f>
        <v>2.2000000000000002</v>
      </c>
      <c r="T19" s="49">
        <f t="shared" ref="T19:T44" si="6">$F$6</f>
        <v>5</v>
      </c>
      <c r="U19" s="49">
        <f t="shared" ref="U19:U44" si="7">$F$7</f>
        <v>1</v>
      </c>
      <c r="V19" s="49">
        <f t="shared" ref="V19:V44" si="8">$F$8</f>
        <v>1</v>
      </c>
      <c r="W19" s="11">
        <f>T19*L19+IF(COUNTIFS($B$19:$B$46,B19)=1,2*U19*(H19-2*$F$13),2*U19*(H19-2-$F$13))+IF(COUNTIFS($B$19:$B$46,B19)=1,2*((5*D19-2)*V19),((5*D19-2)*V19))</f>
        <v>7666</v>
      </c>
      <c r="X19" s="31">
        <f t="shared" ref="X19" si="9">W19*S19</f>
        <v>16865.2</v>
      </c>
      <c r="Y19" s="60">
        <f>R19/X19*60</f>
        <v>120.06972938358275</v>
      </c>
      <c r="Z19" s="32">
        <f>$Q19*1000/((($AB$17-$Z$17)+2*($AE$17-$AC$17)+($AH$17-$AF$17))*24)</f>
        <v>236.84210526315789</v>
      </c>
      <c r="AA19" s="77">
        <f>($AB$17-$Z$17)*24</f>
        <v>1.9999999999999996</v>
      </c>
      <c r="AB19" s="33">
        <f>Z19*N19/1000/X19*60</f>
        <v>6.3194594412411975</v>
      </c>
      <c r="AC19" s="32">
        <f>$Q19*1000/((($AB$17-$Z$17)+2*($AE$17-$AC$17)+($AH$17-$AF$17))*24)*2</f>
        <v>473.68421052631578</v>
      </c>
      <c r="AD19" s="77">
        <f>($AE$17-$AC$17)*24</f>
        <v>8</v>
      </c>
      <c r="AE19" s="33">
        <f>AC19*N19/1000/X19*60</f>
        <v>12.638918882482395</v>
      </c>
      <c r="AF19" s="32">
        <f>$Q19*1000/((($AB$17-$Z$17)+2*($AE$17-$AC$17)+($AH$17-$AF$17))*24)</f>
        <v>236.84210526315789</v>
      </c>
      <c r="AG19" s="77">
        <f>($AH$17-$AF$17)*24</f>
        <v>0.99999999999999911</v>
      </c>
      <c r="AH19" s="33">
        <f>AF19*N19/1000/X19*60</f>
        <v>6.3194594412411975</v>
      </c>
      <c r="AI19" s="550">
        <f>($AJ$16-$AI$16)*24</f>
        <v>11</v>
      </c>
      <c r="AJ19" s="550"/>
      <c r="AL19" s="1">
        <v>540</v>
      </c>
      <c r="AM19" s="11">
        <v>580</v>
      </c>
      <c r="AO19" s="193"/>
      <c r="AP19" s="1">
        <f>H19*F19*5+I19*G19*5</f>
        <v>1770</v>
      </c>
    </row>
    <row r="20" spans="1:42" x14ac:dyDescent="0.45">
      <c r="A20" s="1">
        <f>A19+1</f>
        <v>2</v>
      </c>
      <c r="B20" s="1" t="s">
        <v>14</v>
      </c>
      <c r="C20" s="1" t="s">
        <v>152</v>
      </c>
      <c r="D20" s="1">
        <f t="shared" ref="D20:D44" si="10">SUM(F20:G20)</f>
        <v>10</v>
      </c>
      <c r="E20" s="1">
        <f t="shared" ref="E20:E44" si="11">D20*8+$F$13*2</f>
        <v>86</v>
      </c>
      <c r="F20" s="80">
        <v>8</v>
      </c>
      <c r="G20" s="80">
        <v>2</v>
      </c>
      <c r="H20" s="80">
        <v>51</v>
      </c>
      <c r="I20" s="80">
        <v>47</v>
      </c>
      <c r="J20" s="127">
        <f t="shared" ref="J20:J44" si="12">8*(F20*H20+G20*I20)+($F$13*2)*H20</f>
        <v>4322</v>
      </c>
      <c r="K20" s="127">
        <f t="shared" ref="K20:K44" si="13">IF(COUNTIFS($B$19:$B$46,B20)&lt;2,((H20-$F$13*2)*F20+(I20-$F$13*2)*G20)*8,((H20-2-$F$13)*F20+(I20-$F$13-2)*G20)*8)</f>
        <v>3616</v>
      </c>
      <c r="L20" s="11">
        <f t="shared" ref="L20:L44" si="14">IF(COUNTIFS($B$19:$B$46,B20)&lt;2,(H20-2*$F$13)*5*F20+(I20-2*$F$13)*5*G20,(H20-2-$F$13)*5*F20+(I20-2-$F$13)*5*G20)</f>
        <v>2260</v>
      </c>
      <c r="M20" s="49">
        <f t="shared" si="0"/>
        <v>5</v>
      </c>
      <c r="N20" s="29">
        <f t="shared" ref="N20:N44" si="15">L20*M20</f>
        <v>11300</v>
      </c>
      <c r="O20" s="55">
        <f t="shared" ref="O20:O44" si="16">N20/K20</f>
        <v>3.125</v>
      </c>
      <c r="P20" s="29">
        <f t="shared" ref="P20:P44" si="17">IF(COUNTIFS($B$19:$B$46,B20)&lt;2,(H20-2*$F$13)*5*F20+(I20-2*$F$13)*5*G20,(H20-2-$F$13)*5*F20+(I20-2-$F$13)*5*G20)</f>
        <v>2260</v>
      </c>
      <c r="Q20" s="51">
        <f t="shared" si="3"/>
        <v>4.5</v>
      </c>
      <c r="R20" s="30">
        <f t="shared" ref="R20:R44" si="18">Q20*N20</f>
        <v>50850</v>
      </c>
      <c r="S20" s="53">
        <f t="shared" si="5"/>
        <v>2.2000000000000002</v>
      </c>
      <c r="T20" s="49">
        <f t="shared" si="6"/>
        <v>5</v>
      </c>
      <c r="U20" s="49">
        <f t="shared" si="7"/>
        <v>1</v>
      </c>
      <c r="V20" s="49">
        <f t="shared" si="8"/>
        <v>1</v>
      </c>
      <c r="W20" s="11">
        <f t="shared" ref="W20:W44" si="19">T20*L20+IF(COUNTIFS($B$19:$B$46,B20)=1,2*U20*(H20-2*$F$13),2*U20*(H20-2-$F$13))+IF(COUNTIFS($B$19:$B$46,B20)=1,2*((5*D20-2)*V20),((5*D20-2)*V20))</f>
        <v>11440</v>
      </c>
      <c r="X20" s="31">
        <f t="shared" ref="X20:X44" si="20">W20*S20</f>
        <v>25168.000000000004</v>
      </c>
      <c r="Y20" s="60">
        <f t="shared" ref="Y20:Y44" si="21">R20/X20*60</f>
        <v>121.22536554354735</v>
      </c>
      <c r="Z20" s="32">
        <f t="shared" ref="Z20:Z44" si="22">$Q20*1000/((($AB$17-$Z$17)+2*($AE$17-$AC$17)+($AH$17-$AF$17))*24)</f>
        <v>236.84210526315789</v>
      </c>
      <c r="AA20" s="77">
        <f t="shared" ref="AA20:AA44" si="23">($AB$17-$Z$17)*24</f>
        <v>1.9999999999999996</v>
      </c>
      <c r="AB20" s="33">
        <f t="shared" ref="AB20:AB44" si="24">Z20*N20/1000/X20*60</f>
        <v>6.3802823970288074</v>
      </c>
      <c r="AC20" s="32">
        <f t="shared" ref="AC20:AC44" si="25">$Q20*1000/((($AB$17-$Z$17)+2*($AE$17-$AC$17)+($AH$17-$AF$17))*24)*2</f>
        <v>473.68421052631578</v>
      </c>
      <c r="AD20" s="77">
        <f t="shared" ref="AD20:AD44" si="26">($AE$17-$AC$17)*24</f>
        <v>8</v>
      </c>
      <c r="AE20" s="33">
        <f t="shared" ref="AE20:AE44" si="27">AC20*N20/1000/X20*60</f>
        <v>12.760564794057615</v>
      </c>
      <c r="AF20" s="32">
        <f t="shared" ref="AF20:AF44" si="28">$Q20*1000/((($AB$17-$Z$17)+2*($AE$17-$AC$17)+($AH$17-$AF$17))*24)</f>
        <v>236.84210526315789</v>
      </c>
      <c r="AG20" s="77">
        <f t="shared" ref="AG20:AG44" si="29">($AH$17-$AF$17)*24</f>
        <v>0.99999999999999911</v>
      </c>
      <c r="AH20" s="33">
        <f t="shared" ref="AH20:AH44" si="30">AF20*N20/1000/X20*60</f>
        <v>6.3802823970288074</v>
      </c>
      <c r="AI20" s="551">
        <f t="shared" ref="AI20:AI44" si="31">($AJ$16-$AI$16)*24</f>
        <v>11</v>
      </c>
      <c r="AJ20" s="551"/>
      <c r="AL20" s="1">
        <v>445</v>
      </c>
      <c r="AM20" s="11">
        <v>495</v>
      </c>
      <c r="AO20" s="193"/>
      <c r="AP20" s="1">
        <f t="shared" ref="AP20:AP44" si="32">H20*F20*5+I20*G20*5</f>
        <v>2510</v>
      </c>
    </row>
    <row r="21" spans="1:42" x14ac:dyDescent="0.45">
      <c r="A21" s="1">
        <f t="shared" ref="A21:A44" si="33">A20+1</f>
        <v>3</v>
      </c>
      <c r="B21" s="1" t="s">
        <v>14</v>
      </c>
      <c r="C21" s="1" t="s">
        <v>153</v>
      </c>
      <c r="D21" s="1">
        <f t="shared" si="10"/>
        <v>10</v>
      </c>
      <c r="E21" s="1">
        <f t="shared" si="11"/>
        <v>86</v>
      </c>
      <c r="F21" s="80">
        <v>8</v>
      </c>
      <c r="G21" s="80">
        <v>2</v>
      </c>
      <c r="H21" s="80">
        <v>51</v>
      </c>
      <c r="I21" s="80">
        <v>51</v>
      </c>
      <c r="J21" s="127">
        <f t="shared" si="12"/>
        <v>4386</v>
      </c>
      <c r="K21" s="127">
        <f t="shared" si="13"/>
        <v>3680</v>
      </c>
      <c r="L21" s="11">
        <f t="shared" si="14"/>
        <v>2300</v>
      </c>
      <c r="M21" s="49">
        <f t="shared" si="0"/>
        <v>5</v>
      </c>
      <c r="N21" s="29">
        <f t="shared" si="15"/>
        <v>11500</v>
      </c>
      <c r="O21" s="55">
        <f t="shared" si="16"/>
        <v>3.125</v>
      </c>
      <c r="P21" s="29">
        <f t="shared" si="17"/>
        <v>2300</v>
      </c>
      <c r="Q21" s="51">
        <f t="shared" si="3"/>
        <v>4.5</v>
      </c>
      <c r="R21" s="30">
        <f t="shared" si="18"/>
        <v>51750</v>
      </c>
      <c r="S21" s="53">
        <f t="shared" si="5"/>
        <v>2.2000000000000002</v>
      </c>
      <c r="T21" s="49">
        <f t="shared" si="6"/>
        <v>5</v>
      </c>
      <c r="U21" s="49">
        <f t="shared" si="7"/>
        <v>1</v>
      </c>
      <c r="V21" s="49">
        <f t="shared" si="8"/>
        <v>1</v>
      </c>
      <c r="W21" s="11">
        <f t="shared" si="19"/>
        <v>11640</v>
      </c>
      <c r="X21" s="31">
        <f t="shared" si="20"/>
        <v>25608.000000000004</v>
      </c>
      <c r="Y21" s="60">
        <f t="shared" si="21"/>
        <v>121.25117150890344</v>
      </c>
      <c r="Z21" s="32">
        <f t="shared" si="22"/>
        <v>236.84210526315789</v>
      </c>
      <c r="AA21" s="77">
        <f t="shared" si="23"/>
        <v>1.9999999999999996</v>
      </c>
      <c r="AB21" s="33">
        <f t="shared" si="24"/>
        <v>6.3816406057317607</v>
      </c>
      <c r="AC21" s="32">
        <f t="shared" si="25"/>
        <v>473.68421052631578</v>
      </c>
      <c r="AD21" s="77">
        <f t="shared" si="26"/>
        <v>8</v>
      </c>
      <c r="AE21" s="33">
        <f t="shared" si="27"/>
        <v>12.763281211463521</v>
      </c>
      <c r="AF21" s="32">
        <f t="shared" si="28"/>
        <v>236.84210526315789</v>
      </c>
      <c r="AG21" s="77">
        <f t="shared" si="29"/>
        <v>0.99999999999999911</v>
      </c>
      <c r="AH21" s="33">
        <f t="shared" si="30"/>
        <v>6.3816406057317607</v>
      </c>
      <c r="AI21" s="551">
        <f t="shared" si="31"/>
        <v>11</v>
      </c>
      <c r="AJ21" s="551"/>
      <c r="AL21" s="1">
        <v>445</v>
      </c>
      <c r="AM21" s="11">
        <v>395</v>
      </c>
      <c r="AO21" s="193"/>
      <c r="AP21" s="1">
        <f t="shared" si="32"/>
        <v>2550</v>
      </c>
    </row>
    <row r="22" spans="1:42" x14ac:dyDescent="0.45">
      <c r="A22" s="1">
        <f t="shared" si="33"/>
        <v>4</v>
      </c>
      <c r="B22" s="1" t="s">
        <v>16</v>
      </c>
      <c r="C22" s="1" t="s">
        <v>154</v>
      </c>
      <c r="D22" s="1">
        <f t="shared" si="10"/>
        <v>9</v>
      </c>
      <c r="E22" s="1">
        <f t="shared" si="11"/>
        <v>78</v>
      </c>
      <c r="F22" s="80">
        <v>9</v>
      </c>
      <c r="G22" s="80">
        <v>0</v>
      </c>
      <c r="H22" s="80">
        <v>58</v>
      </c>
      <c r="I22" s="80">
        <v>0</v>
      </c>
      <c r="J22" s="127">
        <f t="shared" si="12"/>
        <v>4524</v>
      </c>
      <c r="K22" s="127">
        <f t="shared" si="13"/>
        <v>3744</v>
      </c>
      <c r="L22" s="11">
        <f t="shared" si="14"/>
        <v>2340</v>
      </c>
      <c r="M22" s="49">
        <f t="shared" si="0"/>
        <v>5</v>
      </c>
      <c r="N22" s="29">
        <f t="shared" si="15"/>
        <v>11700</v>
      </c>
      <c r="O22" s="55">
        <f t="shared" si="16"/>
        <v>3.125</v>
      </c>
      <c r="P22" s="29">
        <f t="shared" si="17"/>
        <v>2340</v>
      </c>
      <c r="Q22" s="51">
        <f t="shared" si="3"/>
        <v>4.5</v>
      </c>
      <c r="R22" s="30">
        <f t="shared" si="18"/>
        <v>52650</v>
      </c>
      <c r="S22" s="53">
        <f t="shared" si="5"/>
        <v>2.2000000000000002</v>
      </c>
      <c r="T22" s="49">
        <f t="shared" si="6"/>
        <v>5</v>
      </c>
      <c r="U22" s="49">
        <f t="shared" si="7"/>
        <v>1</v>
      </c>
      <c r="V22" s="49">
        <f t="shared" si="8"/>
        <v>1</v>
      </c>
      <c r="W22" s="11">
        <f t="shared" si="19"/>
        <v>11890</v>
      </c>
      <c r="X22" s="31">
        <f t="shared" si="20"/>
        <v>26158.000000000004</v>
      </c>
      <c r="Y22" s="60">
        <f t="shared" si="21"/>
        <v>120.766113617249</v>
      </c>
      <c r="Z22" s="32">
        <f t="shared" si="22"/>
        <v>236.84210526315789</v>
      </c>
      <c r="AA22" s="77">
        <f t="shared" si="23"/>
        <v>1.9999999999999996</v>
      </c>
      <c r="AB22" s="33">
        <f t="shared" si="24"/>
        <v>6.3561112430131068</v>
      </c>
      <c r="AC22" s="32">
        <f t="shared" si="25"/>
        <v>473.68421052631578</v>
      </c>
      <c r="AD22" s="77">
        <f t="shared" si="26"/>
        <v>8</v>
      </c>
      <c r="AE22" s="33">
        <f t="shared" si="27"/>
        <v>12.712222486026214</v>
      </c>
      <c r="AF22" s="32">
        <f t="shared" si="28"/>
        <v>236.84210526315789</v>
      </c>
      <c r="AG22" s="77">
        <f t="shared" si="29"/>
        <v>0.99999999999999911</v>
      </c>
      <c r="AH22" s="33">
        <f t="shared" si="30"/>
        <v>6.3561112430131068</v>
      </c>
      <c r="AI22" s="551">
        <f t="shared" si="31"/>
        <v>11</v>
      </c>
      <c r="AJ22" s="551"/>
      <c r="AL22" s="1">
        <v>300</v>
      </c>
      <c r="AM22" s="11">
        <v>300</v>
      </c>
      <c r="AO22" s="193"/>
      <c r="AP22" s="1">
        <f t="shared" si="32"/>
        <v>2610</v>
      </c>
    </row>
    <row r="23" spans="1:42" x14ac:dyDescent="0.45">
      <c r="A23" s="1">
        <f t="shared" si="33"/>
        <v>5</v>
      </c>
      <c r="B23" s="1" t="s">
        <v>18</v>
      </c>
      <c r="C23" s="1" t="s">
        <v>155</v>
      </c>
      <c r="D23" s="1">
        <f t="shared" si="10"/>
        <v>10</v>
      </c>
      <c r="E23" s="1">
        <f t="shared" si="11"/>
        <v>86</v>
      </c>
      <c r="F23" s="80">
        <v>10</v>
      </c>
      <c r="G23" s="80">
        <v>0</v>
      </c>
      <c r="H23" s="80">
        <v>51</v>
      </c>
      <c r="I23" s="80">
        <v>0</v>
      </c>
      <c r="J23" s="127">
        <f t="shared" si="12"/>
        <v>4386</v>
      </c>
      <c r="K23" s="127">
        <f t="shared" si="13"/>
        <v>3680</v>
      </c>
      <c r="L23" s="11">
        <f t="shared" si="14"/>
        <v>2300</v>
      </c>
      <c r="M23" s="49">
        <f t="shared" si="0"/>
        <v>5</v>
      </c>
      <c r="N23" s="29">
        <f t="shared" si="15"/>
        <v>11500</v>
      </c>
      <c r="O23" s="55">
        <f t="shared" si="16"/>
        <v>3.125</v>
      </c>
      <c r="P23" s="29">
        <f t="shared" si="17"/>
        <v>2300</v>
      </c>
      <c r="Q23" s="51">
        <f t="shared" si="3"/>
        <v>4.5</v>
      </c>
      <c r="R23" s="30">
        <f t="shared" si="18"/>
        <v>51750</v>
      </c>
      <c r="S23" s="53">
        <f t="shared" si="5"/>
        <v>2.2000000000000002</v>
      </c>
      <c r="T23" s="49">
        <f t="shared" si="6"/>
        <v>5</v>
      </c>
      <c r="U23" s="49">
        <f t="shared" si="7"/>
        <v>1</v>
      </c>
      <c r="V23" s="49">
        <f t="shared" si="8"/>
        <v>1</v>
      </c>
      <c r="W23" s="11">
        <f t="shared" si="19"/>
        <v>11640</v>
      </c>
      <c r="X23" s="31">
        <f t="shared" si="20"/>
        <v>25608.000000000004</v>
      </c>
      <c r="Y23" s="60">
        <f t="shared" si="21"/>
        <v>121.25117150890344</v>
      </c>
      <c r="Z23" s="32">
        <f t="shared" si="22"/>
        <v>236.84210526315789</v>
      </c>
      <c r="AA23" s="77">
        <f t="shared" si="23"/>
        <v>1.9999999999999996</v>
      </c>
      <c r="AB23" s="33">
        <f t="shared" si="24"/>
        <v>6.3816406057317607</v>
      </c>
      <c r="AC23" s="32">
        <f t="shared" si="25"/>
        <v>473.68421052631578</v>
      </c>
      <c r="AD23" s="77">
        <f t="shared" si="26"/>
        <v>8</v>
      </c>
      <c r="AE23" s="33">
        <f t="shared" si="27"/>
        <v>12.763281211463521</v>
      </c>
      <c r="AF23" s="32">
        <f t="shared" si="28"/>
        <v>236.84210526315789</v>
      </c>
      <c r="AG23" s="77">
        <f t="shared" si="29"/>
        <v>0.99999999999999911</v>
      </c>
      <c r="AH23" s="33">
        <f t="shared" si="30"/>
        <v>6.3816406057317607</v>
      </c>
      <c r="AI23" s="551">
        <f t="shared" si="31"/>
        <v>11</v>
      </c>
      <c r="AJ23" s="551"/>
      <c r="AL23" s="1">
        <v>350</v>
      </c>
      <c r="AM23" s="11">
        <v>400</v>
      </c>
      <c r="AO23" s="193"/>
      <c r="AP23" s="1">
        <f t="shared" si="32"/>
        <v>2550</v>
      </c>
    </row>
    <row r="24" spans="1:42" x14ac:dyDescent="0.45">
      <c r="A24" s="1">
        <f t="shared" si="33"/>
        <v>6</v>
      </c>
      <c r="B24" s="1" t="s">
        <v>18</v>
      </c>
      <c r="C24" s="1" t="s">
        <v>156</v>
      </c>
      <c r="D24" s="1">
        <f t="shared" si="10"/>
        <v>10</v>
      </c>
      <c r="E24" s="1">
        <f t="shared" si="11"/>
        <v>86</v>
      </c>
      <c r="F24" s="80">
        <v>10</v>
      </c>
      <c r="G24" s="80">
        <v>0</v>
      </c>
      <c r="H24" s="80">
        <v>51</v>
      </c>
      <c r="I24" s="80">
        <v>0</v>
      </c>
      <c r="J24" s="127">
        <f t="shared" si="12"/>
        <v>4386</v>
      </c>
      <c r="K24" s="127">
        <f t="shared" si="13"/>
        <v>3680</v>
      </c>
      <c r="L24" s="11">
        <f t="shared" si="14"/>
        <v>2300</v>
      </c>
      <c r="M24" s="49">
        <f t="shared" si="0"/>
        <v>5</v>
      </c>
      <c r="N24" s="29">
        <f t="shared" si="15"/>
        <v>11500</v>
      </c>
      <c r="O24" s="55">
        <f t="shared" si="16"/>
        <v>3.125</v>
      </c>
      <c r="P24" s="29">
        <f t="shared" si="17"/>
        <v>2300</v>
      </c>
      <c r="Q24" s="51">
        <f t="shared" si="3"/>
        <v>4.5</v>
      </c>
      <c r="R24" s="30">
        <f t="shared" si="18"/>
        <v>51750</v>
      </c>
      <c r="S24" s="53">
        <f t="shared" si="5"/>
        <v>2.2000000000000002</v>
      </c>
      <c r="T24" s="49">
        <f t="shared" si="6"/>
        <v>5</v>
      </c>
      <c r="U24" s="49">
        <f t="shared" si="7"/>
        <v>1</v>
      </c>
      <c r="V24" s="49">
        <f t="shared" si="8"/>
        <v>1</v>
      </c>
      <c r="W24" s="11">
        <f t="shared" si="19"/>
        <v>11640</v>
      </c>
      <c r="X24" s="31">
        <f t="shared" si="20"/>
        <v>25608.000000000004</v>
      </c>
      <c r="Y24" s="60">
        <f t="shared" si="21"/>
        <v>121.25117150890344</v>
      </c>
      <c r="Z24" s="32">
        <f t="shared" si="22"/>
        <v>236.84210526315789</v>
      </c>
      <c r="AA24" s="77">
        <f t="shared" si="23"/>
        <v>1.9999999999999996</v>
      </c>
      <c r="AB24" s="33">
        <f t="shared" si="24"/>
        <v>6.3816406057317607</v>
      </c>
      <c r="AC24" s="32">
        <f t="shared" si="25"/>
        <v>473.68421052631578</v>
      </c>
      <c r="AD24" s="77">
        <f t="shared" si="26"/>
        <v>8</v>
      </c>
      <c r="AE24" s="33">
        <f t="shared" si="27"/>
        <v>12.763281211463521</v>
      </c>
      <c r="AF24" s="32">
        <f t="shared" si="28"/>
        <v>236.84210526315789</v>
      </c>
      <c r="AG24" s="77">
        <f t="shared" si="29"/>
        <v>0.99999999999999911</v>
      </c>
      <c r="AH24" s="33">
        <f t="shared" si="30"/>
        <v>6.3816406057317607</v>
      </c>
      <c r="AI24" s="551">
        <f t="shared" si="31"/>
        <v>11</v>
      </c>
      <c r="AJ24" s="551"/>
      <c r="AL24" s="1">
        <v>350</v>
      </c>
      <c r="AM24" s="11">
        <v>300</v>
      </c>
      <c r="AO24" s="193"/>
      <c r="AP24" s="1">
        <f t="shared" si="32"/>
        <v>2550</v>
      </c>
    </row>
    <row r="25" spans="1:42" x14ac:dyDescent="0.45">
      <c r="A25" s="1">
        <f t="shared" si="33"/>
        <v>7</v>
      </c>
      <c r="B25" s="1" t="s">
        <v>20</v>
      </c>
      <c r="C25" s="1" t="s">
        <v>157</v>
      </c>
      <c r="D25" s="1">
        <f t="shared" si="10"/>
        <v>10</v>
      </c>
      <c r="E25" s="1">
        <f t="shared" si="11"/>
        <v>86</v>
      </c>
      <c r="F25" s="80">
        <v>10</v>
      </c>
      <c r="G25" s="80">
        <v>0</v>
      </c>
      <c r="H25" s="80">
        <v>39</v>
      </c>
      <c r="I25" s="80">
        <v>0</v>
      </c>
      <c r="J25" s="127">
        <f t="shared" si="12"/>
        <v>3354</v>
      </c>
      <c r="K25" s="127">
        <f t="shared" si="13"/>
        <v>2720</v>
      </c>
      <c r="L25" s="11">
        <f t="shared" si="14"/>
        <v>1700</v>
      </c>
      <c r="M25" s="49">
        <f t="shared" si="0"/>
        <v>5</v>
      </c>
      <c r="N25" s="29">
        <f t="shared" si="15"/>
        <v>8500</v>
      </c>
      <c r="O25" s="55">
        <f t="shared" si="16"/>
        <v>3.125</v>
      </c>
      <c r="P25" s="29">
        <f t="shared" si="17"/>
        <v>1700</v>
      </c>
      <c r="Q25" s="51">
        <f t="shared" si="3"/>
        <v>4.5</v>
      </c>
      <c r="R25" s="30">
        <f t="shared" si="18"/>
        <v>38250</v>
      </c>
      <c r="S25" s="53">
        <f t="shared" si="5"/>
        <v>2.2000000000000002</v>
      </c>
      <c r="T25" s="49">
        <f t="shared" si="6"/>
        <v>5</v>
      </c>
      <c r="U25" s="49">
        <f t="shared" si="7"/>
        <v>1</v>
      </c>
      <c r="V25" s="49">
        <f t="shared" si="8"/>
        <v>1</v>
      </c>
      <c r="W25" s="11">
        <f t="shared" si="19"/>
        <v>8616</v>
      </c>
      <c r="X25" s="31">
        <f t="shared" si="20"/>
        <v>18955.2</v>
      </c>
      <c r="Y25" s="60">
        <f t="shared" si="21"/>
        <v>121.07495568498352</v>
      </c>
      <c r="Z25" s="32">
        <f t="shared" si="22"/>
        <v>236.84210526315789</v>
      </c>
      <c r="AA25" s="77">
        <f t="shared" si="23"/>
        <v>1.9999999999999996</v>
      </c>
      <c r="AB25" s="33">
        <f t="shared" si="24"/>
        <v>6.3723660886833438</v>
      </c>
      <c r="AC25" s="32">
        <f t="shared" si="25"/>
        <v>473.68421052631578</v>
      </c>
      <c r="AD25" s="77">
        <f t="shared" si="26"/>
        <v>8</v>
      </c>
      <c r="AE25" s="33">
        <f t="shared" si="27"/>
        <v>12.744732177366688</v>
      </c>
      <c r="AF25" s="32">
        <f t="shared" si="28"/>
        <v>236.84210526315789</v>
      </c>
      <c r="AG25" s="77">
        <f t="shared" si="29"/>
        <v>0.99999999999999911</v>
      </c>
      <c r="AH25" s="33">
        <f t="shared" si="30"/>
        <v>6.3723660886833438</v>
      </c>
      <c r="AI25" s="551">
        <f t="shared" si="31"/>
        <v>11</v>
      </c>
      <c r="AJ25" s="551"/>
      <c r="AL25" s="1">
        <v>240</v>
      </c>
      <c r="AM25" s="11">
        <v>280</v>
      </c>
      <c r="AO25" s="193"/>
      <c r="AP25" s="1">
        <f t="shared" si="32"/>
        <v>1950</v>
      </c>
    </row>
    <row r="26" spans="1:42" x14ac:dyDescent="0.45">
      <c r="A26" s="1">
        <f t="shared" si="33"/>
        <v>8</v>
      </c>
      <c r="B26" s="1" t="s">
        <v>20</v>
      </c>
      <c r="C26" s="1" t="s">
        <v>158</v>
      </c>
      <c r="D26" s="1">
        <f t="shared" si="10"/>
        <v>10</v>
      </c>
      <c r="E26" s="1">
        <f t="shared" si="11"/>
        <v>86</v>
      </c>
      <c r="F26" s="80">
        <v>10</v>
      </c>
      <c r="G26" s="80">
        <v>0</v>
      </c>
      <c r="H26" s="80">
        <v>39</v>
      </c>
      <c r="I26" s="80">
        <v>0</v>
      </c>
      <c r="J26" s="127">
        <f t="shared" si="12"/>
        <v>3354</v>
      </c>
      <c r="K26" s="127">
        <f t="shared" si="13"/>
        <v>2720</v>
      </c>
      <c r="L26" s="11">
        <f t="shared" si="14"/>
        <v>1700</v>
      </c>
      <c r="M26" s="49">
        <f t="shared" si="0"/>
        <v>5</v>
      </c>
      <c r="N26" s="29">
        <f t="shared" si="15"/>
        <v>8500</v>
      </c>
      <c r="O26" s="55">
        <f t="shared" si="16"/>
        <v>3.125</v>
      </c>
      <c r="P26" s="29">
        <f t="shared" si="17"/>
        <v>1700</v>
      </c>
      <c r="Q26" s="51">
        <f t="shared" si="3"/>
        <v>4.5</v>
      </c>
      <c r="R26" s="30">
        <f t="shared" si="18"/>
        <v>38250</v>
      </c>
      <c r="S26" s="53">
        <f t="shared" si="5"/>
        <v>2.2000000000000002</v>
      </c>
      <c r="T26" s="49">
        <f t="shared" si="6"/>
        <v>5</v>
      </c>
      <c r="U26" s="49">
        <f t="shared" si="7"/>
        <v>1</v>
      </c>
      <c r="V26" s="49">
        <f t="shared" si="8"/>
        <v>1</v>
      </c>
      <c r="W26" s="11">
        <f t="shared" si="19"/>
        <v>8616</v>
      </c>
      <c r="X26" s="31">
        <f t="shared" si="20"/>
        <v>18955.2</v>
      </c>
      <c r="Y26" s="60">
        <f t="shared" si="21"/>
        <v>121.07495568498352</v>
      </c>
      <c r="Z26" s="32">
        <f t="shared" si="22"/>
        <v>236.84210526315789</v>
      </c>
      <c r="AA26" s="77">
        <f t="shared" si="23"/>
        <v>1.9999999999999996</v>
      </c>
      <c r="AB26" s="33">
        <f t="shared" si="24"/>
        <v>6.3723660886833438</v>
      </c>
      <c r="AC26" s="32">
        <f t="shared" si="25"/>
        <v>473.68421052631578</v>
      </c>
      <c r="AD26" s="77">
        <f t="shared" si="26"/>
        <v>8</v>
      </c>
      <c r="AE26" s="33">
        <f t="shared" si="27"/>
        <v>12.744732177366688</v>
      </c>
      <c r="AF26" s="32">
        <f t="shared" si="28"/>
        <v>236.84210526315789</v>
      </c>
      <c r="AG26" s="77">
        <f t="shared" si="29"/>
        <v>0.99999999999999911</v>
      </c>
      <c r="AH26" s="33">
        <f t="shared" si="30"/>
        <v>6.3723660886833438</v>
      </c>
      <c r="AI26" s="551">
        <f t="shared" si="31"/>
        <v>11</v>
      </c>
      <c r="AJ26" s="551"/>
      <c r="AL26" s="1">
        <v>240</v>
      </c>
      <c r="AM26" s="11">
        <v>200</v>
      </c>
      <c r="AO26" s="193"/>
      <c r="AP26" s="1">
        <f t="shared" si="32"/>
        <v>1950</v>
      </c>
    </row>
    <row r="27" spans="1:42" x14ac:dyDescent="0.45">
      <c r="A27" s="1">
        <f t="shared" si="33"/>
        <v>9</v>
      </c>
      <c r="B27" s="1" t="s">
        <v>22</v>
      </c>
      <c r="C27" s="1" t="s">
        <v>159</v>
      </c>
      <c r="D27" s="1">
        <f t="shared" si="10"/>
        <v>10</v>
      </c>
      <c r="E27" s="1">
        <f t="shared" si="11"/>
        <v>86</v>
      </c>
      <c r="F27" s="80">
        <v>4</v>
      </c>
      <c r="G27" s="80">
        <v>6</v>
      </c>
      <c r="H27" s="80">
        <v>43</v>
      </c>
      <c r="I27" s="80">
        <v>19</v>
      </c>
      <c r="J27" s="127">
        <f t="shared" si="12"/>
        <v>2546</v>
      </c>
      <c r="K27" s="127">
        <f t="shared" si="13"/>
        <v>1888</v>
      </c>
      <c r="L27" s="11">
        <f t="shared" si="14"/>
        <v>1180</v>
      </c>
      <c r="M27" s="49">
        <f t="shared" si="0"/>
        <v>5</v>
      </c>
      <c r="N27" s="29">
        <f t="shared" si="15"/>
        <v>5900</v>
      </c>
      <c r="O27" s="55">
        <f t="shared" si="16"/>
        <v>3.125</v>
      </c>
      <c r="P27" s="29">
        <f t="shared" si="17"/>
        <v>1180</v>
      </c>
      <c r="Q27" s="51">
        <f t="shared" si="3"/>
        <v>4.5</v>
      </c>
      <c r="R27" s="30">
        <f t="shared" si="18"/>
        <v>26550</v>
      </c>
      <c r="S27" s="53">
        <f t="shared" si="5"/>
        <v>2.2000000000000002</v>
      </c>
      <c r="T27" s="49">
        <f t="shared" si="6"/>
        <v>5</v>
      </c>
      <c r="U27" s="49">
        <f t="shared" si="7"/>
        <v>1</v>
      </c>
      <c r="V27" s="49">
        <f t="shared" si="8"/>
        <v>1</v>
      </c>
      <c r="W27" s="11">
        <f t="shared" si="19"/>
        <v>6024</v>
      </c>
      <c r="X27" s="31">
        <f t="shared" si="20"/>
        <v>13252.800000000001</v>
      </c>
      <c r="Y27" s="60">
        <f t="shared" si="21"/>
        <v>120.2010141253169</v>
      </c>
      <c r="Z27" s="32">
        <f t="shared" si="22"/>
        <v>236.84210526315789</v>
      </c>
      <c r="AA27" s="77">
        <f t="shared" si="23"/>
        <v>1.9999999999999996</v>
      </c>
      <c r="AB27" s="33">
        <f t="shared" si="24"/>
        <v>6.3263691644903632</v>
      </c>
      <c r="AC27" s="32">
        <f t="shared" si="25"/>
        <v>473.68421052631578</v>
      </c>
      <c r="AD27" s="77">
        <f t="shared" si="26"/>
        <v>8</v>
      </c>
      <c r="AE27" s="33">
        <f t="shared" si="27"/>
        <v>12.652738328980726</v>
      </c>
      <c r="AF27" s="32">
        <f t="shared" si="28"/>
        <v>236.84210526315789</v>
      </c>
      <c r="AG27" s="77">
        <f t="shared" si="29"/>
        <v>0.99999999999999911</v>
      </c>
      <c r="AH27" s="33">
        <f t="shared" si="30"/>
        <v>6.3263691644903632</v>
      </c>
      <c r="AI27" s="551">
        <f t="shared" si="31"/>
        <v>11</v>
      </c>
      <c r="AJ27" s="551"/>
      <c r="AL27" s="1">
        <v>180</v>
      </c>
      <c r="AM27" s="11">
        <v>210</v>
      </c>
      <c r="AO27" s="193"/>
      <c r="AP27" s="1">
        <f t="shared" si="32"/>
        <v>1430</v>
      </c>
    </row>
    <row r="28" spans="1:42" x14ac:dyDescent="0.45">
      <c r="A28" s="1">
        <f t="shared" si="33"/>
        <v>10</v>
      </c>
      <c r="B28" s="1" t="s">
        <v>22</v>
      </c>
      <c r="C28" s="1" t="s">
        <v>160</v>
      </c>
      <c r="D28" s="1">
        <f t="shared" si="10"/>
        <v>10</v>
      </c>
      <c r="E28" s="1">
        <f t="shared" si="11"/>
        <v>86</v>
      </c>
      <c r="F28" s="80">
        <v>4</v>
      </c>
      <c r="G28" s="80">
        <v>6</v>
      </c>
      <c r="H28" s="80">
        <v>43</v>
      </c>
      <c r="I28" s="80">
        <v>43</v>
      </c>
      <c r="J28" s="127">
        <f t="shared" si="12"/>
        <v>3698</v>
      </c>
      <c r="K28" s="127">
        <f t="shared" si="13"/>
        <v>3040</v>
      </c>
      <c r="L28" s="11">
        <f t="shared" si="14"/>
        <v>1900</v>
      </c>
      <c r="M28" s="49">
        <f t="shared" si="0"/>
        <v>5</v>
      </c>
      <c r="N28" s="29">
        <f t="shared" si="15"/>
        <v>9500</v>
      </c>
      <c r="O28" s="55">
        <f t="shared" si="16"/>
        <v>3.125</v>
      </c>
      <c r="P28" s="29">
        <f t="shared" si="17"/>
        <v>1900</v>
      </c>
      <c r="Q28" s="51">
        <f t="shared" si="3"/>
        <v>4.5</v>
      </c>
      <c r="R28" s="30">
        <f t="shared" si="18"/>
        <v>42750</v>
      </c>
      <c r="S28" s="53">
        <f t="shared" si="5"/>
        <v>2.2000000000000002</v>
      </c>
      <c r="T28" s="49">
        <f t="shared" si="6"/>
        <v>5</v>
      </c>
      <c r="U28" s="49">
        <f t="shared" si="7"/>
        <v>1</v>
      </c>
      <c r="V28" s="49">
        <f t="shared" si="8"/>
        <v>1</v>
      </c>
      <c r="W28" s="11">
        <f t="shared" si="19"/>
        <v>9624</v>
      </c>
      <c r="X28" s="31">
        <f t="shared" si="20"/>
        <v>21172.800000000003</v>
      </c>
      <c r="Y28" s="60">
        <f t="shared" si="21"/>
        <v>121.1459986397642</v>
      </c>
      <c r="Z28" s="32">
        <f t="shared" si="22"/>
        <v>236.84210526315789</v>
      </c>
      <c r="AA28" s="77">
        <f t="shared" si="23"/>
        <v>1.9999999999999996</v>
      </c>
      <c r="AB28" s="33">
        <f t="shared" si="24"/>
        <v>6.3761051915665368</v>
      </c>
      <c r="AC28" s="32">
        <f t="shared" si="25"/>
        <v>473.68421052631578</v>
      </c>
      <c r="AD28" s="77">
        <f t="shared" si="26"/>
        <v>8</v>
      </c>
      <c r="AE28" s="33">
        <f t="shared" si="27"/>
        <v>12.752210383133074</v>
      </c>
      <c r="AF28" s="32">
        <f t="shared" si="28"/>
        <v>236.84210526315789</v>
      </c>
      <c r="AG28" s="77">
        <f t="shared" si="29"/>
        <v>0.99999999999999911</v>
      </c>
      <c r="AH28" s="33">
        <f t="shared" si="30"/>
        <v>6.3761051915665368</v>
      </c>
      <c r="AI28" s="551">
        <f t="shared" si="31"/>
        <v>11</v>
      </c>
      <c r="AJ28" s="551"/>
      <c r="AL28" s="1">
        <v>180</v>
      </c>
      <c r="AM28" s="11">
        <v>140</v>
      </c>
      <c r="AO28" s="193"/>
      <c r="AP28" s="1">
        <f t="shared" si="32"/>
        <v>2150</v>
      </c>
    </row>
    <row r="29" spans="1:42" x14ac:dyDescent="0.45">
      <c r="A29" s="1">
        <f t="shared" si="33"/>
        <v>11</v>
      </c>
      <c r="B29" s="1" t="s">
        <v>24</v>
      </c>
      <c r="C29" s="1" t="s">
        <v>161</v>
      </c>
      <c r="D29" s="1">
        <f t="shared" si="10"/>
        <v>11</v>
      </c>
      <c r="E29" s="1">
        <f t="shared" si="11"/>
        <v>94</v>
      </c>
      <c r="F29" s="80">
        <v>11</v>
      </c>
      <c r="G29" s="80">
        <v>0</v>
      </c>
      <c r="H29" s="80">
        <v>37</v>
      </c>
      <c r="I29" s="80">
        <v>0</v>
      </c>
      <c r="J29" s="127">
        <f t="shared" si="12"/>
        <v>3478</v>
      </c>
      <c r="K29" s="127">
        <f t="shared" si="13"/>
        <v>2816</v>
      </c>
      <c r="L29" s="11">
        <f t="shared" si="14"/>
        <v>1760</v>
      </c>
      <c r="M29" s="49">
        <f t="shared" si="0"/>
        <v>5</v>
      </c>
      <c r="N29" s="29">
        <f t="shared" si="15"/>
        <v>8800</v>
      </c>
      <c r="O29" s="55">
        <f t="shared" si="16"/>
        <v>3.125</v>
      </c>
      <c r="P29" s="29">
        <f t="shared" si="17"/>
        <v>1760</v>
      </c>
      <c r="Q29" s="51">
        <f t="shared" si="3"/>
        <v>4.5</v>
      </c>
      <c r="R29" s="30">
        <f t="shared" si="18"/>
        <v>39600</v>
      </c>
      <c r="S29" s="53">
        <f t="shared" si="5"/>
        <v>2.2000000000000002</v>
      </c>
      <c r="T29" s="49">
        <f t="shared" si="6"/>
        <v>5</v>
      </c>
      <c r="U29" s="49">
        <f t="shared" si="7"/>
        <v>1</v>
      </c>
      <c r="V29" s="49">
        <f t="shared" si="8"/>
        <v>1</v>
      </c>
      <c r="W29" s="11">
        <f t="shared" si="19"/>
        <v>8917</v>
      </c>
      <c r="X29" s="31">
        <f t="shared" si="20"/>
        <v>19617.400000000001</v>
      </c>
      <c r="Y29" s="60">
        <f t="shared" si="21"/>
        <v>121.11696758999662</v>
      </c>
      <c r="Z29" s="32">
        <f t="shared" si="22"/>
        <v>236.84210526315789</v>
      </c>
      <c r="AA29" s="77">
        <f t="shared" si="23"/>
        <v>1.9999999999999996</v>
      </c>
      <c r="AB29" s="33">
        <f t="shared" si="24"/>
        <v>6.3745772415787707</v>
      </c>
      <c r="AC29" s="32">
        <f t="shared" si="25"/>
        <v>473.68421052631578</v>
      </c>
      <c r="AD29" s="77">
        <f t="shared" si="26"/>
        <v>8</v>
      </c>
      <c r="AE29" s="33">
        <f t="shared" si="27"/>
        <v>12.749154483157541</v>
      </c>
      <c r="AF29" s="32">
        <f t="shared" si="28"/>
        <v>236.84210526315789</v>
      </c>
      <c r="AG29" s="77">
        <f t="shared" si="29"/>
        <v>0.99999999999999911</v>
      </c>
      <c r="AH29" s="33">
        <f t="shared" si="30"/>
        <v>6.3745772415787707</v>
      </c>
      <c r="AI29" s="551">
        <f t="shared" si="31"/>
        <v>11</v>
      </c>
      <c r="AJ29" s="551"/>
      <c r="AL29" s="1">
        <v>200</v>
      </c>
      <c r="AM29" s="11">
        <v>240</v>
      </c>
      <c r="AO29" s="193"/>
      <c r="AP29" s="1">
        <f t="shared" si="32"/>
        <v>2035</v>
      </c>
    </row>
    <row r="30" spans="1:42" x14ac:dyDescent="0.45">
      <c r="A30" s="1">
        <f t="shared" si="33"/>
        <v>12</v>
      </c>
      <c r="B30" s="1" t="s">
        <v>24</v>
      </c>
      <c r="C30" s="1" t="s">
        <v>162</v>
      </c>
      <c r="D30" s="1">
        <f t="shared" si="10"/>
        <v>11</v>
      </c>
      <c r="E30" s="1">
        <f t="shared" si="11"/>
        <v>94</v>
      </c>
      <c r="F30" s="80">
        <v>11</v>
      </c>
      <c r="G30" s="80">
        <v>0</v>
      </c>
      <c r="H30" s="80">
        <v>37</v>
      </c>
      <c r="I30" s="80">
        <v>0</v>
      </c>
      <c r="J30" s="127">
        <f t="shared" si="12"/>
        <v>3478</v>
      </c>
      <c r="K30" s="127">
        <f t="shared" si="13"/>
        <v>2816</v>
      </c>
      <c r="L30" s="11">
        <f t="shared" si="14"/>
        <v>1760</v>
      </c>
      <c r="M30" s="49">
        <f t="shared" si="0"/>
        <v>5</v>
      </c>
      <c r="N30" s="29">
        <f t="shared" si="15"/>
        <v>8800</v>
      </c>
      <c r="O30" s="55">
        <f t="shared" si="16"/>
        <v>3.125</v>
      </c>
      <c r="P30" s="29">
        <f t="shared" si="17"/>
        <v>1760</v>
      </c>
      <c r="Q30" s="51">
        <f t="shared" si="3"/>
        <v>4.5</v>
      </c>
      <c r="R30" s="30">
        <f t="shared" si="18"/>
        <v>39600</v>
      </c>
      <c r="S30" s="53">
        <f t="shared" si="5"/>
        <v>2.2000000000000002</v>
      </c>
      <c r="T30" s="49">
        <f t="shared" si="6"/>
        <v>5</v>
      </c>
      <c r="U30" s="49">
        <f t="shared" si="7"/>
        <v>1</v>
      </c>
      <c r="V30" s="49">
        <f t="shared" si="8"/>
        <v>1</v>
      </c>
      <c r="W30" s="11">
        <f t="shared" si="19"/>
        <v>8917</v>
      </c>
      <c r="X30" s="31">
        <f t="shared" si="20"/>
        <v>19617.400000000001</v>
      </c>
      <c r="Y30" s="60">
        <f t="shared" si="21"/>
        <v>121.11696758999662</v>
      </c>
      <c r="Z30" s="32">
        <f t="shared" si="22"/>
        <v>236.84210526315789</v>
      </c>
      <c r="AA30" s="77">
        <f t="shared" si="23"/>
        <v>1.9999999999999996</v>
      </c>
      <c r="AB30" s="33">
        <f t="shared" si="24"/>
        <v>6.3745772415787707</v>
      </c>
      <c r="AC30" s="32">
        <f t="shared" si="25"/>
        <v>473.68421052631578</v>
      </c>
      <c r="AD30" s="77">
        <f t="shared" si="26"/>
        <v>8</v>
      </c>
      <c r="AE30" s="33">
        <f t="shared" si="27"/>
        <v>12.749154483157541</v>
      </c>
      <c r="AF30" s="32">
        <f t="shared" si="28"/>
        <v>236.84210526315789</v>
      </c>
      <c r="AG30" s="77">
        <f t="shared" si="29"/>
        <v>0.99999999999999911</v>
      </c>
      <c r="AH30" s="33">
        <f t="shared" si="30"/>
        <v>6.3745772415787707</v>
      </c>
      <c r="AI30" s="551">
        <f t="shared" si="31"/>
        <v>11</v>
      </c>
      <c r="AJ30" s="551"/>
      <c r="AL30" s="1">
        <v>200</v>
      </c>
      <c r="AM30" s="11">
        <v>200</v>
      </c>
      <c r="AO30" s="193"/>
      <c r="AP30" s="1">
        <f t="shared" si="32"/>
        <v>2035</v>
      </c>
    </row>
    <row r="31" spans="1:42" x14ac:dyDescent="0.45">
      <c r="A31" s="1">
        <f t="shared" si="33"/>
        <v>13</v>
      </c>
      <c r="B31" s="1" t="s">
        <v>27</v>
      </c>
      <c r="C31" s="1" t="s">
        <v>163</v>
      </c>
      <c r="D31" s="1">
        <f t="shared" si="10"/>
        <v>12</v>
      </c>
      <c r="E31" s="1">
        <f t="shared" si="11"/>
        <v>102</v>
      </c>
      <c r="F31" s="80">
        <v>12</v>
      </c>
      <c r="G31" s="80">
        <v>0</v>
      </c>
      <c r="H31" s="80">
        <v>51</v>
      </c>
      <c r="I31" s="80">
        <v>0</v>
      </c>
      <c r="J31" s="127">
        <f t="shared" si="12"/>
        <v>5202</v>
      </c>
      <c r="K31" s="127">
        <f t="shared" si="13"/>
        <v>4416</v>
      </c>
      <c r="L31" s="11">
        <f t="shared" si="14"/>
        <v>2760</v>
      </c>
      <c r="M31" s="49">
        <f t="shared" si="0"/>
        <v>5</v>
      </c>
      <c r="N31" s="29">
        <f t="shared" si="15"/>
        <v>13800</v>
      </c>
      <c r="O31" s="55">
        <f t="shared" si="16"/>
        <v>3.125</v>
      </c>
      <c r="P31" s="29">
        <f t="shared" si="17"/>
        <v>2760</v>
      </c>
      <c r="Q31" s="51">
        <f t="shared" si="3"/>
        <v>4.5</v>
      </c>
      <c r="R31" s="30">
        <f t="shared" si="18"/>
        <v>62100</v>
      </c>
      <c r="S31" s="53">
        <f t="shared" si="5"/>
        <v>2.2000000000000002</v>
      </c>
      <c r="T31" s="49">
        <f t="shared" si="6"/>
        <v>5</v>
      </c>
      <c r="U31" s="49">
        <f t="shared" si="7"/>
        <v>1</v>
      </c>
      <c r="V31" s="49">
        <f t="shared" si="8"/>
        <v>1</v>
      </c>
      <c r="W31" s="11">
        <f t="shared" si="19"/>
        <v>13950</v>
      </c>
      <c r="X31" s="31">
        <f t="shared" si="20"/>
        <v>30690.000000000004</v>
      </c>
      <c r="Y31" s="60">
        <f t="shared" si="21"/>
        <v>121.40762463343108</v>
      </c>
      <c r="Z31" s="32">
        <f t="shared" si="22"/>
        <v>236.84210526315789</v>
      </c>
      <c r="AA31" s="77">
        <f t="shared" si="23"/>
        <v>1.9999999999999996</v>
      </c>
      <c r="AB31" s="33">
        <f t="shared" si="24"/>
        <v>6.3898749807068977</v>
      </c>
      <c r="AC31" s="32">
        <f t="shared" si="25"/>
        <v>473.68421052631578</v>
      </c>
      <c r="AD31" s="77">
        <f t="shared" si="26"/>
        <v>8</v>
      </c>
      <c r="AE31" s="33">
        <f t="shared" si="27"/>
        <v>12.779749961413795</v>
      </c>
      <c r="AF31" s="32">
        <f t="shared" si="28"/>
        <v>236.84210526315789</v>
      </c>
      <c r="AG31" s="77">
        <f t="shared" si="29"/>
        <v>0.99999999999999911</v>
      </c>
      <c r="AH31" s="33">
        <f t="shared" si="30"/>
        <v>6.3898749807068977</v>
      </c>
      <c r="AI31" s="551">
        <f t="shared" si="31"/>
        <v>11</v>
      </c>
      <c r="AJ31" s="551"/>
      <c r="AL31" s="1">
        <v>180</v>
      </c>
      <c r="AM31" s="11">
        <v>230</v>
      </c>
      <c r="AO31" s="193"/>
      <c r="AP31" s="1">
        <f t="shared" si="32"/>
        <v>3060</v>
      </c>
    </row>
    <row r="32" spans="1:42" x14ac:dyDescent="0.45">
      <c r="A32" s="1">
        <f t="shared" si="33"/>
        <v>14</v>
      </c>
      <c r="B32" s="1" t="s">
        <v>27</v>
      </c>
      <c r="C32" s="1" t="s">
        <v>164</v>
      </c>
      <c r="D32" s="1">
        <f t="shared" si="10"/>
        <v>12</v>
      </c>
      <c r="E32" s="1">
        <f t="shared" si="11"/>
        <v>102</v>
      </c>
      <c r="F32" s="80">
        <v>12</v>
      </c>
      <c r="G32" s="80">
        <v>0</v>
      </c>
      <c r="H32" s="80">
        <v>51</v>
      </c>
      <c r="I32" s="80">
        <v>0</v>
      </c>
      <c r="J32" s="127">
        <f t="shared" si="12"/>
        <v>5202</v>
      </c>
      <c r="K32" s="127">
        <f t="shared" si="13"/>
        <v>4416</v>
      </c>
      <c r="L32" s="11">
        <f t="shared" si="14"/>
        <v>2760</v>
      </c>
      <c r="M32" s="49">
        <f t="shared" si="0"/>
        <v>5</v>
      </c>
      <c r="N32" s="29">
        <f t="shared" si="15"/>
        <v>13800</v>
      </c>
      <c r="O32" s="55">
        <f t="shared" si="16"/>
        <v>3.125</v>
      </c>
      <c r="P32" s="29">
        <f t="shared" si="17"/>
        <v>2760</v>
      </c>
      <c r="Q32" s="51">
        <f t="shared" si="3"/>
        <v>4.5</v>
      </c>
      <c r="R32" s="30">
        <f t="shared" si="18"/>
        <v>62100</v>
      </c>
      <c r="S32" s="53">
        <f t="shared" si="5"/>
        <v>2.2000000000000002</v>
      </c>
      <c r="T32" s="49">
        <f t="shared" si="6"/>
        <v>5</v>
      </c>
      <c r="U32" s="49">
        <f t="shared" si="7"/>
        <v>1</v>
      </c>
      <c r="V32" s="49">
        <f t="shared" si="8"/>
        <v>1</v>
      </c>
      <c r="W32" s="11">
        <f t="shared" si="19"/>
        <v>13950</v>
      </c>
      <c r="X32" s="31">
        <f t="shared" si="20"/>
        <v>30690.000000000004</v>
      </c>
      <c r="Y32" s="60">
        <f t="shared" si="21"/>
        <v>121.40762463343108</v>
      </c>
      <c r="Z32" s="32">
        <f t="shared" si="22"/>
        <v>236.84210526315789</v>
      </c>
      <c r="AA32" s="77">
        <f t="shared" si="23"/>
        <v>1.9999999999999996</v>
      </c>
      <c r="AB32" s="33">
        <f t="shared" si="24"/>
        <v>6.3898749807068977</v>
      </c>
      <c r="AC32" s="32">
        <f t="shared" si="25"/>
        <v>473.68421052631578</v>
      </c>
      <c r="AD32" s="77">
        <f t="shared" si="26"/>
        <v>8</v>
      </c>
      <c r="AE32" s="33">
        <f t="shared" si="27"/>
        <v>12.779749961413795</v>
      </c>
      <c r="AF32" s="32">
        <f t="shared" si="28"/>
        <v>236.84210526315789</v>
      </c>
      <c r="AG32" s="77">
        <f t="shared" si="29"/>
        <v>0.99999999999999911</v>
      </c>
      <c r="AH32" s="33">
        <f t="shared" si="30"/>
        <v>6.3898749807068977</v>
      </c>
      <c r="AI32" s="551">
        <f t="shared" si="31"/>
        <v>11</v>
      </c>
      <c r="AJ32" s="551"/>
      <c r="AL32" s="1">
        <v>180</v>
      </c>
      <c r="AM32" s="11">
        <v>130</v>
      </c>
      <c r="AO32" s="193"/>
      <c r="AP32" s="1">
        <f t="shared" si="32"/>
        <v>3060</v>
      </c>
    </row>
    <row r="33" spans="1:42" x14ac:dyDescent="0.45">
      <c r="A33" s="1">
        <f t="shared" si="33"/>
        <v>15</v>
      </c>
      <c r="B33" s="1" t="s">
        <v>29</v>
      </c>
      <c r="C33" s="1" t="s">
        <v>165</v>
      </c>
      <c r="D33" s="1">
        <f t="shared" si="10"/>
        <v>12</v>
      </c>
      <c r="E33" s="1">
        <f t="shared" si="11"/>
        <v>102</v>
      </c>
      <c r="F33" s="80">
        <v>12</v>
      </c>
      <c r="G33" s="80">
        <v>0</v>
      </c>
      <c r="H33" s="80">
        <v>51</v>
      </c>
      <c r="I33" s="80">
        <v>0</v>
      </c>
      <c r="J33" s="127">
        <f t="shared" si="12"/>
        <v>5202</v>
      </c>
      <c r="K33" s="127">
        <f t="shared" si="13"/>
        <v>4416</v>
      </c>
      <c r="L33" s="11">
        <f t="shared" si="14"/>
        <v>2760</v>
      </c>
      <c r="M33" s="49">
        <f t="shared" si="0"/>
        <v>5</v>
      </c>
      <c r="N33" s="29">
        <f t="shared" si="15"/>
        <v>13800</v>
      </c>
      <c r="O33" s="55">
        <f t="shared" si="16"/>
        <v>3.125</v>
      </c>
      <c r="P33" s="29">
        <f t="shared" si="17"/>
        <v>2760</v>
      </c>
      <c r="Q33" s="51">
        <f t="shared" si="3"/>
        <v>4.5</v>
      </c>
      <c r="R33" s="30">
        <f t="shared" si="18"/>
        <v>62100</v>
      </c>
      <c r="S33" s="53">
        <f t="shared" si="5"/>
        <v>2.2000000000000002</v>
      </c>
      <c r="T33" s="49">
        <f t="shared" si="6"/>
        <v>5</v>
      </c>
      <c r="U33" s="49">
        <f t="shared" si="7"/>
        <v>1</v>
      </c>
      <c r="V33" s="49">
        <f t="shared" si="8"/>
        <v>1</v>
      </c>
      <c r="W33" s="11">
        <f t="shared" si="19"/>
        <v>13950</v>
      </c>
      <c r="X33" s="31">
        <f t="shared" si="20"/>
        <v>30690.000000000004</v>
      </c>
      <c r="Y33" s="60">
        <f t="shared" si="21"/>
        <v>121.40762463343108</v>
      </c>
      <c r="Z33" s="32">
        <f t="shared" si="22"/>
        <v>236.84210526315789</v>
      </c>
      <c r="AA33" s="77">
        <f t="shared" si="23"/>
        <v>1.9999999999999996</v>
      </c>
      <c r="AB33" s="33">
        <f t="shared" si="24"/>
        <v>6.3898749807068977</v>
      </c>
      <c r="AC33" s="32">
        <f t="shared" si="25"/>
        <v>473.68421052631578</v>
      </c>
      <c r="AD33" s="77">
        <f t="shared" si="26"/>
        <v>8</v>
      </c>
      <c r="AE33" s="33">
        <f t="shared" si="27"/>
        <v>12.779749961413795</v>
      </c>
      <c r="AF33" s="32">
        <f t="shared" si="28"/>
        <v>236.84210526315789</v>
      </c>
      <c r="AG33" s="77">
        <f t="shared" si="29"/>
        <v>0.99999999999999911</v>
      </c>
      <c r="AH33" s="33">
        <f t="shared" si="30"/>
        <v>6.3898749807068977</v>
      </c>
      <c r="AI33" s="551">
        <f t="shared" si="31"/>
        <v>11</v>
      </c>
      <c r="AJ33" s="551"/>
      <c r="AL33" s="1">
        <v>70</v>
      </c>
      <c r="AM33" s="11">
        <v>120</v>
      </c>
      <c r="AO33" s="193"/>
      <c r="AP33" s="1">
        <f t="shared" si="32"/>
        <v>3060</v>
      </c>
    </row>
    <row r="34" spans="1:42" x14ac:dyDescent="0.45">
      <c r="A34" s="1">
        <f t="shared" si="33"/>
        <v>16</v>
      </c>
      <c r="B34" s="1" t="s">
        <v>29</v>
      </c>
      <c r="C34" s="1" t="s">
        <v>166</v>
      </c>
      <c r="D34" s="1">
        <f t="shared" si="10"/>
        <v>12</v>
      </c>
      <c r="E34" s="1">
        <f t="shared" si="11"/>
        <v>102</v>
      </c>
      <c r="F34" s="80">
        <v>12</v>
      </c>
      <c r="G34" s="80">
        <v>0</v>
      </c>
      <c r="H34" s="80">
        <v>51</v>
      </c>
      <c r="I34" s="80">
        <v>0</v>
      </c>
      <c r="J34" s="127">
        <f t="shared" si="12"/>
        <v>5202</v>
      </c>
      <c r="K34" s="127">
        <f t="shared" si="13"/>
        <v>4416</v>
      </c>
      <c r="L34" s="11">
        <f t="shared" si="14"/>
        <v>2760</v>
      </c>
      <c r="M34" s="49">
        <f t="shared" si="0"/>
        <v>5</v>
      </c>
      <c r="N34" s="29">
        <f t="shared" si="15"/>
        <v>13800</v>
      </c>
      <c r="O34" s="55">
        <f t="shared" si="16"/>
        <v>3.125</v>
      </c>
      <c r="P34" s="29">
        <f t="shared" si="17"/>
        <v>2760</v>
      </c>
      <c r="Q34" s="51">
        <f t="shared" si="3"/>
        <v>4.5</v>
      </c>
      <c r="R34" s="30">
        <f t="shared" si="18"/>
        <v>62100</v>
      </c>
      <c r="S34" s="53">
        <f t="shared" si="5"/>
        <v>2.2000000000000002</v>
      </c>
      <c r="T34" s="49">
        <f t="shared" si="6"/>
        <v>5</v>
      </c>
      <c r="U34" s="49">
        <f t="shared" si="7"/>
        <v>1</v>
      </c>
      <c r="V34" s="49">
        <f t="shared" si="8"/>
        <v>1</v>
      </c>
      <c r="W34" s="11">
        <f t="shared" si="19"/>
        <v>13950</v>
      </c>
      <c r="X34" s="31">
        <f t="shared" si="20"/>
        <v>30690.000000000004</v>
      </c>
      <c r="Y34" s="60">
        <f t="shared" si="21"/>
        <v>121.40762463343108</v>
      </c>
      <c r="Z34" s="32">
        <f t="shared" si="22"/>
        <v>236.84210526315789</v>
      </c>
      <c r="AA34" s="77">
        <f t="shared" si="23"/>
        <v>1.9999999999999996</v>
      </c>
      <c r="AB34" s="33">
        <f t="shared" si="24"/>
        <v>6.3898749807068977</v>
      </c>
      <c r="AC34" s="32">
        <f t="shared" si="25"/>
        <v>473.68421052631578</v>
      </c>
      <c r="AD34" s="77">
        <f t="shared" si="26"/>
        <v>8</v>
      </c>
      <c r="AE34" s="33">
        <f t="shared" si="27"/>
        <v>12.779749961413795</v>
      </c>
      <c r="AF34" s="32">
        <f t="shared" si="28"/>
        <v>236.84210526315789</v>
      </c>
      <c r="AG34" s="77">
        <f t="shared" si="29"/>
        <v>0.99999999999999911</v>
      </c>
      <c r="AH34" s="33">
        <f t="shared" si="30"/>
        <v>6.3898749807068977</v>
      </c>
      <c r="AI34" s="551">
        <f t="shared" si="31"/>
        <v>11</v>
      </c>
      <c r="AJ34" s="551"/>
      <c r="AL34" s="1">
        <v>70</v>
      </c>
      <c r="AM34" s="11">
        <v>20</v>
      </c>
      <c r="AO34" s="193"/>
      <c r="AP34" s="1">
        <f t="shared" si="32"/>
        <v>3060</v>
      </c>
    </row>
    <row r="35" spans="1:42" x14ac:dyDescent="0.45">
      <c r="A35" s="1">
        <f t="shared" si="33"/>
        <v>17</v>
      </c>
      <c r="B35" s="1" t="s">
        <v>31</v>
      </c>
      <c r="C35" s="1" t="s">
        <v>167</v>
      </c>
      <c r="D35" s="1">
        <f t="shared" si="10"/>
        <v>12</v>
      </c>
      <c r="E35" s="1">
        <f t="shared" si="11"/>
        <v>102</v>
      </c>
      <c r="F35" s="80">
        <v>12</v>
      </c>
      <c r="G35" s="80">
        <v>0</v>
      </c>
      <c r="H35" s="80">
        <v>37</v>
      </c>
      <c r="I35" s="80">
        <v>0</v>
      </c>
      <c r="J35" s="127">
        <f t="shared" si="12"/>
        <v>3774</v>
      </c>
      <c r="K35" s="127">
        <f t="shared" si="13"/>
        <v>3072</v>
      </c>
      <c r="L35" s="11">
        <f t="shared" si="14"/>
        <v>1920</v>
      </c>
      <c r="M35" s="49">
        <f t="shared" si="0"/>
        <v>5</v>
      </c>
      <c r="N35" s="29">
        <f t="shared" si="15"/>
        <v>9600</v>
      </c>
      <c r="O35" s="55">
        <f t="shared" si="16"/>
        <v>3.125</v>
      </c>
      <c r="P35" s="29">
        <f t="shared" si="17"/>
        <v>1920</v>
      </c>
      <c r="Q35" s="51">
        <f t="shared" si="3"/>
        <v>4.5</v>
      </c>
      <c r="R35" s="30">
        <f t="shared" si="18"/>
        <v>43200</v>
      </c>
      <c r="S35" s="53">
        <f t="shared" si="5"/>
        <v>2.2000000000000002</v>
      </c>
      <c r="T35" s="49">
        <f t="shared" si="6"/>
        <v>5</v>
      </c>
      <c r="U35" s="49">
        <f t="shared" si="7"/>
        <v>1</v>
      </c>
      <c r="V35" s="49">
        <f t="shared" si="8"/>
        <v>1</v>
      </c>
      <c r="W35" s="11">
        <f t="shared" si="19"/>
        <v>9722</v>
      </c>
      <c r="X35" s="31">
        <f t="shared" si="20"/>
        <v>21388.400000000001</v>
      </c>
      <c r="Y35" s="60">
        <f t="shared" si="21"/>
        <v>121.18718557722877</v>
      </c>
      <c r="Z35" s="32">
        <f t="shared" si="22"/>
        <v>236.84210526315789</v>
      </c>
      <c r="AA35" s="77">
        <f t="shared" si="23"/>
        <v>1.9999999999999996</v>
      </c>
      <c r="AB35" s="33">
        <f t="shared" si="24"/>
        <v>6.3782729251173036</v>
      </c>
      <c r="AC35" s="32">
        <f t="shared" si="25"/>
        <v>473.68421052631578</v>
      </c>
      <c r="AD35" s="77">
        <f t="shared" si="26"/>
        <v>8</v>
      </c>
      <c r="AE35" s="33">
        <f t="shared" si="27"/>
        <v>12.756545850234607</v>
      </c>
      <c r="AF35" s="32">
        <f t="shared" si="28"/>
        <v>236.84210526315789</v>
      </c>
      <c r="AG35" s="77">
        <f t="shared" si="29"/>
        <v>0.99999999999999911</v>
      </c>
      <c r="AH35" s="33">
        <f t="shared" si="30"/>
        <v>6.3782729251173036</v>
      </c>
      <c r="AI35" s="551">
        <f t="shared" si="31"/>
        <v>11</v>
      </c>
      <c r="AJ35" s="551"/>
      <c r="AL35" s="1">
        <v>80</v>
      </c>
      <c r="AM35" s="11">
        <v>120</v>
      </c>
      <c r="AO35" s="193"/>
      <c r="AP35" s="1">
        <f t="shared" si="32"/>
        <v>2220</v>
      </c>
    </row>
    <row r="36" spans="1:42" x14ac:dyDescent="0.45">
      <c r="A36" s="1">
        <f t="shared" si="33"/>
        <v>18</v>
      </c>
      <c r="B36" s="1" t="s">
        <v>31</v>
      </c>
      <c r="C36" s="1" t="s">
        <v>168</v>
      </c>
      <c r="D36" s="1">
        <f t="shared" si="10"/>
        <v>12</v>
      </c>
      <c r="E36" s="1">
        <f t="shared" si="11"/>
        <v>102</v>
      </c>
      <c r="F36" s="80">
        <v>12</v>
      </c>
      <c r="G36" s="80">
        <v>0</v>
      </c>
      <c r="H36" s="80">
        <v>37</v>
      </c>
      <c r="I36" s="80">
        <v>0</v>
      </c>
      <c r="J36" s="127">
        <f t="shared" si="12"/>
        <v>3774</v>
      </c>
      <c r="K36" s="127">
        <f t="shared" si="13"/>
        <v>3072</v>
      </c>
      <c r="L36" s="11">
        <f t="shared" si="14"/>
        <v>1920</v>
      </c>
      <c r="M36" s="49">
        <f t="shared" si="0"/>
        <v>5</v>
      </c>
      <c r="N36" s="29">
        <f t="shared" si="15"/>
        <v>9600</v>
      </c>
      <c r="O36" s="55">
        <f t="shared" si="16"/>
        <v>3.125</v>
      </c>
      <c r="P36" s="29">
        <f t="shared" si="17"/>
        <v>1920</v>
      </c>
      <c r="Q36" s="51">
        <f t="shared" si="3"/>
        <v>4.5</v>
      </c>
      <c r="R36" s="30">
        <f t="shared" si="18"/>
        <v>43200</v>
      </c>
      <c r="S36" s="53">
        <f t="shared" si="5"/>
        <v>2.2000000000000002</v>
      </c>
      <c r="T36" s="49">
        <f t="shared" si="6"/>
        <v>5</v>
      </c>
      <c r="U36" s="49">
        <f t="shared" si="7"/>
        <v>1</v>
      </c>
      <c r="V36" s="49">
        <f t="shared" si="8"/>
        <v>1</v>
      </c>
      <c r="W36" s="11">
        <f t="shared" si="19"/>
        <v>9722</v>
      </c>
      <c r="X36" s="31">
        <f t="shared" si="20"/>
        <v>21388.400000000001</v>
      </c>
      <c r="Y36" s="60">
        <f t="shared" si="21"/>
        <v>121.18718557722877</v>
      </c>
      <c r="Z36" s="32">
        <f t="shared" si="22"/>
        <v>236.84210526315789</v>
      </c>
      <c r="AA36" s="77">
        <f t="shared" si="23"/>
        <v>1.9999999999999996</v>
      </c>
      <c r="AB36" s="33">
        <f t="shared" si="24"/>
        <v>6.3782729251173036</v>
      </c>
      <c r="AC36" s="32">
        <f t="shared" si="25"/>
        <v>473.68421052631578</v>
      </c>
      <c r="AD36" s="77">
        <f t="shared" si="26"/>
        <v>8</v>
      </c>
      <c r="AE36" s="33">
        <f t="shared" si="27"/>
        <v>12.756545850234607</v>
      </c>
      <c r="AF36" s="32">
        <f t="shared" si="28"/>
        <v>236.84210526315789</v>
      </c>
      <c r="AG36" s="77">
        <f t="shared" si="29"/>
        <v>0.99999999999999911</v>
      </c>
      <c r="AH36" s="33">
        <f t="shared" si="30"/>
        <v>6.3782729251173036</v>
      </c>
      <c r="AI36" s="551">
        <f t="shared" si="31"/>
        <v>11</v>
      </c>
      <c r="AJ36" s="551"/>
      <c r="AL36" s="1">
        <v>80</v>
      </c>
      <c r="AM36" s="11">
        <v>40</v>
      </c>
      <c r="AO36" s="193"/>
      <c r="AP36" s="1">
        <f t="shared" si="32"/>
        <v>2220</v>
      </c>
    </row>
    <row r="37" spans="1:42" x14ac:dyDescent="0.45">
      <c r="A37" s="1">
        <f t="shared" si="33"/>
        <v>19</v>
      </c>
      <c r="B37" s="1" t="s">
        <v>33</v>
      </c>
      <c r="C37" s="1" t="s">
        <v>169</v>
      </c>
      <c r="D37" s="1">
        <f t="shared" si="10"/>
        <v>12</v>
      </c>
      <c r="E37" s="1">
        <f t="shared" si="11"/>
        <v>102</v>
      </c>
      <c r="F37" s="80">
        <v>12</v>
      </c>
      <c r="G37" s="80">
        <v>0</v>
      </c>
      <c r="H37" s="80">
        <v>42</v>
      </c>
      <c r="I37" s="80">
        <v>0</v>
      </c>
      <c r="J37" s="127">
        <f t="shared" si="12"/>
        <v>4284</v>
      </c>
      <c r="K37" s="127">
        <f t="shared" si="13"/>
        <v>3456</v>
      </c>
      <c r="L37" s="11">
        <f t="shared" si="14"/>
        <v>2160</v>
      </c>
      <c r="M37" s="49">
        <f t="shared" si="0"/>
        <v>5</v>
      </c>
      <c r="N37" s="29">
        <f t="shared" si="15"/>
        <v>10800</v>
      </c>
      <c r="O37" s="55">
        <f t="shared" si="16"/>
        <v>3.125</v>
      </c>
      <c r="P37" s="29">
        <f t="shared" si="17"/>
        <v>2160</v>
      </c>
      <c r="Q37" s="51">
        <f t="shared" si="3"/>
        <v>4.5</v>
      </c>
      <c r="R37" s="30">
        <f t="shared" si="18"/>
        <v>48600</v>
      </c>
      <c r="S37" s="53">
        <f t="shared" si="5"/>
        <v>2.2000000000000002</v>
      </c>
      <c r="T37" s="49">
        <f t="shared" si="6"/>
        <v>5</v>
      </c>
      <c r="U37" s="49">
        <f t="shared" si="7"/>
        <v>1</v>
      </c>
      <c r="V37" s="49">
        <f t="shared" si="8"/>
        <v>1</v>
      </c>
      <c r="W37" s="11">
        <f t="shared" si="19"/>
        <v>10988</v>
      </c>
      <c r="X37" s="31">
        <f t="shared" si="20"/>
        <v>24173.600000000002</v>
      </c>
      <c r="Y37" s="60">
        <f t="shared" si="21"/>
        <v>120.627461362809</v>
      </c>
      <c r="Z37" s="32">
        <f t="shared" si="22"/>
        <v>236.84210526315789</v>
      </c>
      <c r="AA37" s="77">
        <f t="shared" si="23"/>
        <v>1.9999999999999996</v>
      </c>
      <c r="AB37" s="33">
        <f t="shared" si="24"/>
        <v>6.3488137559373152</v>
      </c>
      <c r="AC37" s="32">
        <f t="shared" si="25"/>
        <v>473.68421052631578</v>
      </c>
      <c r="AD37" s="77">
        <f t="shared" si="26"/>
        <v>8</v>
      </c>
      <c r="AE37" s="33">
        <f t="shared" si="27"/>
        <v>12.69762751187463</v>
      </c>
      <c r="AF37" s="32">
        <f t="shared" si="28"/>
        <v>236.84210526315789</v>
      </c>
      <c r="AG37" s="77">
        <f t="shared" si="29"/>
        <v>0.99999999999999911</v>
      </c>
      <c r="AH37" s="33">
        <f t="shared" si="30"/>
        <v>6.3488137559373152</v>
      </c>
      <c r="AI37" s="551">
        <f t="shared" si="31"/>
        <v>11</v>
      </c>
      <c r="AJ37" s="551"/>
      <c r="AL37" s="1">
        <v>90</v>
      </c>
      <c r="AM37" s="11">
        <v>130</v>
      </c>
      <c r="AO37" s="193"/>
      <c r="AP37" s="1">
        <f t="shared" si="32"/>
        <v>2520</v>
      </c>
    </row>
    <row r="38" spans="1:42" x14ac:dyDescent="0.45">
      <c r="A38" s="1">
        <f t="shared" si="33"/>
        <v>20</v>
      </c>
      <c r="B38" s="1" t="s">
        <v>35</v>
      </c>
      <c r="C38" s="1" t="s">
        <v>170</v>
      </c>
      <c r="D38" s="1">
        <f t="shared" si="10"/>
        <v>12</v>
      </c>
      <c r="E38" s="1">
        <f t="shared" si="11"/>
        <v>102</v>
      </c>
      <c r="F38" s="80">
        <v>12</v>
      </c>
      <c r="G38" s="80">
        <v>0</v>
      </c>
      <c r="H38" s="80">
        <v>42</v>
      </c>
      <c r="I38" s="80">
        <v>0</v>
      </c>
      <c r="J38" s="127">
        <f t="shared" si="12"/>
        <v>4284</v>
      </c>
      <c r="K38" s="127">
        <f t="shared" si="13"/>
        <v>3456</v>
      </c>
      <c r="L38" s="11">
        <f t="shared" si="14"/>
        <v>2160</v>
      </c>
      <c r="M38" s="49">
        <f t="shared" si="0"/>
        <v>5</v>
      </c>
      <c r="N38" s="29">
        <f t="shared" si="15"/>
        <v>10800</v>
      </c>
      <c r="O38" s="55">
        <f t="shared" si="16"/>
        <v>3.125</v>
      </c>
      <c r="P38" s="29">
        <f t="shared" si="17"/>
        <v>2160</v>
      </c>
      <c r="Q38" s="51">
        <f t="shared" si="3"/>
        <v>4.5</v>
      </c>
      <c r="R38" s="30">
        <f t="shared" si="18"/>
        <v>48600</v>
      </c>
      <c r="S38" s="53">
        <f t="shared" si="5"/>
        <v>2.2000000000000002</v>
      </c>
      <c r="T38" s="49">
        <f t="shared" si="6"/>
        <v>5</v>
      </c>
      <c r="U38" s="49">
        <f t="shared" si="7"/>
        <v>1</v>
      </c>
      <c r="V38" s="49">
        <f t="shared" si="8"/>
        <v>1</v>
      </c>
      <c r="W38" s="11">
        <f t="shared" si="19"/>
        <v>10988</v>
      </c>
      <c r="X38" s="31">
        <f t="shared" si="20"/>
        <v>24173.600000000002</v>
      </c>
      <c r="Y38" s="60">
        <f t="shared" si="21"/>
        <v>120.627461362809</v>
      </c>
      <c r="Z38" s="32">
        <f t="shared" si="22"/>
        <v>236.84210526315789</v>
      </c>
      <c r="AA38" s="77">
        <f t="shared" si="23"/>
        <v>1.9999999999999996</v>
      </c>
      <c r="AB38" s="33">
        <f t="shared" si="24"/>
        <v>6.3488137559373152</v>
      </c>
      <c r="AC38" s="32">
        <f t="shared" si="25"/>
        <v>473.68421052631578</v>
      </c>
      <c r="AD38" s="77">
        <f t="shared" si="26"/>
        <v>8</v>
      </c>
      <c r="AE38" s="33">
        <f t="shared" si="27"/>
        <v>12.69762751187463</v>
      </c>
      <c r="AF38" s="32">
        <f t="shared" si="28"/>
        <v>236.84210526315789</v>
      </c>
      <c r="AG38" s="77">
        <f t="shared" si="29"/>
        <v>0.99999999999999911</v>
      </c>
      <c r="AH38" s="33">
        <f t="shared" si="30"/>
        <v>6.3488137559373152</v>
      </c>
      <c r="AI38" s="551">
        <f t="shared" si="31"/>
        <v>11</v>
      </c>
      <c r="AJ38" s="551"/>
      <c r="AL38" s="1">
        <v>15</v>
      </c>
      <c r="AM38" s="11">
        <v>90</v>
      </c>
      <c r="AO38" s="193"/>
      <c r="AP38" s="1">
        <f>H38*F38*5+I38*G38*5</f>
        <v>2520</v>
      </c>
    </row>
    <row r="39" spans="1:42" x14ac:dyDescent="0.45">
      <c r="A39" s="1">
        <f t="shared" si="33"/>
        <v>21</v>
      </c>
      <c r="B39" s="1" t="s">
        <v>37</v>
      </c>
      <c r="C39" s="1" t="s">
        <v>171</v>
      </c>
      <c r="D39" s="1">
        <f t="shared" si="10"/>
        <v>12</v>
      </c>
      <c r="E39" s="1">
        <f t="shared" si="11"/>
        <v>102</v>
      </c>
      <c r="F39" s="80">
        <v>12</v>
      </c>
      <c r="G39" s="80">
        <v>0</v>
      </c>
      <c r="H39" s="80">
        <v>31</v>
      </c>
      <c r="I39" s="80">
        <v>0</v>
      </c>
      <c r="J39" s="127">
        <f t="shared" si="12"/>
        <v>3162</v>
      </c>
      <c r="K39" s="127">
        <f t="shared" si="13"/>
        <v>2496</v>
      </c>
      <c r="L39" s="11">
        <f t="shared" si="14"/>
        <v>1560</v>
      </c>
      <c r="M39" s="49">
        <f t="shared" si="0"/>
        <v>5</v>
      </c>
      <c r="N39" s="29">
        <f t="shared" si="15"/>
        <v>7800</v>
      </c>
      <c r="O39" s="55">
        <f t="shared" si="16"/>
        <v>3.125</v>
      </c>
      <c r="P39" s="29">
        <f t="shared" si="17"/>
        <v>1560</v>
      </c>
      <c r="Q39" s="51">
        <f t="shared" si="3"/>
        <v>4.5</v>
      </c>
      <c r="R39" s="30">
        <f t="shared" si="18"/>
        <v>35100</v>
      </c>
      <c r="S39" s="53">
        <f t="shared" si="5"/>
        <v>2.2000000000000002</v>
      </c>
      <c r="T39" s="49">
        <f t="shared" si="6"/>
        <v>5</v>
      </c>
      <c r="U39" s="49">
        <f t="shared" si="7"/>
        <v>1</v>
      </c>
      <c r="V39" s="49">
        <f t="shared" si="8"/>
        <v>1</v>
      </c>
      <c r="W39" s="11">
        <f t="shared" si="19"/>
        <v>7910</v>
      </c>
      <c r="X39" s="31">
        <f t="shared" si="20"/>
        <v>17402</v>
      </c>
      <c r="Y39" s="60">
        <f t="shared" si="21"/>
        <v>121.02057234800597</v>
      </c>
      <c r="Z39" s="32">
        <f t="shared" si="22"/>
        <v>236.84210526315789</v>
      </c>
      <c r="AA39" s="77">
        <f t="shared" si="23"/>
        <v>1.9999999999999996</v>
      </c>
      <c r="AB39" s="33">
        <f t="shared" si="24"/>
        <v>6.3695038077897879</v>
      </c>
      <c r="AC39" s="32">
        <f t="shared" si="25"/>
        <v>473.68421052631578</v>
      </c>
      <c r="AD39" s="77">
        <f t="shared" si="26"/>
        <v>8</v>
      </c>
      <c r="AE39" s="33">
        <f t="shared" si="27"/>
        <v>12.739007615579576</v>
      </c>
      <c r="AF39" s="32">
        <f t="shared" si="28"/>
        <v>236.84210526315789</v>
      </c>
      <c r="AG39" s="77">
        <f t="shared" si="29"/>
        <v>0.99999999999999911</v>
      </c>
      <c r="AH39" s="33">
        <f t="shared" si="30"/>
        <v>6.3695038077897879</v>
      </c>
      <c r="AI39" s="551">
        <f t="shared" si="31"/>
        <v>11</v>
      </c>
      <c r="AJ39" s="551"/>
      <c r="AL39" s="1">
        <v>100</v>
      </c>
      <c r="AM39" s="11">
        <v>130</v>
      </c>
      <c r="AO39" s="193"/>
      <c r="AP39" s="1">
        <f t="shared" si="32"/>
        <v>1860</v>
      </c>
    </row>
    <row r="40" spans="1:42" x14ac:dyDescent="0.45">
      <c r="A40" s="1">
        <f t="shared" si="33"/>
        <v>22</v>
      </c>
      <c r="B40" s="1" t="s">
        <v>37</v>
      </c>
      <c r="C40" s="1" t="s">
        <v>172</v>
      </c>
      <c r="D40" s="1">
        <f t="shared" si="10"/>
        <v>12</v>
      </c>
      <c r="E40" s="1">
        <f t="shared" si="11"/>
        <v>102</v>
      </c>
      <c r="F40" s="80">
        <v>12</v>
      </c>
      <c r="G40" s="80">
        <v>0</v>
      </c>
      <c r="H40" s="80">
        <v>31</v>
      </c>
      <c r="I40" s="80">
        <v>0</v>
      </c>
      <c r="J40" s="127">
        <f t="shared" si="12"/>
        <v>3162</v>
      </c>
      <c r="K40" s="127">
        <f t="shared" si="13"/>
        <v>2496</v>
      </c>
      <c r="L40" s="11">
        <f t="shared" si="14"/>
        <v>1560</v>
      </c>
      <c r="M40" s="49">
        <f t="shared" si="0"/>
        <v>5</v>
      </c>
      <c r="N40" s="29">
        <f t="shared" si="15"/>
        <v>7800</v>
      </c>
      <c r="O40" s="55">
        <f t="shared" si="16"/>
        <v>3.125</v>
      </c>
      <c r="P40" s="29">
        <f t="shared" si="17"/>
        <v>1560</v>
      </c>
      <c r="Q40" s="51">
        <f t="shared" si="3"/>
        <v>4.5</v>
      </c>
      <c r="R40" s="30">
        <f t="shared" si="18"/>
        <v>35100</v>
      </c>
      <c r="S40" s="53">
        <f t="shared" si="5"/>
        <v>2.2000000000000002</v>
      </c>
      <c r="T40" s="49">
        <f t="shared" si="6"/>
        <v>5</v>
      </c>
      <c r="U40" s="49">
        <f t="shared" si="7"/>
        <v>1</v>
      </c>
      <c r="V40" s="49">
        <f t="shared" si="8"/>
        <v>1</v>
      </c>
      <c r="W40" s="11">
        <f>T40*L40+IF(COUNTIFS($B$19:$B$46,B40)=1,2*U40*(H40-2*$F$13),2*U40*(H40-2-$F$13))+IF(COUNTIFS($B$19:$B$46,B40)=1,2*((5*D40-2)*V40),((5*D40-2)*V40))</f>
        <v>7910</v>
      </c>
      <c r="X40" s="31">
        <f t="shared" si="20"/>
        <v>17402</v>
      </c>
      <c r="Y40" s="60">
        <f t="shared" si="21"/>
        <v>121.02057234800597</v>
      </c>
      <c r="Z40" s="32">
        <f t="shared" si="22"/>
        <v>236.84210526315789</v>
      </c>
      <c r="AA40" s="77">
        <f t="shared" si="23"/>
        <v>1.9999999999999996</v>
      </c>
      <c r="AB40" s="33">
        <f t="shared" si="24"/>
        <v>6.3695038077897879</v>
      </c>
      <c r="AC40" s="32">
        <f t="shared" si="25"/>
        <v>473.68421052631578</v>
      </c>
      <c r="AD40" s="77">
        <f t="shared" si="26"/>
        <v>8</v>
      </c>
      <c r="AE40" s="33">
        <f t="shared" si="27"/>
        <v>12.739007615579576</v>
      </c>
      <c r="AF40" s="32">
        <f t="shared" si="28"/>
        <v>236.84210526315789</v>
      </c>
      <c r="AG40" s="77">
        <f t="shared" si="29"/>
        <v>0.99999999999999911</v>
      </c>
      <c r="AH40" s="33">
        <f t="shared" si="30"/>
        <v>6.3695038077897879</v>
      </c>
      <c r="AI40" s="551">
        <f t="shared" si="31"/>
        <v>11</v>
      </c>
      <c r="AJ40" s="551"/>
      <c r="AL40" s="1">
        <v>100</v>
      </c>
      <c r="AM40" s="11">
        <v>70</v>
      </c>
      <c r="AO40" s="193"/>
      <c r="AP40" s="1">
        <f t="shared" si="32"/>
        <v>1860</v>
      </c>
    </row>
    <row r="41" spans="1:42" x14ac:dyDescent="0.45">
      <c r="A41" s="1">
        <f t="shared" si="33"/>
        <v>23</v>
      </c>
      <c r="B41" s="1" t="s">
        <v>39</v>
      </c>
      <c r="C41" s="1" t="s">
        <v>173</v>
      </c>
      <c r="D41" s="1">
        <f t="shared" si="10"/>
        <v>12</v>
      </c>
      <c r="E41" s="1">
        <f t="shared" si="11"/>
        <v>102</v>
      </c>
      <c r="F41" s="80">
        <v>12</v>
      </c>
      <c r="G41" s="80">
        <v>0</v>
      </c>
      <c r="H41" s="80">
        <v>39</v>
      </c>
      <c r="I41" s="80">
        <v>0</v>
      </c>
      <c r="J41" s="127">
        <f t="shared" si="12"/>
        <v>3978</v>
      </c>
      <c r="K41" s="127">
        <f t="shared" si="13"/>
        <v>3264</v>
      </c>
      <c r="L41" s="11">
        <f t="shared" si="14"/>
        <v>2040</v>
      </c>
      <c r="M41" s="49">
        <f t="shared" si="0"/>
        <v>5</v>
      </c>
      <c r="N41" s="29">
        <f t="shared" si="15"/>
        <v>10200</v>
      </c>
      <c r="O41" s="55">
        <f t="shared" si="16"/>
        <v>3.125</v>
      </c>
      <c r="P41" s="29">
        <f t="shared" si="17"/>
        <v>2040</v>
      </c>
      <c r="Q41" s="51">
        <f t="shared" si="3"/>
        <v>4.5</v>
      </c>
      <c r="R41" s="30">
        <f t="shared" si="18"/>
        <v>45900</v>
      </c>
      <c r="S41" s="53">
        <f t="shared" si="5"/>
        <v>2.2000000000000002</v>
      </c>
      <c r="T41" s="49">
        <f t="shared" si="6"/>
        <v>5</v>
      </c>
      <c r="U41" s="49">
        <f t="shared" si="7"/>
        <v>1</v>
      </c>
      <c r="V41" s="49">
        <f t="shared" si="8"/>
        <v>1</v>
      </c>
      <c r="W41" s="11">
        <f>T41*L41+IF(COUNTIFS($B$19:$B$46,B41)=1,2*U41*(H41-2*$F$13),2*U41*(H41-2-$F$13))+IF(COUNTIFS($B$19:$B$46,B41)=1,2*((5*D41-2)*V41),((5*D41-2)*V41))</f>
        <v>10326</v>
      </c>
      <c r="X41" s="31">
        <f t="shared" si="20"/>
        <v>22717.200000000001</v>
      </c>
      <c r="Y41" s="60">
        <f t="shared" si="21"/>
        <v>121.22972901589984</v>
      </c>
      <c r="Z41" s="32">
        <f t="shared" si="22"/>
        <v>236.84210526315789</v>
      </c>
      <c r="AA41" s="77">
        <f t="shared" si="23"/>
        <v>1.9999999999999996</v>
      </c>
      <c r="AB41" s="33">
        <f t="shared" si="24"/>
        <v>6.3805120534684123</v>
      </c>
      <c r="AC41" s="32">
        <f t="shared" si="25"/>
        <v>473.68421052631578</v>
      </c>
      <c r="AD41" s="77">
        <f t="shared" si="26"/>
        <v>8</v>
      </c>
      <c r="AE41" s="33">
        <f t="shared" si="27"/>
        <v>12.761024106936825</v>
      </c>
      <c r="AF41" s="32">
        <f t="shared" si="28"/>
        <v>236.84210526315789</v>
      </c>
      <c r="AG41" s="77">
        <f t="shared" si="29"/>
        <v>0.99999999999999911</v>
      </c>
      <c r="AH41" s="33">
        <f t="shared" si="30"/>
        <v>6.3805120534684123</v>
      </c>
      <c r="AI41" s="551">
        <f t="shared" si="31"/>
        <v>11</v>
      </c>
      <c r="AJ41" s="551"/>
      <c r="AL41" s="1">
        <v>200</v>
      </c>
      <c r="AM41" s="11">
        <v>230</v>
      </c>
      <c r="AO41" s="193"/>
      <c r="AP41" s="1">
        <f t="shared" si="32"/>
        <v>2340</v>
      </c>
    </row>
    <row r="42" spans="1:42" x14ac:dyDescent="0.45">
      <c r="A42" s="1">
        <f t="shared" si="33"/>
        <v>24</v>
      </c>
      <c r="B42" s="1" t="s">
        <v>39</v>
      </c>
      <c r="C42" s="1" t="s">
        <v>174</v>
      </c>
      <c r="D42" s="1">
        <f t="shared" si="10"/>
        <v>12</v>
      </c>
      <c r="E42" s="1">
        <f t="shared" si="11"/>
        <v>102</v>
      </c>
      <c r="F42" s="80">
        <v>12</v>
      </c>
      <c r="G42" s="80">
        <v>0</v>
      </c>
      <c r="H42" s="80">
        <v>39</v>
      </c>
      <c r="I42" s="80">
        <v>0</v>
      </c>
      <c r="J42" s="127">
        <f t="shared" si="12"/>
        <v>3978</v>
      </c>
      <c r="K42" s="127">
        <f t="shared" si="13"/>
        <v>3264</v>
      </c>
      <c r="L42" s="11">
        <f t="shared" si="14"/>
        <v>2040</v>
      </c>
      <c r="M42" s="49">
        <f t="shared" si="0"/>
        <v>5</v>
      </c>
      <c r="N42" s="29">
        <f t="shared" si="15"/>
        <v>10200</v>
      </c>
      <c r="O42" s="55">
        <f t="shared" si="16"/>
        <v>3.125</v>
      </c>
      <c r="P42" s="29">
        <f t="shared" si="17"/>
        <v>2040</v>
      </c>
      <c r="Q42" s="51">
        <f t="shared" si="3"/>
        <v>4.5</v>
      </c>
      <c r="R42" s="30">
        <f t="shared" si="18"/>
        <v>45900</v>
      </c>
      <c r="S42" s="53">
        <f t="shared" si="5"/>
        <v>2.2000000000000002</v>
      </c>
      <c r="T42" s="49">
        <f t="shared" si="6"/>
        <v>5</v>
      </c>
      <c r="U42" s="49">
        <f t="shared" si="7"/>
        <v>1</v>
      </c>
      <c r="V42" s="49">
        <f t="shared" si="8"/>
        <v>1</v>
      </c>
      <c r="W42" s="11">
        <f>T42*L42+IF(COUNTIFS($B$19:$B$46,B42)=1,2*U42*(H42-2*$F$13),2*U42*(H42-2-$F$13))+IF(COUNTIFS($B$19:$B$46,B42)=1,2*((5*D42-2)*V42),((5*D42-2)*V42))</f>
        <v>10326</v>
      </c>
      <c r="X42" s="31">
        <f t="shared" si="20"/>
        <v>22717.200000000001</v>
      </c>
      <c r="Y42" s="60">
        <f t="shared" si="21"/>
        <v>121.22972901589984</v>
      </c>
      <c r="Z42" s="32">
        <f t="shared" si="22"/>
        <v>236.84210526315789</v>
      </c>
      <c r="AA42" s="77">
        <f t="shared" si="23"/>
        <v>1.9999999999999996</v>
      </c>
      <c r="AB42" s="33">
        <f t="shared" si="24"/>
        <v>6.3805120534684123</v>
      </c>
      <c r="AC42" s="32">
        <f t="shared" si="25"/>
        <v>473.68421052631578</v>
      </c>
      <c r="AD42" s="77">
        <f t="shared" si="26"/>
        <v>8</v>
      </c>
      <c r="AE42" s="33">
        <f t="shared" si="27"/>
        <v>12.761024106936825</v>
      </c>
      <c r="AF42" s="32">
        <f t="shared" si="28"/>
        <v>236.84210526315789</v>
      </c>
      <c r="AG42" s="77">
        <f t="shared" si="29"/>
        <v>0.99999999999999911</v>
      </c>
      <c r="AH42" s="33">
        <f t="shared" si="30"/>
        <v>6.3805120534684123</v>
      </c>
      <c r="AI42" s="551">
        <f t="shared" si="31"/>
        <v>11</v>
      </c>
      <c r="AJ42" s="551"/>
      <c r="AL42" s="1">
        <v>200</v>
      </c>
      <c r="AM42" s="11">
        <v>170</v>
      </c>
      <c r="AO42" s="193"/>
      <c r="AP42" s="1">
        <f t="shared" si="32"/>
        <v>2340</v>
      </c>
    </row>
    <row r="43" spans="1:42" x14ac:dyDescent="0.45">
      <c r="A43" s="1">
        <f t="shared" si="33"/>
        <v>25</v>
      </c>
      <c r="B43" s="1" t="s">
        <v>42</v>
      </c>
      <c r="C43" s="1" t="s">
        <v>175</v>
      </c>
      <c r="D43" s="1">
        <f t="shared" si="10"/>
        <v>8</v>
      </c>
      <c r="E43" s="1">
        <f t="shared" si="11"/>
        <v>70</v>
      </c>
      <c r="F43" s="80">
        <v>6</v>
      </c>
      <c r="G43" s="80">
        <v>2</v>
      </c>
      <c r="H43" s="80">
        <v>37</v>
      </c>
      <c r="I43" s="80">
        <v>33</v>
      </c>
      <c r="J43" s="127">
        <f t="shared" si="12"/>
        <v>2526</v>
      </c>
      <c r="K43" s="127">
        <f t="shared" si="13"/>
        <v>1984</v>
      </c>
      <c r="L43" s="11">
        <f t="shared" si="14"/>
        <v>1240</v>
      </c>
      <c r="M43" s="49">
        <f t="shared" si="0"/>
        <v>5</v>
      </c>
      <c r="N43" s="29">
        <f t="shared" si="15"/>
        <v>6200</v>
      </c>
      <c r="O43" s="55">
        <f t="shared" si="16"/>
        <v>3.125</v>
      </c>
      <c r="P43" s="29">
        <f t="shared" si="17"/>
        <v>1240</v>
      </c>
      <c r="Q43" s="51">
        <f t="shared" si="3"/>
        <v>4.5</v>
      </c>
      <c r="R43" s="30">
        <f t="shared" si="18"/>
        <v>27900</v>
      </c>
      <c r="S43" s="53">
        <f t="shared" si="5"/>
        <v>2.2000000000000002</v>
      </c>
      <c r="T43" s="49">
        <f t="shared" si="6"/>
        <v>5</v>
      </c>
      <c r="U43" s="49">
        <f t="shared" si="7"/>
        <v>1</v>
      </c>
      <c r="V43" s="49">
        <f t="shared" si="8"/>
        <v>1</v>
      </c>
      <c r="W43" s="11">
        <f t="shared" si="19"/>
        <v>6302</v>
      </c>
      <c r="X43" s="31">
        <f t="shared" si="20"/>
        <v>13864.400000000001</v>
      </c>
      <c r="Y43" s="60">
        <f t="shared" si="21"/>
        <v>120.74089033784367</v>
      </c>
      <c r="Z43" s="32">
        <f t="shared" si="22"/>
        <v>236.84210526315789</v>
      </c>
      <c r="AA43" s="77">
        <f t="shared" si="23"/>
        <v>1.9999999999999996</v>
      </c>
      <c r="AB43" s="33">
        <f t="shared" si="24"/>
        <v>6.3547837019917726</v>
      </c>
      <c r="AC43" s="32">
        <f t="shared" si="25"/>
        <v>473.68421052631578</v>
      </c>
      <c r="AD43" s="77">
        <f t="shared" si="26"/>
        <v>8</v>
      </c>
      <c r="AE43" s="33">
        <f t="shared" si="27"/>
        <v>12.709567403983545</v>
      </c>
      <c r="AF43" s="32">
        <f t="shared" si="28"/>
        <v>236.84210526315789</v>
      </c>
      <c r="AG43" s="77">
        <f t="shared" si="29"/>
        <v>0.99999999999999911</v>
      </c>
      <c r="AH43" s="33">
        <f t="shared" si="30"/>
        <v>6.3547837019917726</v>
      </c>
      <c r="AI43" s="551">
        <f t="shared" si="31"/>
        <v>11</v>
      </c>
      <c r="AJ43" s="551"/>
      <c r="AL43" s="1">
        <v>360</v>
      </c>
      <c r="AM43" s="11">
        <v>420</v>
      </c>
      <c r="AO43" s="193"/>
      <c r="AP43" s="1">
        <f t="shared" si="32"/>
        <v>1440</v>
      </c>
    </row>
    <row r="44" spans="1:42" x14ac:dyDescent="0.45">
      <c r="A44" s="1">
        <f t="shared" si="33"/>
        <v>26</v>
      </c>
      <c r="B44" s="1" t="s">
        <v>42</v>
      </c>
      <c r="C44" s="1" t="s">
        <v>176</v>
      </c>
      <c r="D44" s="1">
        <f t="shared" si="10"/>
        <v>8</v>
      </c>
      <c r="E44" s="1">
        <f t="shared" si="11"/>
        <v>70</v>
      </c>
      <c r="F44" s="80">
        <v>6</v>
      </c>
      <c r="G44" s="80">
        <v>2</v>
      </c>
      <c r="H44" s="80">
        <v>33</v>
      </c>
      <c r="I44" s="80">
        <v>5</v>
      </c>
      <c r="J44" s="127">
        <f t="shared" si="12"/>
        <v>1862</v>
      </c>
      <c r="K44" s="127">
        <f t="shared" si="13"/>
        <v>1344</v>
      </c>
      <c r="L44" s="11">
        <f t="shared" si="14"/>
        <v>840</v>
      </c>
      <c r="M44" s="49">
        <f t="shared" si="0"/>
        <v>5</v>
      </c>
      <c r="N44" s="29">
        <f t="shared" si="15"/>
        <v>4200</v>
      </c>
      <c r="O44" s="55">
        <f t="shared" si="16"/>
        <v>3.125</v>
      </c>
      <c r="P44" s="29">
        <f t="shared" si="17"/>
        <v>840</v>
      </c>
      <c r="Q44" s="51">
        <f t="shared" si="3"/>
        <v>4.5</v>
      </c>
      <c r="R44" s="30">
        <f t="shared" si="18"/>
        <v>18900</v>
      </c>
      <c r="S44" s="53">
        <f t="shared" si="5"/>
        <v>2.2000000000000002</v>
      </c>
      <c r="T44" s="49">
        <f t="shared" si="6"/>
        <v>5</v>
      </c>
      <c r="U44" s="49">
        <f t="shared" si="7"/>
        <v>1</v>
      </c>
      <c r="V44" s="49">
        <f t="shared" si="8"/>
        <v>1</v>
      </c>
      <c r="W44" s="11">
        <f t="shared" si="19"/>
        <v>4294</v>
      </c>
      <c r="X44" s="31">
        <f t="shared" si="20"/>
        <v>9446.8000000000011</v>
      </c>
      <c r="Y44" s="60">
        <f t="shared" si="21"/>
        <v>120.04064868526908</v>
      </c>
      <c r="Z44" s="32">
        <f t="shared" si="22"/>
        <v>236.84210526315789</v>
      </c>
      <c r="AA44" s="77">
        <f t="shared" si="23"/>
        <v>1.9999999999999996</v>
      </c>
      <c r="AB44" s="33">
        <f t="shared" si="24"/>
        <v>6.3179288781720562</v>
      </c>
      <c r="AC44" s="32">
        <f t="shared" si="25"/>
        <v>473.68421052631578</v>
      </c>
      <c r="AD44" s="77">
        <f t="shared" si="26"/>
        <v>8</v>
      </c>
      <c r="AE44" s="33">
        <f t="shared" si="27"/>
        <v>12.635857756344112</v>
      </c>
      <c r="AF44" s="32">
        <f t="shared" si="28"/>
        <v>236.84210526315789</v>
      </c>
      <c r="AG44" s="77">
        <f t="shared" si="29"/>
        <v>0.99999999999999911</v>
      </c>
      <c r="AH44" s="33">
        <f t="shared" si="30"/>
        <v>6.3179288781720562</v>
      </c>
      <c r="AI44" s="551">
        <f t="shared" si="31"/>
        <v>11</v>
      </c>
      <c r="AJ44" s="551"/>
      <c r="AL44" s="1">
        <v>360</v>
      </c>
      <c r="AM44" s="11">
        <v>330</v>
      </c>
      <c r="AO44" s="193"/>
      <c r="AP44" s="1">
        <f t="shared" si="32"/>
        <v>1040</v>
      </c>
    </row>
    <row r="45" spans="1:42" x14ac:dyDescent="0.45">
      <c r="A45" s="1"/>
      <c r="B45" s="1"/>
      <c r="C45" s="1"/>
      <c r="D45" s="1"/>
      <c r="E45" s="1"/>
      <c r="F45" s="80"/>
      <c r="G45" s="80"/>
      <c r="H45" s="80"/>
      <c r="I45" s="80"/>
      <c r="J45" s="127"/>
      <c r="K45" s="127"/>
      <c r="L45" s="11"/>
      <c r="M45" s="49"/>
      <c r="N45" s="29"/>
      <c r="O45" s="55"/>
      <c r="P45" s="29"/>
      <c r="Q45" s="51"/>
      <c r="R45" s="30"/>
      <c r="S45" s="53"/>
      <c r="T45" s="49"/>
      <c r="U45" s="49"/>
      <c r="V45" s="49"/>
      <c r="W45" s="11"/>
      <c r="X45" s="31"/>
      <c r="Y45" s="60"/>
      <c r="Z45" s="32"/>
      <c r="AA45" s="77"/>
      <c r="AB45" s="33"/>
      <c r="AC45" s="32"/>
      <c r="AD45" s="77"/>
      <c r="AE45" s="33"/>
      <c r="AF45" s="32"/>
      <c r="AG45" s="77"/>
      <c r="AH45" s="33"/>
      <c r="AI45" s="551"/>
      <c r="AJ45" s="551"/>
      <c r="AL45" s="1"/>
      <c r="AM45" s="11"/>
      <c r="AO45" s="193"/>
      <c r="AP45" s="1"/>
    </row>
    <row r="46" spans="1:42" ht="14.65" thickBot="1" x14ac:dyDescent="0.5">
      <c r="A46" s="34"/>
      <c r="B46" s="34"/>
      <c r="C46" s="34"/>
      <c r="D46" s="34"/>
      <c r="E46" s="34"/>
      <c r="F46" s="81"/>
      <c r="G46" s="81"/>
      <c r="H46" s="81"/>
      <c r="I46" s="81"/>
      <c r="J46" s="128"/>
      <c r="K46" s="128"/>
      <c r="L46" s="38"/>
      <c r="M46" s="50"/>
      <c r="N46" s="36"/>
      <c r="O46" s="101"/>
      <c r="P46" s="36"/>
      <c r="Q46" s="52"/>
      <c r="R46" s="37"/>
      <c r="S46" s="54"/>
      <c r="T46" s="50"/>
      <c r="U46" s="50"/>
      <c r="V46" s="50"/>
      <c r="W46" s="38"/>
      <c r="X46" s="39"/>
      <c r="Y46" s="61"/>
      <c r="Z46" s="40"/>
      <c r="AA46" s="78"/>
      <c r="AB46" s="41"/>
      <c r="AC46" s="40"/>
      <c r="AD46" s="78"/>
      <c r="AE46" s="41"/>
      <c r="AF46" s="40"/>
      <c r="AG46" s="78"/>
      <c r="AH46" s="41"/>
      <c r="AI46" s="552"/>
      <c r="AJ46" s="552"/>
      <c r="AL46" s="1"/>
      <c r="AM46" s="11"/>
      <c r="AO46" s="193"/>
      <c r="AP46" s="1"/>
    </row>
    <row r="47" spans="1:42" s="1" customFormat="1" ht="14.65" thickTop="1" x14ac:dyDescent="0.45">
      <c r="A47" s="42"/>
      <c r="B47" s="42"/>
      <c r="C47" s="42"/>
      <c r="D47" s="42"/>
      <c r="E47" s="42"/>
      <c r="F47" s="42"/>
      <c r="G47" s="42"/>
      <c r="H47" s="42"/>
      <c r="I47" s="42"/>
      <c r="J47" s="8">
        <f>SUM(J19:J46)</f>
        <v>100612</v>
      </c>
      <c r="K47" s="8">
        <f>SUM(K19:K46)</f>
        <v>82368</v>
      </c>
      <c r="L47" s="42">
        <f>SUM(L19:L46)</f>
        <v>51480</v>
      </c>
      <c r="M47" s="8"/>
      <c r="N47" s="10">
        <f>SUM(N19:N46)</f>
        <v>257400</v>
      </c>
      <c r="O47" s="10"/>
      <c r="P47" s="10"/>
      <c r="Q47" s="42"/>
      <c r="R47" s="43">
        <f>SUM(R19:R46)</f>
        <v>1158300</v>
      </c>
      <c r="S47" s="42"/>
      <c r="T47" s="42"/>
      <c r="U47" s="42"/>
      <c r="V47" s="42"/>
      <c r="W47" s="10">
        <f>SUM(W19:W46)</f>
        <v>260918</v>
      </c>
      <c r="X47" s="42"/>
      <c r="Y47" s="42"/>
      <c r="Z47" s="42"/>
      <c r="AA47" s="42"/>
      <c r="AB47" s="44"/>
      <c r="AC47" s="42"/>
      <c r="AD47" s="42"/>
      <c r="AE47" s="44"/>
      <c r="AF47" s="42"/>
      <c r="AG47" s="42"/>
      <c r="AH47" s="44"/>
      <c r="AI47" s="44"/>
      <c r="AJ47" s="42"/>
      <c r="AK47"/>
      <c r="AO47" s="77"/>
      <c r="AP47" s="1">
        <f>SUM(AP19:AP46)</f>
        <v>58690</v>
      </c>
    </row>
    <row r="48" spans="1:42" x14ac:dyDescent="0.45">
      <c r="J48" s="129">
        <f>J47/4047</f>
        <v>24.860884605880898</v>
      </c>
      <c r="K48" s="129">
        <f>K47/4047</f>
        <v>20.352853965900668</v>
      </c>
      <c r="L48" s="1"/>
      <c r="M48" s="1"/>
    </row>
    <row r="49" spans="1:28" ht="14.65" thickBot="1" x14ac:dyDescent="0.5"/>
    <row r="50" spans="1:28" ht="21.4" thickBot="1" x14ac:dyDescent="0.7">
      <c r="A50" s="533" t="s">
        <v>177</v>
      </c>
      <c r="B50" s="534"/>
      <c r="C50" s="534"/>
      <c r="D50" s="534"/>
      <c r="E50" s="534"/>
      <c r="F50" s="534"/>
      <c r="G50" s="534"/>
      <c r="H50" s="534"/>
      <c r="I50" s="534"/>
      <c r="J50" s="534"/>
      <c r="K50" s="534"/>
      <c r="L50" s="534"/>
      <c r="M50" s="534"/>
      <c r="N50" s="534"/>
      <c r="O50" s="534"/>
      <c r="P50" s="534"/>
      <c r="Q50" s="534"/>
      <c r="R50" s="534"/>
      <c r="S50" s="534"/>
      <c r="T50" s="534"/>
      <c r="U50" s="534"/>
      <c r="V50" s="534"/>
      <c r="W50" s="534"/>
      <c r="X50" s="534"/>
      <c r="Y50" s="535"/>
    </row>
    <row r="51" spans="1:28" ht="14.25" customHeight="1" x14ac:dyDescent="0.45">
      <c r="A51" s="538" t="s">
        <v>178</v>
      </c>
      <c r="B51" s="530" t="s">
        <v>179</v>
      </c>
      <c r="C51" s="530" t="s">
        <v>180</v>
      </c>
      <c r="D51" s="530" t="s">
        <v>181</v>
      </c>
      <c r="E51" s="530" t="s">
        <v>182</v>
      </c>
      <c r="F51" s="530" t="s">
        <v>183</v>
      </c>
      <c r="G51" s="530" t="s">
        <v>86</v>
      </c>
      <c r="H51" s="530" t="s">
        <v>94</v>
      </c>
      <c r="I51" s="530" t="s">
        <v>129</v>
      </c>
      <c r="J51" s="530" t="s">
        <v>132</v>
      </c>
      <c r="K51" s="530" t="s">
        <v>184</v>
      </c>
      <c r="L51" s="530" t="s">
        <v>138</v>
      </c>
      <c r="M51" s="530" t="s">
        <v>139</v>
      </c>
      <c r="N51" s="530" t="s">
        <v>131</v>
      </c>
      <c r="O51" s="541" t="s">
        <v>140</v>
      </c>
      <c r="P51" s="542"/>
      <c r="Q51" s="543"/>
      <c r="R51" s="541" t="s">
        <v>141</v>
      </c>
      <c r="S51" s="542"/>
      <c r="T51" s="543"/>
      <c r="U51" s="541" t="s">
        <v>142</v>
      </c>
      <c r="V51" s="542"/>
      <c r="W51" s="543"/>
      <c r="X51" s="544">
        <f>O52</f>
        <v>0.29166666666666669</v>
      </c>
      <c r="Y51" s="546">
        <f>W52</f>
        <v>0.75</v>
      </c>
    </row>
    <row r="52" spans="1:28" x14ac:dyDescent="0.45">
      <c r="A52" s="539"/>
      <c r="B52" s="531"/>
      <c r="C52" s="531"/>
      <c r="D52" s="531"/>
      <c r="E52" s="531"/>
      <c r="F52" s="531"/>
      <c r="G52" s="531"/>
      <c r="H52" s="531"/>
      <c r="I52" s="531"/>
      <c r="J52" s="531"/>
      <c r="K52" s="531"/>
      <c r="L52" s="531"/>
      <c r="M52" s="531"/>
      <c r="N52" s="531"/>
      <c r="O52" s="26">
        <f>Z17</f>
        <v>0.29166666666666669</v>
      </c>
      <c r="P52" s="27" t="s">
        <v>145</v>
      </c>
      <c r="Q52" s="28">
        <f>AB17</f>
        <v>0.375</v>
      </c>
      <c r="R52" s="26">
        <f>Q52</f>
        <v>0.375</v>
      </c>
      <c r="S52" s="27" t="s">
        <v>145</v>
      </c>
      <c r="T52" s="28">
        <f>AE17</f>
        <v>0.70833333333333337</v>
      </c>
      <c r="U52" s="26">
        <f>T52</f>
        <v>0.70833333333333337</v>
      </c>
      <c r="V52" s="27" t="s">
        <v>145</v>
      </c>
      <c r="W52" s="28">
        <f>AH17</f>
        <v>0.75</v>
      </c>
      <c r="X52" s="545"/>
      <c r="Y52" s="547"/>
      <c r="Z52" s="1"/>
    </row>
    <row r="53" spans="1:28" ht="42.75" x14ac:dyDescent="0.45">
      <c r="A53" s="540"/>
      <c r="B53" s="532"/>
      <c r="C53" s="532"/>
      <c r="D53" s="532"/>
      <c r="E53" s="532"/>
      <c r="F53" s="532"/>
      <c r="G53" s="532"/>
      <c r="H53" s="532"/>
      <c r="I53" s="532"/>
      <c r="J53" s="532"/>
      <c r="K53" s="532"/>
      <c r="L53" s="532"/>
      <c r="M53" s="532"/>
      <c r="N53" s="532"/>
      <c r="O53" s="476" t="s">
        <v>146</v>
      </c>
      <c r="P53" s="476" t="s">
        <v>147</v>
      </c>
      <c r="Q53" s="476" t="s">
        <v>148</v>
      </c>
      <c r="R53" s="476" t="s">
        <v>146</v>
      </c>
      <c r="S53" s="476" t="s">
        <v>147</v>
      </c>
      <c r="T53" s="476" t="s">
        <v>148</v>
      </c>
      <c r="U53" s="476" t="s">
        <v>146</v>
      </c>
      <c r="V53" s="476" t="s">
        <v>147</v>
      </c>
      <c r="W53" s="476" t="s">
        <v>148</v>
      </c>
      <c r="X53" s="548" t="s">
        <v>149</v>
      </c>
      <c r="Y53" s="549"/>
      <c r="Z53" s="1"/>
      <c r="AB53" s="476" t="s">
        <v>185</v>
      </c>
    </row>
    <row r="54" spans="1:28" x14ac:dyDescent="0.45">
      <c r="A54" s="1">
        <v>1</v>
      </c>
      <c r="B54" s="1" t="s">
        <v>186</v>
      </c>
      <c r="C54" s="80" t="s">
        <v>152</v>
      </c>
      <c r="D54" s="80" t="s">
        <v>153</v>
      </c>
      <c r="E54" s="80"/>
      <c r="F54" s="80"/>
      <c r="G54" s="1">
        <f t="shared" ref="G54:G71" si="34">IF($C54&gt;0,VLOOKUP($C54,$C$19:$AJ$46,2,FALSE),0)+ IF(D54&gt;0,VLOOKUP($D54,$C$19:$AJ$46,2,FALSE),0)+IF($E54&gt;0,VLOOKUP($E54,$C$19:$AJ$46,2,TRUE),0)+IF($F54&gt;0,VLOOKUP($F54,$C$19:$AJ$46,2,TRUE),0)</f>
        <v>20</v>
      </c>
      <c r="H54" s="4">
        <f t="shared" ref="H54:H71" si="35">IF($C54&gt;0,VLOOKUP($C54,$C$19:$AJ$46,9,FALSE),0)+ IF(D54&gt;0,VLOOKUP($D54,$C$19:$AJ$46,9,FALSE),0)+IF($E54&gt;0,VLOOKUP($E54,$C$19:$AJ$46,9,TRUE),0)+IF($F54&gt;0,VLOOKUP($F54,$C$19:$AJ$46,9,TRUE),0)</f>
        <v>7296</v>
      </c>
      <c r="I54" s="29">
        <f t="shared" ref="I54:I71" si="36">IF($C54&gt;0,VLOOKUP($C54,$C$19:$AJ$46,12,FALSE),0)+ IF(D54&gt;0,VLOOKUP($D54,$C$19:$AJ$46,12,FALSE),0)+IF($E54&gt;0,VLOOKUP($E54,$C$19:$AJ$46,12,TRUE),0)+IF($F54&gt;0,VLOOKUP($F54,$C$19:$AJ$46,12,TRUE),0)</f>
        <v>22800</v>
      </c>
      <c r="J54" s="30">
        <f t="shared" ref="J54:J71" si="37">IF($C54&gt;0,VLOOKUP($C54,$C$19:$AJ$46,16,FALSE),0)+ IF(D54&gt;0,VLOOKUP($D54,$C$19:$AJ$46,16,FALSE),0)+IF($E54&gt;0,VLOOKUP($E54,$C$19:$AJ$46,16,TRUE),0)+IF($F54&gt;0,VLOOKUP($F54,$C$19:$AJ$46,16,TRUE),0)</f>
        <v>102600</v>
      </c>
      <c r="K54" s="11">
        <f t="shared" ref="K54:K71" si="38">IF($C54&gt;0,VLOOKUP($C54,$C$19:$AJ$46,21,FALSE),0)+ IF(D54&gt;0,VLOOKUP($D54,$C$19:$AJ$46,21,FALSE),0)+IF($E54&gt;0,VLOOKUP($E54,$C$19:$AJ$46,21,TRUE),0)+IF($F54&gt;0,VLOOKUP($F54,$C$19:$AJ$46,21,TRUE),0)</f>
        <v>23080</v>
      </c>
      <c r="L54" s="31">
        <f t="shared" ref="L54:L71" si="39">IF($C54&gt;0,VLOOKUP($C54,$C$19:$AJ$46,22,FALSE),0)+ IF(D54&gt;0,VLOOKUP($D54,$C$19:$AJ$46,22,FALSE),0)+IF($E54&gt;0,VLOOKUP($E54,$C$19:$AJ$46,22,TRUE),0)+IF($F54&gt;0,VLOOKUP($F54,$C$19:$AJ$46,22,TRUE),0)</f>
        <v>50776.000000000007</v>
      </c>
      <c r="M54" s="60">
        <f>J54/L54*60</f>
        <v>121.23838033716716</v>
      </c>
      <c r="N54" s="51">
        <f t="shared" ref="N54:N71" si="40">$F$4</f>
        <v>4.5</v>
      </c>
      <c r="O54" s="32">
        <f t="shared" ref="O54:O71" si="41">$N54*1000/((($Q$52-$O$52)+2*($T$52-$R$52)+($W$52-$U$52))*24)</f>
        <v>236.84210526315789</v>
      </c>
      <c r="P54" s="77">
        <f t="shared" ref="P54:P71" si="42">($Q$52-$O$52)*24</f>
        <v>1.9999999999999996</v>
      </c>
      <c r="Q54" s="33">
        <f>O54/1000*$I54/$L54*60</f>
        <v>6.3809673861666916</v>
      </c>
      <c r="R54" s="32">
        <f t="shared" ref="R54:R71" si="43">$N54*1000/((($Q$52-$O$52)+2*($T$52-$R$52)+($W$52-$U$52))*24)*2</f>
        <v>473.68421052631578</v>
      </c>
      <c r="S54" s="77">
        <f t="shared" ref="S54:S71" si="44">($T$52-$R$52)*24</f>
        <v>8</v>
      </c>
      <c r="T54" s="33">
        <f>R54/1000*$I54/$L54*60</f>
        <v>12.761934772333383</v>
      </c>
      <c r="U54" s="32">
        <f t="shared" ref="U54:U71" si="45">$N54*1000/((($Q$52-$O$52)+2*($T$52-$R$52)+($W$52-$U$52))*24)</f>
        <v>236.84210526315789</v>
      </c>
      <c r="V54" s="77">
        <f t="shared" ref="V54:V71" si="46">($W$52-$U$52)*24</f>
        <v>0.99999999999999911</v>
      </c>
      <c r="W54" s="33">
        <f>U54/1000*$I54/$L54*60</f>
        <v>6.3809673861666916</v>
      </c>
      <c r="X54" s="551">
        <f t="shared" ref="X54:X71" si="47">($Y$51-$X$51)*24</f>
        <v>11</v>
      </c>
      <c r="Y54" s="551"/>
      <c r="Z54" s="1">
        <f>IF($C54&gt;0,VLOOKUP($C54,$C$19:$AP$46,40,FALSE),0)+ IF(D54&gt;0,VLOOKUP($D54,$C$19:$AP$46,40,FALSE),0)+IF($E54&gt;0,VLOOKUP($E54,$C$19:$AP$46,40,TRUE),0)+IF($F54&gt;0,VLOOKUP($F54,$C$19:$AP$46,40,TRUE),0)</f>
        <v>5060</v>
      </c>
      <c r="AB54">
        <f>IF($C54&gt;0,VLOOKUP($C54,$C$19:$AP$46,10,FALSE),0)+ IF(D54&gt;0,VLOOKUP($D54,$C$19:$AP$46,10,FALSE),0)+IF($E54&gt;0,VLOOKUP($E54,$C$19:$AP$46,10,TRUE),0)+IF($F54&gt;0,VLOOKUP($F54,$C$19:$AP$46,10,TRUE),0)</f>
        <v>4560</v>
      </c>
    </row>
    <row r="55" spans="1:28" x14ac:dyDescent="0.45">
      <c r="A55" s="1">
        <v>1</v>
      </c>
      <c r="B55" s="1" t="s">
        <v>187</v>
      </c>
      <c r="C55" s="80" t="s">
        <v>155</v>
      </c>
      <c r="D55" s="80" t="s">
        <v>156</v>
      </c>
      <c r="E55" s="80"/>
      <c r="F55" s="80"/>
      <c r="G55" s="1">
        <f t="shared" si="34"/>
        <v>20</v>
      </c>
      <c r="H55" s="4">
        <f t="shared" si="35"/>
        <v>7360</v>
      </c>
      <c r="I55" s="29">
        <f t="shared" si="36"/>
        <v>23000</v>
      </c>
      <c r="J55" s="30">
        <f t="shared" si="37"/>
        <v>103500</v>
      </c>
      <c r="K55" s="11">
        <f t="shared" si="38"/>
        <v>23280</v>
      </c>
      <c r="L55" s="31">
        <f t="shared" si="39"/>
        <v>51216.000000000007</v>
      </c>
      <c r="M55" s="60">
        <f t="shared" ref="M55:M71" si="48">J55/L55*60</f>
        <v>121.25117150890344</v>
      </c>
      <c r="N55" s="51">
        <f t="shared" si="40"/>
        <v>4.5</v>
      </c>
      <c r="O55" s="32">
        <f t="shared" si="41"/>
        <v>236.84210526315789</v>
      </c>
      <c r="P55" s="77">
        <f t="shared" si="42"/>
        <v>1.9999999999999996</v>
      </c>
      <c r="Q55" s="33">
        <f t="shared" ref="Q55:Q71" si="49">O55/1000*$I55/$L55*60</f>
        <v>6.3816406057317607</v>
      </c>
      <c r="R55" s="32">
        <f t="shared" si="43"/>
        <v>473.68421052631578</v>
      </c>
      <c r="S55" s="77">
        <f t="shared" si="44"/>
        <v>8</v>
      </c>
      <c r="T55" s="33">
        <f t="shared" ref="T55:T71" si="50">R55/1000*$I55/$L55*60</f>
        <v>12.763281211463521</v>
      </c>
      <c r="U55" s="32">
        <f t="shared" si="45"/>
        <v>236.84210526315789</v>
      </c>
      <c r="V55" s="77">
        <f t="shared" si="46"/>
        <v>0.99999999999999911</v>
      </c>
      <c r="W55" s="33">
        <f t="shared" ref="W55:W71" si="51">U55/1000*$I55/$L55*60</f>
        <v>6.3816406057317607</v>
      </c>
      <c r="X55" s="551">
        <f t="shared" si="47"/>
        <v>11</v>
      </c>
      <c r="Y55" s="551"/>
      <c r="Z55" s="1">
        <f t="shared" ref="Z55:Z71" si="52">IF($C55&gt;0,VLOOKUP($C55,$C$19:$AP$46,40,FALSE),0)+ IF(D55&gt;0,VLOOKUP($D55,$C$19:$AP$46,40,FALSE),0)+IF($E55&gt;0,VLOOKUP($E55,$C$19:$AP$46,40,TRUE),0)+IF($F55&gt;0,VLOOKUP($F55,$C$19:$AP$46,40,TRUE),0)</f>
        <v>5100</v>
      </c>
      <c r="AB55">
        <f t="shared" ref="AB55:AB71" si="53">IF($C55&gt;0,VLOOKUP($C55,$C$19:$AP$46,10,FALSE),0)+ IF(D55&gt;0,VLOOKUP($D55,$C$19:$AP$46,10,FALSE),0)+IF($E55&gt;0,VLOOKUP($E55,$C$19:$AP$46,10,TRUE),0)+IF($F55&gt;0,VLOOKUP($F55,$C$19:$AP$46,10,TRUE),0)</f>
        <v>4600</v>
      </c>
    </row>
    <row r="56" spans="1:28" x14ac:dyDescent="0.45">
      <c r="A56" s="1">
        <v>2</v>
      </c>
      <c r="B56" s="1" t="s">
        <v>188</v>
      </c>
      <c r="C56" s="80" t="s">
        <v>157</v>
      </c>
      <c r="D56" s="80" t="s">
        <v>158</v>
      </c>
      <c r="E56" s="80"/>
      <c r="F56" s="80"/>
      <c r="G56" s="1">
        <f t="shared" si="34"/>
        <v>20</v>
      </c>
      <c r="H56" s="4">
        <f t="shared" si="35"/>
        <v>5440</v>
      </c>
      <c r="I56" s="29">
        <f t="shared" si="36"/>
        <v>17000</v>
      </c>
      <c r="J56" s="30">
        <f t="shared" si="37"/>
        <v>76500</v>
      </c>
      <c r="K56" s="11">
        <f t="shared" si="38"/>
        <v>17232</v>
      </c>
      <c r="L56" s="31">
        <f t="shared" si="39"/>
        <v>37910.400000000001</v>
      </c>
      <c r="M56" s="60">
        <f t="shared" si="48"/>
        <v>121.07495568498352</v>
      </c>
      <c r="N56" s="51">
        <f t="shared" si="40"/>
        <v>4.5</v>
      </c>
      <c r="O56" s="32">
        <f t="shared" si="41"/>
        <v>236.84210526315789</v>
      </c>
      <c r="P56" s="77">
        <f t="shared" si="42"/>
        <v>1.9999999999999996</v>
      </c>
      <c r="Q56" s="33">
        <f t="shared" si="49"/>
        <v>6.3723660886833438</v>
      </c>
      <c r="R56" s="32">
        <f t="shared" si="43"/>
        <v>473.68421052631578</v>
      </c>
      <c r="S56" s="77">
        <f t="shared" si="44"/>
        <v>8</v>
      </c>
      <c r="T56" s="33">
        <f t="shared" si="50"/>
        <v>12.744732177366688</v>
      </c>
      <c r="U56" s="32">
        <f t="shared" si="45"/>
        <v>236.84210526315789</v>
      </c>
      <c r="V56" s="77">
        <f t="shared" si="46"/>
        <v>0.99999999999999911</v>
      </c>
      <c r="W56" s="33">
        <f t="shared" si="51"/>
        <v>6.3723660886833438</v>
      </c>
      <c r="X56" s="551">
        <f t="shared" si="47"/>
        <v>11</v>
      </c>
      <c r="Y56" s="551"/>
      <c r="Z56" s="1">
        <f t="shared" si="52"/>
        <v>3900</v>
      </c>
      <c r="AB56">
        <f t="shared" si="53"/>
        <v>3400</v>
      </c>
    </row>
    <row r="57" spans="1:28" x14ac:dyDescent="0.45">
      <c r="A57" s="1">
        <v>2</v>
      </c>
      <c r="B57" s="1" t="s">
        <v>3</v>
      </c>
      <c r="C57" s="80" t="s">
        <v>159</v>
      </c>
      <c r="D57" s="80" t="s">
        <v>160</v>
      </c>
      <c r="E57" s="80"/>
      <c r="F57" s="80"/>
      <c r="G57" s="1">
        <f t="shared" si="34"/>
        <v>20</v>
      </c>
      <c r="H57" s="4">
        <f t="shared" si="35"/>
        <v>4928</v>
      </c>
      <c r="I57" s="29">
        <f t="shared" si="36"/>
        <v>15400</v>
      </c>
      <c r="J57" s="30">
        <f t="shared" si="37"/>
        <v>69300</v>
      </c>
      <c r="K57" s="11">
        <f t="shared" si="38"/>
        <v>15648</v>
      </c>
      <c r="L57" s="31">
        <f t="shared" si="39"/>
        <v>34425.600000000006</v>
      </c>
      <c r="M57" s="60">
        <f t="shared" si="48"/>
        <v>120.78220858895705</v>
      </c>
      <c r="N57" s="51">
        <f t="shared" si="40"/>
        <v>4.5</v>
      </c>
      <c r="O57" s="32">
        <f t="shared" si="41"/>
        <v>236.84210526315789</v>
      </c>
      <c r="P57" s="77">
        <f t="shared" si="42"/>
        <v>1.9999999999999996</v>
      </c>
      <c r="Q57" s="33">
        <f t="shared" si="49"/>
        <v>6.3569583467872119</v>
      </c>
      <c r="R57" s="32">
        <f t="shared" si="43"/>
        <v>473.68421052631578</v>
      </c>
      <c r="S57" s="77">
        <f t="shared" si="44"/>
        <v>8</v>
      </c>
      <c r="T57" s="33">
        <f t="shared" si="50"/>
        <v>12.713916693574424</v>
      </c>
      <c r="U57" s="32">
        <f t="shared" si="45"/>
        <v>236.84210526315789</v>
      </c>
      <c r="V57" s="77">
        <f t="shared" si="46"/>
        <v>0.99999999999999911</v>
      </c>
      <c r="W57" s="33">
        <f t="shared" si="51"/>
        <v>6.3569583467872119</v>
      </c>
      <c r="X57" s="551">
        <f t="shared" si="47"/>
        <v>11</v>
      </c>
      <c r="Y57" s="551"/>
      <c r="Z57" s="1">
        <f t="shared" si="52"/>
        <v>3580</v>
      </c>
      <c r="AB57">
        <f t="shared" si="53"/>
        <v>3080</v>
      </c>
    </row>
    <row r="58" spans="1:28" x14ac:dyDescent="0.45">
      <c r="A58" s="1">
        <v>2</v>
      </c>
      <c r="B58" s="1" t="s">
        <v>189</v>
      </c>
      <c r="C58" s="80" t="s">
        <v>161</v>
      </c>
      <c r="D58" s="80" t="s">
        <v>162</v>
      </c>
      <c r="E58" s="80"/>
      <c r="F58" s="80"/>
      <c r="G58" s="1">
        <f t="shared" si="34"/>
        <v>22</v>
      </c>
      <c r="H58" s="4">
        <f t="shared" si="35"/>
        <v>5632</v>
      </c>
      <c r="I58" s="29">
        <f t="shared" si="36"/>
        <v>17600</v>
      </c>
      <c r="J58" s="30">
        <f t="shared" si="37"/>
        <v>79200</v>
      </c>
      <c r="K58" s="11">
        <f t="shared" si="38"/>
        <v>17834</v>
      </c>
      <c r="L58" s="31">
        <f t="shared" si="39"/>
        <v>39234.800000000003</v>
      </c>
      <c r="M58" s="60">
        <f t="shared" si="48"/>
        <v>121.11696758999662</v>
      </c>
      <c r="N58" s="51">
        <f t="shared" si="40"/>
        <v>4.5</v>
      </c>
      <c r="O58" s="32">
        <f t="shared" si="41"/>
        <v>236.84210526315789</v>
      </c>
      <c r="P58" s="77">
        <f t="shared" si="42"/>
        <v>1.9999999999999996</v>
      </c>
      <c r="Q58" s="33">
        <f t="shared" si="49"/>
        <v>6.3745772415787689</v>
      </c>
      <c r="R58" s="32">
        <f t="shared" si="43"/>
        <v>473.68421052631578</v>
      </c>
      <c r="S58" s="77">
        <f t="shared" si="44"/>
        <v>8</v>
      </c>
      <c r="T58" s="33">
        <f t="shared" si="50"/>
        <v>12.749154483157538</v>
      </c>
      <c r="U58" s="32">
        <f t="shared" si="45"/>
        <v>236.84210526315789</v>
      </c>
      <c r="V58" s="77">
        <f t="shared" si="46"/>
        <v>0.99999999999999911</v>
      </c>
      <c r="W58" s="33">
        <f t="shared" si="51"/>
        <v>6.3745772415787689</v>
      </c>
      <c r="X58" s="551">
        <f t="shared" si="47"/>
        <v>11</v>
      </c>
      <c r="Y58" s="551"/>
      <c r="Z58" s="1">
        <f t="shared" si="52"/>
        <v>4070</v>
      </c>
      <c r="AB58">
        <f t="shared" si="53"/>
        <v>3520</v>
      </c>
    </row>
    <row r="59" spans="1:28" x14ac:dyDescent="0.45">
      <c r="A59" s="1">
        <v>3</v>
      </c>
      <c r="B59" s="1" t="s">
        <v>190</v>
      </c>
      <c r="C59" s="80" t="s">
        <v>163</v>
      </c>
      <c r="D59" s="80" t="s">
        <v>164</v>
      </c>
      <c r="E59" s="80"/>
      <c r="F59" s="80"/>
      <c r="G59" s="1">
        <f t="shared" si="34"/>
        <v>24</v>
      </c>
      <c r="H59" s="4">
        <f t="shared" si="35"/>
        <v>8832</v>
      </c>
      <c r="I59" s="29">
        <f t="shared" si="36"/>
        <v>27600</v>
      </c>
      <c r="J59" s="30">
        <f t="shared" si="37"/>
        <v>124200</v>
      </c>
      <c r="K59" s="11">
        <f t="shared" si="38"/>
        <v>27900</v>
      </c>
      <c r="L59" s="31">
        <f t="shared" si="39"/>
        <v>61380.000000000007</v>
      </c>
      <c r="M59" s="60">
        <f t="shared" si="48"/>
        <v>121.40762463343108</v>
      </c>
      <c r="N59" s="51">
        <f t="shared" si="40"/>
        <v>4.5</v>
      </c>
      <c r="O59" s="32">
        <f t="shared" si="41"/>
        <v>236.84210526315789</v>
      </c>
      <c r="P59" s="77">
        <f t="shared" si="42"/>
        <v>1.9999999999999996</v>
      </c>
      <c r="Q59" s="33">
        <f t="shared" si="49"/>
        <v>6.3898749807068977</v>
      </c>
      <c r="R59" s="32">
        <f t="shared" si="43"/>
        <v>473.68421052631578</v>
      </c>
      <c r="S59" s="77">
        <f t="shared" si="44"/>
        <v>8</v>
      </c>
      <c r="T59" s="33">
        <f t="shared" si="50"/>
        <v>12.779749961413795</v>
      </c>
      <c r="U59" s="32">
        <f t="shared" si="45"/>
        <v>236.84210526315789</v>
      </c>
      <c r="V59" s="77">
        <f t="shared" si="46"/>
        <v>0.99999999999999911</v>
      </c>
      <c r="W59" s="33">
        <f t="shared" si="51"/>
        <v>6.3898749807068977</v>
      </c>
      <c r="X59" s="551">
        <f t="shared" si="47"/>
        <v>11</v>
      </c>
      <c r="Y59" s="551"/>
      <c r="Z59" s="1">
        <f t="shared" si="52"/>
        <v>6120</v>
      </c>
      <c r="AB59">
        <f t="shared" si="53"/>
        <v>5520</v>
      </c>
    </row>
    <row r="60" spans="1:28" x14ac:dyDescent="0.45">
      <c r="A60" s="1">
        <v>3</v>
      </c>
      <c r="B60" s="1" t="s">
        <v>191</v>
      </c>
      <c r="C60" s="80" t="s">
        <v>165</v>
      </c>
      <c r="D60" s="80" t="s">
        <v>166</v>
      </c>
      <c r="E60" s="80"/>
      <c r="F60" s="80"/>
      <c r="G60" s="1">
        <f t="shared" si="34"/>
        <v>24</v>
      </c>
      <c r="H60" s="4">
        <f t="shared" si="35"/>
        <v>8832</v>
      </c>
      <c r="I60" s="29">
        <f t="shared" si="36"/>
        <v>27600</v>
      </c>
      <c r="J60" s="30">
        <f t="shared" si="37"/>
        <v>124200</v>
      </c>
      <c r="K60" s="11">
        <f t="shared" si="38"/>
        <v>27900</v>
      </c>
      <c r="L60" s="31">
        <f t="shared" si="39"/>
        <v>61380.000000000007</v>
      </c>
      <c r="M60" s="60">
        <f t="shared" si="48"/>
        <v>121.40762463343108</v>
      </c>
      <c r="N60" s="51">
        <f t="shared" si="40"/>
        <v>4.5</v>
      </c>
      <c r="O60" s="32">
        <f t="shared" si="41"/>
        <v>236.84210526315789</v>
      </c>
      <c r="P60" s="77">
        <f t="shared" si="42"/>
        <v>1.9999999999999996</v>
      </c>
      <c r="Q60" s="33">
        <f t="shared" si="49"/>
        <v>6.3898749807068977</v>
      </c>
      <c r="R60" s="32">
        <f t="shared" si="43"/>
        <v>473.68421052631578</v>
      </c>
      <c r="S60" s="77">
        <f t="shared" si="44"/>
        <v>8</v>
      </c>
      <c r="T60" s="33">
        <f t="shared" si="50"/>
        <v>12.779749961413795</v>
      </c>
      <c r="U60" s="32">
        <f t="shared" si="45"/>
        <v>236.84210526315789</v>
      </c>
      <c r="V60" s="77">
        <f t="shared" si="46"/>
        <v>0.99999999999999911</v>
      </c>
      <c r="W60" s="33">
        <f t="shared" si="51"/>
        <v>6.3898749807068977</v>
      </c>
      <c r="X60" s="551">
        <f t="shared" si="47"/>
        <v>11</v>
      </c>
      <c r="Y60" s="551"/>
      <c r="Z60" s="1">
        <f t="shared" si="52"/>
        <v>6120</v>
      </c>
      <c r="AB60">
        <f t="shared" si="53"/>
        <v>5520</v>
      </c>
    </row>
    <row r="61" spans="1:28" x14ac:dyDescent="0.45">
      <c r="A61" s="1">
        <v>2</v>
      </c>
      <c r="B61" s="1" t="s">
        <v>192</v>
      </c>
      <c r="C61" s="80" t="s">
        <v>167</v>
      </c>
      <c r="D61" s="80" t="s">
        <v>168</v>
      </c>
      <c r="E61" s="80"/>
      <c r="F61" s="80"/>
      <c r="G61" s="1">
        <f t="shared" si="34"/>
        <v>24</v>
      </c>
      <c r="H61" s="4">
        <f t="shared" si="35"/>
        <v>6144</v>
      </c>
      <c r="I61" s="29">
        <f t="shared" si="36"/>
        <v>19200</v>
      </c>
      <c r="J61" s="30">
        <f t="shared" si="37"/>
        <v>86400</v>
      </c>
      <c r="K61" s="11">
        <f t="shared" si="38"/>
        <v>19444</v>
      </c>
      <c r="L61" s="31">
        <f t="shared" si="39"/>
        <v>42776.800000000003</v>
      </c>
      <c r="M61" s="60">
        <f t="shared" si="48"/>
        <v>121.18718557722877</v>
      </c>
      <c r="N61" s="51">
        <f t="shared" si="40"/>
        <v>4.5</v>
      </c>
      <c r="O61" s="32">
        <f t="shared" si="41"/>
        <v>236.84210526315789</v>
      </c>
      <c r="P61" s="77">
        <f t="shared" si="42"/>
        <v>1.9999999999999996</v>
      </c>
      <c r="Q61" s="33">
        <f t="shared" si="49"/>
        <v>6.3782729251173036</v>
      </c>
      <c r="R61" s="32">
        <f t="shared" si="43"/>
        <v>473.68421052631578</v>
      </c>
      <c r="S61" s="77">
        <f t="shared" si="44"/>
        <v>8</v>
      </c>
      <c r="T61" s="33">
        <f t="shared" si="50"/>
        <v>12.756545850234607</v>
      </c>
      <c r="U61" s="32">
        <f t="shared" si="45"/>
        <v>236.84210526315789</v>
      </c>
      <c r="V61" s="77">
        <f t="shared" si="46"/>
        <v>0.99999999999999911</v>
      </c>
      <c r="W61" s="33">
        <f t="shared" si="51"/>
        <v>6.3782729251173036</v>
      </c>
      <c r="X61" s="551">
        <f t="shared" si="47"/>
        <v>11</v>
      </c>
      <c r="Y61" s="551"/>
      <c r="Z61" s="1">
        <f t="shared" si="52"/>
        <v>4440</v>
      </c>
      <c r="AB61">
        <f t="shared" si="53"/>
        <v>3840</v>
      </c>
    </row>
    <row r="62" spans="1:28" x14ac:dyDescent="0.45">
      <c r="A62" s="1">
        <v>4</v>
      </c>
      <c r="B62" s="1" t="s">
        <v>193</v>
      </c>
      <c r="C62" s="80" t="s">
        <v>171</v>
      </c>
      <c r="D62" s="80" t="s">
        <v>172</v>
      </c>
      <c r="E62" s="80"/>
      <c r="F62" s="80"/>
      <c r="G62" s="1">
        <f t="shared" si="34"/>
        <v>24</v>
      </c>
      <c r="H62" s="4">
        <f t="shared" si="35"/>
        <v>4992</v>
      </c>
      <c r="I62" s="29">
        <f t="shared" si="36"/>
        <v>15600</v>
      </c>
      <c r="J62" s="30">
        <f t="shared" si="37"/>
        <v>70200</v>
      </c>
      <c r="K62" s="11">
        <f t="shared" si="38"/>
        <v>15820</v>
      </c>
      <c r="L62" s="31">
        <f t="shared" si="39"/>
        <v>34804</v>
      </c>
      <c r="M62" s="60">
        <f t="shared" si="48"/>
        <v>121.02057234800597</v>
      </c>
      <c r="N62" s="51">
        <f t="shared" si="40"/>
        <v>4.5</v>
      </c>
      <c r="O62" s="32">
        <f t="shared" si="41"/>
        <v>236.84210526315789</v>
      </c>
      <c r="P62" s="77">
        <f t="shared" si="42"/>
        <v>1.9999999999999996</v>
      </c>
      <c r="Q62" s="33">
        <f t="shared" si="49"/>
        <v>6.3695038077897879</v>
      </c>
      <c r="R62" s="32">
        <f t="shared" si="43"/>
        <v>473.68421052631578</v>
      </c>
      <c r="S62" s="77">
        <f t="shared" si="44"/>
        <v>8</v>
      </c>
      <c r="T62" s="33">
        <f t="shared" si="50"/>
        <v>12.739007615579576</v>
      </c>
      <c r="U62" s="32">
        <f t="shared" si="45"/>
        <v>236.84210526315789</v>
      </c>
      <c r="V62" s="77">
        <f t="shared" si="46"/>
        <v>0.99999999999999911</v>
      </c>
      <c r="W62" s="33">
        <f t="shared" si="51"/>
        <v>6.3695038077897879</v>
      </c>
      <c r="X62" s="551">
        <f t="shared" si="47"/>
        <v>11</v>
      </c>
      <c r="Y62" s="551"/>
      <c r="Z62" s="1">
        <f t="shared" si="52"/>
        <v>3720</v>
      </c>
      <c r="AB62">
        <f t="shared" si="53"/>
        <v>3120</v>
      </c>
    </row>
    <row r="63" spans="1:28" x14ac:dyDescent="0.45">
      <c r="A63" s="1">
        <v>4</v>
      </c>
      <c r="B63" s="1" t="s">
        <v>194</v>
      </c>
      <c r="C63" s="80" t="s">
        <v>173</v>
      </c>
      <c r="D63" s="80" t="s">
        <v>174</v>
      </c>
      <c r="E63" s="80"/>
      <c r="F63" s="80"/>
      <c r="G63" s="1">
        <f t="shared" si="34"/>
        <v>24</v>
      </c>
      <c r="H63" s="4">
        <f t="shared" si="35"/>
        <v>6528</v>
      </c>
      <c r="I63" s="29">
        <f t="shared" si="36"/>
        <v>20400</v>
      </c>
      <c r="J63" s="30">
        <f t="shared" si="37"/>
        <v>91800</v>
      </c>
      <c r="K63" s="11">
        <f t="shared" si="38"/>
        <v>20652</v>
      </c>
      <c r="L63" s="31">
        <f t="shared" si="39"/>
        <v>45434.400000000001</v>
      </c>
      <c r="M63" s="60">
        <f t="shared" si="48"/>
        <v>121.22972901589984</v>
      </c>
      <c r="N63" s="51">
        <f t="shared" si="40"/>
        <v>4.5</v>
      </c>
      <c r="O63" s="32">
        <f t="shared" si="41"/>
        <v>236.84210526315789</v>
      </c>
      <c r="P63" s="77">
        <f t="shared" si="42"/>
        <v>1.9999999999999996</v>
      </c>
      <c r="Q63" s="33">
        <f t="shared" si="49"/>
        <v>6.3805120534684123</v>
      </c>
      <c r="R63" s="32">
        <f t="shared" si="43"/>
        <v>473.68421052631578</v>
      </c>
      <c r="S63" s="77">
        <f t="shared" si="44"/>
        <v>8</v>
      </c>
      <c r="T63" s="33">
        <f t="shared" si="50"/>
        <v>12.761024106936825</v>
      </c>
      <c r="U63" s="32">
        <f t="shared" si="45"/>
        <v>236.84210526315789</v>
      </c>
      <c r="V63" s="77">
        <f t="shared" si="46"/>
        <v>0.99999999999999911</v>
      </c>
      <c r="W63" s="33">
        <f t="shared" si="51"/>
        <v>6.3805120534684123</v>
      </c>
      <c r="X63" s="551">
        <f t="shared" si="47"/>
        <v>11</v>
      </c>
      <c r="Y63" s="551"/>
      <c r="Z63" s="1">
        <f t="shared" si="52"/>
        <v>4680</v>
      </c>
      <c r="AB63">
        <f t="shared" si="53"/>
        <v>4080</v>
      </c>
    </row>
    <row r="64" spans="1:28" x14ac:dyDescent="0.45">
      <c r="A64" s="1">
        <v>4</v>
      </c>
      <c r="B64" s="1" t="s">
        <v>195</v>
      </c>
      <c r="C64" s="80" t="s">
        <v>175</v>
      </c>
      <c r="D64" s="80" t="s">
        <v>176</v>
      </c>
      <c r="E64" s="80"/>
      <c r="F64" s="80"/>
      <c r="G64" s="1">
        <f t="shared" si="34"/>
        <v>16</v>
      </c>
      <c r="H64" s="4">
        <f t="shared" si="35"/>
        <v>3328</v>
      </c>
      <c r="I64" s="29">
        <f t="shared" si="36"/>
        <v>10400</v>
      </c>
      <c r="J64" s="30">
        <f t="shared" si="37"/>
        <v>46800</v>
      </c>
      <c r="K64" s="11">
        <f t="shared" si="38"/>
        <v>10596</v>
      </c>
      <c r="L64" s="31">
        <f t="shared" si="39"/>
        <v>23311.200000000004</v>
      </c>
      <c r="M64" s="60">
        <f t="shared" si="48"/>
        <v>120.45711932461646</v>
      </c>
      <c r="N64" s="51">
        <f t="shared" si="40"/>
        <v>4.5</v>
      </c>
      <c r="O64" s="32">
        <f t="shared" si="41"/>
        <v>236.84210526315789</v>
      </c>
      <c r="P64" s="77">
        <f t="shared" si="42"/>
        <v>1.9999999999999996</v>
      </c>
      <c r="Q64" s="33">
        <f t="shared" si="49"/>
        <v>6.3398483855061301</v>
      </c>
      <c r="R64" s="32">
        <f t="shared" si="43"/>
        <v>473.68421052631578</v>
      </c>
      <c r="S64" s="77">
        <f t="shared" si="44"/>
        <v>8</v>
      </c>
      <c r="T64" s="33">
        <f t="shared" si="50"/>
        <v>12.67969677101226</v>
      </c>
      <c r="U64" s="32">
        <f t="shared" si="45"/>
        <v>236.84210526315789</v>
      </c>
      <c r="V64" s="77">
        <f t="shared" si="46"/>
        <v>0.99999999999999911</v>
      </c>
      <c r="W64" s="33">
        <f t="shared" si="51"/>
        <v>6.3398483855061301</v>
      </c>
      <c r="X64" s="551">
        <f t="shared" si="47"/>
        <v>11</v>
      </c>
      <c r="Y64" s="551"/>
      <c r="Z64" s="1">
        <f t="shared" si="52"/>
        <v>2480</v>
      </c>
      <c r="AB64">
        <f t="shared" si="53"/>
        <v>2080</v>
      </c>
    </row>
    <row r="65" spans="1:28" x14ac:dyDescent="0.45">
      <c r="A65" s="1">
        <v>4</v>
      </c>
      <c r="B65" s="1" t="s">
        <v>196</v>
      </c>
      <c r="C65" s="80" t="s">
        <v>197</v>
      </c>
      <c r="D65" s="80" t="s">
        <v>198</v>
      </c>
      <c r="E65" s="80"/>
      <c r="F65" s="80"/>
      <c r="G65" s="1" t="e">
        <f t="shared" si="34"/>
        <v>#N/A</v>
      </c>
      <c r="H65" s="4" t="e">
        <f t="shared" si="35"/>
        <v>#N/A</v>
      </c>
      <c r="I65" s="29" t="e">
        <f t="shared" si="36"/>
        <v>#N/A</v>
      </c>
      <c r="J65" s="30" t="e">
        <f t="shared" si="37"/>
        <v>#N/A</v>
      </c>
      <c r="K65" s="11" t="e">
        <f t="shared" si="38"/>
        <v>#N/A</v>
      </c>
      <c r="L65" s="31" t="e">
        <f t="shared" si="39"/>
        <v>#N/A</v>
      </c>
      <c r="M65" s="60" t="e">
        <f t="shared" si="48"/>
        <v>#N/A</v>
      </c>
      <c r="N65" s="51">
        <f t="shared" si="40"/>
        <v>4.5</v>
      </c>
      <c r="O65" s="32">
        <f t="shared" si="41"/>
        <v>236.84210526315789</v>
      </c>
      <c r="P65" s="77">
        <f t="shared" si="42"/>
        <v>1.9999999999999996</v>
      </c>
      <c r="Q65" s="33" t="e">
        <f t="shared" si="49"/>
        <v>#N/A</v>
      </c>
      <c r="R65" s="32">
        <f t="shared" si="43"/>
        <v>473.68421052631578</v>
      </c>
      <c r="S65" s="77">
        <f t="shared" si="44"/>
        <v>8</v>
      </c>
      <c r="T65" s="33" t="e">
        <f t="shared" si="50"/>
        <v>#N/A</v>
      </c>
      <c r="U65" s="32">
        <f t="shared" si="45"/>
        <v>236.84210526315789</v>
      </c>
      <c r="V65" s="77">
        <f t="shared" si="46"/>
        <v>0.99999999999999911</v>
      </c>
      <c r="W65" s="33" t="e">
        <f t="shared" si="51"/>
        <v>#N/A</v>
      </c>
      <c r="X65" s="551">
        <f t="shared" si="47"/>
        <v>11</v>
      </c>
      <c r="Y65" s="551"/>
      <c r="Z65" s="1" t="e">
        <f t="shared" si="52"/>
        <v>#N/A</v>
      </c>
      <c r="AB65" t="e">
        <f t="shared" si="53"/>
        <v>#N/A</v>
      </c>
    </row>
    <row r="66" spans="1:28" x14ac:dyDescent="0.45">
      <c r="A66" s="1">
        <v>1</v>
      </c>
      <c r="B66" s="1" t="s">
        <v>199</v>
      </c>
      <c r="C66" s="80" t="s">
        <v>151</v>
      </c>
      <c r="D66" s="80"/>
      <c r="E66" s="80"/>
      <c r="F66" s="80"/>
      <c r="G66" s="1">
        <f t="shared" si="34"/>
        <v>9</v>
      </c>
      <c r="H66" s="4">
        <f t="shared" si="35"/>
        <v>2400</v>
      </c>
      <c r="I66" s="29">
        <f t="shared" si="36"/>
        <v>7500</v>
      </c>
      <c r="J66" s="30">
        <f t="shared" si="37"/>
        <v>33750</v>
      </c>
      <c r="K66" s="11">
        <f t="shared" si="38"/>
        <v>7666</v>
      </c>
      <c r="L66" s="31">
        <f t="shared" si="39"/>
        <v>16865.2</v>
      </c>
      <c r="M66" s="60">
        <f t="shared" si="48"/>
        <v>120.06972938358275</v>
      </c>
      <c r="N66" s="51">
        <f t="shared" si="40"/>
        <v>4.5</v>
      </c>
      <c r="O66" s="32">
        <f t="shared" si="41"/>
        <v>236.84210526315789</v>
      </c>
      <c r="P66" s="77">
        <f t="shared" si="42"/>
        <v>1.9999999999999996</v>
      </c>
      <c r="Q66" s="33">
        <f t="shared" si="49"/>
        <v>6.3194594412411975</v>
      </c>
      <c r="R66" s="32">
        <f t="shared" si="43"/>
        <v>473.68421052631578</v>
      </c>
      <c r="S66" s="77">
        <f t="shared" si="44"/>
        <v>8</v>
      </c>
      <c r="T66" s="33">
        <f t="shared" si="50"/>
        <v>12.638918882482395</v>
      </c>
      <c r="U66" s="32">
        <f t="shared" si="45"/>
        <v>236.84210526315789</v>
      </c>
      <c r="V66" s="77">
        <f t="shared" si="46"/>
        <v>0.99999999999999911</v>
      </c>
      <c r="W66" s="33">
        <f t="shared" si="51"/>
        <v>6.3194594412411975</v>
      </c>
      <c r="X66" s="551">
        <f t="shared" si="47"/>
        <v>11</v>
      </c>
      <c r="Y66" s="551"/>
      <c r="Z66" s="1">
        <f t="shared" si="52"/>
        <v>1770</v>
      </c>
      <c r="AB66">
        <f t="shared" si="53"/>
        <v>1500</v>
      </c>
    </row>
    <row r="67" spans="1:28" x14ac:dyDescent="0.45">
      <c r="A67" s="1">
        <v>1</v>
      </c>
      <c r="B67" s="1" t="s">
        <v>200</v>
      </c>
      <c r="C67" s="80" t="s">
        <v>154</v>
      </c>
      <c r="D67" s="80"/>
      <c r="E67" s="80"/>
      <c r="F67" s="80"/>
      <c r="G67" s="1">
        <f t="shared" si="34"/>
        <v>9</v>
      </c>
      <c r="H67" s="4">
        <f t="shared" si="35"/>
        <v>3744</v>
      </c>
      <c r="I67" s="29">
        <f t="shared" si="36"/>
        <v>11700</v>
      </c>
      <c r="J67" s="30">
        <f t="shared" si="37"/>
        <v>52650</v>
      </c>
      <c r="K67" s="11">
        <f t="shared" si="38"/>
        <v>11890</v>
      </c>
      <c r="L67" s="31">
        <f t="shared" si="39"/>
        <v>26158.000000000004</v>
      </c>
      <c r="M67" s="60">
        <f t="shared" si="48"/>
        <v>120.766113617249</v>
      </c>
      <c r="N67" s="51">
        <f t="shared" si="40"/>
        <v>4.5</v>
      </c>
      <c r="O67" s="32">
        <f t="shared" si="41"/>
        <v>236.84210526315789</v>
      </c>
      <c r="P67" s="77">
        <f t="shared" si="42"/>
        <v>1.9999999999999996</v>
      </c>
      <c r="Q67" s="33">
        <f t="shared" si="49"/>
        <v>6.356111243013105</v>
      </c>
      <c r="R67" s="32">
        <f t="shared" si="43"/>
        <v>473.68421052631578</v>
      </c>
      <c r="S67" s="77">
        <f t="shared" si="44"/>
        <v>8</v>
      </c>
      <c r="T67" s="33">
        <f t="shared" si="50"/>
        <v>12.71222248602621</v>
      </c>
      <c r="U67" s="32">
        <f t="shared" si="45"/>
        <v>236.84210526315789</v>
      </c>
      <c r="V67" s="77">
        <f t="shared" si="46"/>
        <v>0.99999999999999911</v>
      </c>
      <c r="W67" s="33">
        <f t="shared" si="51"/>
        <v>6.356111243013105</v>
      </c>
      <c r="X67" s="551">
        <f t="shared" si="47"/>
        <v>11</v>
      </c>
      <c r="Y67" s="551"/>
      <c r="Z67" s="1">
        <f t="shared" si="52"/>
        <v>2610</v>
      </c>
      <c r="AB67">
        <f t="shared" si="53"/>
        <v>2340</v>
      </c>
    </row>
    <row r="68" spans="1:28" x14ac:dyDescent="0.45">
      <c r="A68" s="1">
        <v>3</v>
      </c>
      <c r="B68" s="1" t="s">
        <v>201</v>
      </c>
      <c r="C68" s="80" t="s">
        <v>169</v>
      </c>
      <c r="D68" s="80"/>
      <c r="E68" s="80"/>
      <c r="F68" s="80"/>
      <c r="G68" s="1">
        <f t="shared" si="34"/>
        <v>12</v>
      </c>
      <c r="H68" s="4">
        <f t="shared" si="35"/>
        <v>3456</v>
      </c>
      <c r="I68" s="29">
        <f t="shared" si="36"/>
        <v>10800</v>
      </c>
      <c r="J68" s="30">
        <f t="shared" si="37"/>
        <v>48600</v>
      </c>
      <c r="K68" s="11">
        <f t="shared" si="38"/>
        <v>10988</v>
      </c>
      <c r="L68" s="31">
        <f t="shared" si="39"/>
        <v>24173.600000000002</v>
      </c>
      <c r="M68" s="60">
        <f t="shared" si="48"/>
        <v>120.627461362809</v>
      </c>
      <c r="N68" s="51">
        <f t="shared" si="40"/>
        <v>4.5</v>
      </c>
      <c r="O68" s="32">
        <f t="shared" si="41"/>
        <v>236.84210526315789</v>
      </c>
      <c r="P68" s="77">
        <f t="shared" si="42"/>
        <v>1.9999999999999996</v>
      </c>
      <c r="Q68" s="33">
        <f t="shared" si="49"/>
        <v>6.3488137559373152</v>
      </c>
      <c r="R68" s="32">
        <f t="shared" si="43"/>
        <v>473.68421052631578</v>
      </c>
      <c r="S68" s="77">
        <f t="shared" si="44"/>
        <v>8</v>
      </c>
      <c r="T68" s="33">
        <f t="shared" si="50"/>
        <v>12.69762751187463</v>
      </c>
      <c r="U68" s="32">
        <f t="shared" si="45"/>
        <v>236.84210526315789</v>
      </c>
      <c r="V68" s="77">
        <f t="shared" si="46"/>
        <v>0.99999999999999911</v>
      </c>
      <c r="W68" s="33">
        <f t="shared" si="51"/>
        <v>6.3488137559373152</v>
      </c>
      <c r="X68" s="551">
        <f t="shared" si="47"/>
        <v>11</v>
      </c>
      <c r="Y68" s="551"/>
      <c r="Z68" s="1">
        <f t="shared" si="52"/>
        <v>2520</v>
      </c>
      <c r="AB68">
        <f t="shared" si="53"/>
        <v>2160</v>
      </c>
    </row>
    <row r="69" spans="1:28" x14ac:dyDescent="0.45">
      <c r="A69" s="1">
        <v>3</v>
      </c>
      <c r="B69" s="1" t="s">
        <v>202</v>
      </c>
      <c r="C69" s="80" t="s">
        <v>170</v>
      </c>
      <c r="D69" s="80"/>
      <c r="E69" s="80"/>
      <c r="F69" s="80"/>
      <c r="G69" s="1">
        <f t="shared" si="34"/>
        <v>12</v>
      </c>
      <c r="H69" s="4">
        <f t="shared" si="35"/>
        <v>3456</v>
      </c>
      <c r="I69" s="29">
        <f t="shared" si="36"/>
        <v>10800</v>
      </c>
      <c r="J69" s="30">
        <f t="shared" si="37"/>
        <v>48600</v>
      </c>
      <c r="K69" s="11">
        <f t="shared" si="38"/>
        <v>10988</v>
      </c>
      <c r="L69" s="31">
        <f t="shared" si="39"/>
        <v>24173.600000000002</v>
      </c>
      <c r="M69" s="60">
        <f t="shared" si="48"/>
        <v>120.627461362809</v>
      </c>
      <c r="N69" s="51">
        <f t="shared" si="40"/>
        <v>4.5</v>
      </c>
      <c r="O69" s="32">
        <f t="shared" si="41"/>
        <v>236.84210526315789</v>
      </c>
      <c r="P69" s="77">
        <f t="shared" si="42"/>
        <v>1.9999999999999996</v>
      </c>
      <c r="Q69" s="33">
        <f t="shared" si="49"/>
        <v>6.3488137559373152</v>
      </c>
      <c r="R69" s="32">
        <f t="shared" si="43"/>
        <v>473.68421052631578</v>
      </c>
      <c r="S69" s="77">
        <f t="shared" si="44"/>
        <v>8</v>
      </c>
      <c r="T69" s="33">
        <f t="shared" si="50"/>
        <v>12.69762751187463</v>
      </c>
      <c r="U69" s="32">
        <f t="shared" si="45"/>
        <v>236.84210526315789</v>
      </c>
      <c r="V69" s="77">
        <f t="shared" si="46"/>
        <v>0.99999999999999911</v>
      </c>
      <c r="W69" s="33">
        <f t="shared" si="51"/>
        <v>6.3488137559373152</v>
      </c>
      <c r="X69" s="551">
        <f t="shared" si="47"/>
        <v>11</v>
      </c>
      <c r="Y69" s="551"/>
      <c r="Z69" s="1">
        <f t="shared" si="52"/>
        <v>2520</v>
      </c>
      <c r="AB69">
        <f t="shared" si="53"/>
        <v>2160</v>
      </c>
    </row>
    <row r="70" spans="1:28" x14ac:dyDescent="0.45">
      <c r="A70" s="1"/>
      <c r="B70" s="1"/>
      <c r="C70" s="80"/>
      <c r="D70" s="80"/>
      <c r="E70" s="80"/>
      <c r="F70" s="80"/>
      <c r="G70" s="1">
        <f t="shared" si="34"/>
        <v>0</v>
      </c>
      <c r="H70" s="4">
        <f t="shared" si="35"/>
        <v>0</v>
      </c>
      <c r="I70" s="29">
        <f t="shared" si="36"/>
        <v>0</v>
      </c>
      <c r="J70" s="30">
        <f t="shared" si="37"/>
        <v>0</v>
      </c>
      <c r="K70" s="11">
        <f t="shared" si="38"/>
        <v>0</v>
      </c>
      <c r="L70" s="31">
        <f t="shared" si="39"/>
        <v>0</v>
      </c>
      <c r="M70" s="60" t="e">
        <f t="shared" si="48"/>
        <v>#DIV/0!</v>
      </c>
      <c r="N70" s="51">
        <f t="shared" si="40"/>
        <v>4.5</v>
      </c>
      <c r="O70" s="32">
        <f t="shared" si="41"/>
        <v>236.84210526315789</v>
      </c>
      <c r="P70" s="77">
        <f t="shared" si="42"/>
        <v>1.9999999999999996</v>
      </c>
      <c r="Q70" s="33" t="e">
        <f t="shared" si="49"/>
        <v>#DIV/0!</v>
      </c>
      <c r="R70" s="32">
        <f t="shared" si="43"/>
        <v>473.68421052631578</v>
      </c>
      <c r="S70" s="77">
        <f t="shared" si="44"/>
        <v>8</v>
      </c>
      <c r="T70" s="33" t="e">
        <f t="shared" si="50"/>
        <v>#DIV/0!</v>
      </c>
      <c r="U70" s="32">
        <f t="shared" si="45"/>
        <v>236.84210526315789</v>
      </c>
      <c r="V70" s="77">
        <f t="shared" si="46"/>
        <v>0.99999999999999911</v>
      </c>
      <c r="W70" s="33" t="e">
        <f t="shared" si="51"/>
        <v>#DIV/0!</v>
      </c>
      <c r="X70" s="551">
        <f t="shared" si="47"/>
        <v>11</v>
      </c>
      <c r="Y70" s="551"/>
      <c r="Z70" s="1">
        <f t="shared" si="52"/>
        <v>0</v>
      </c>
      <c r="AB70">
        <f t="shared" si="53"/>
        <v>0</v>
      </c>
    </row>
    <row r="71" spans="1:28" ht="14.65" thickBot="1" x14ac:dyDescent="0.5">
      <c r="A71" s="34"/>
      <c r="B71" s="34"/>
      <c r="C71" s="81"/>
      <c r="D71" s="81"/>
      <c r="E71" s="81"/>
      <c r="F71" s="81"/>
      <c r="G71" s="34">
        <f t="shared" si="34"/>
        <v>0</v>
      </c>
      <c r="H71" s="35">
        <f t="shared" si="35"/>
        <v>0</v>
      </c>
      <c r="I71" s="36">
        <f t="shared" si="36"/>
        <v>0</v>
      </c>
      <c r="J71" s="37">
        <f t="shared" si="37"/>
        <v>0</v>
      </c>
      <c r="K71" s="38">
        <f t="shared" si="38"/>
        <v>0</v>
      </c>
      <c r="L71" s="39">
        <f t="shared" si="39"/>
        <v>0</v>
      </c>
      <c r="M71" s="61" t="e">
        <f t="shared" si="48"/>
        <v>#DIV/0!</v>
      </c>
      <c r="N71" s="52">
        <f t="shared" si="40"/>
        <v>4.5</v>
      </c>
      <c r="O71" s="40">
        <f t="shared" si="41"/>
        <v>236.84210526315789</v>
      </c>
      <c r="P71" s="78">
        <f t="shared" si="42"/>
        <v>1.9999999999999996</v>
      </c>
      <c r="Q71" s="41" t="e">
        <f t="shared" si="49"/>
        <v>#DIV/0!</v>
      </c>
      <c r="R71" s="40">
        <f t="shared" si="43"/>
        <v>473.68421052631578</v>
      </c>
      <c r="S71" s="78">
        <f t="shared" si="44"/>
        <v>8</v>
      </c>
      <c r="T71" s="41" t="e">
        <f t="shared" si="50"/>
        <v>#DIV/0!</v>
      </c>
      <c r="U71" s="40">
        <f t="shared" si="45"/>
        <v>236.84210526315789</v>
      </c>
      <c r="V71" s="78">
        <f t="shared" si="46"/>
        <v>0.99999999999999911</v>
      </c>
      <c r="W71" s="41" t="e">
        <f t="shared" si="51"/>
        <v>#DIV/0!</v>
      </c>
      <c r="X71" s="552">
        <f t="shared" si="47"/>
        <v>11</v>
      </c>
      <c r="Y71" s="552"/>
      <c r="Z71" s="1">
        <f t="shared" si="52"/>
        <v>0</v>
      </c>
      <c r="AB71">
        <f t="shared" si="53"/>
        <v>0</v>
      </c>
    </row>
    <row r="72" spans="1:28" ht="14.65" thickTop="1" x14ac:dyDescent="0.45">
      <c r="C72" s="558" t="str">
        <f>"Total Zones- "&amp;COUNTA(C54:F71)</f>
        <v>Total Zones- 28</v>
      </c>
      <c r="D72" s="558"/>
      <c r="E72" s="558"/>
      <c r="F72" s="558"/>
      <c r="G72" s="42"/>
      <c r="H72" s="8" t="e">
        <f>SUM(H54:H71)</f>
        <v>#N/A</v>
      </c>
      <c r="I72" s="10" t="e">
        <f>SUM(I54:I71)</f>
        <v>#N/A</v>
      </c>
      <c r="J72" s="43" t="e">
        <f>SUM(J54:J71)</f>
        <v>#N/A</v>
      </c>
      <c r="K72" s="10" t="e">
        <f>SUM(K54:K71)</f>
        <v>#N/A</v>
      </c>
      <c r="Z72" s="1" t="e">
        <f>SUM(Z54:Z71)</f>
        <v>#N/A</v>
      </c>
    </row>
    <row r="73" spans="1:28" x14ac:dyDescent="0.45">
      <c r="C73" s="42"/>
      <c r="D73" s="42"/>
      <c r="E73" s="42"/>
      <c r="F73" s="42"/>
      <c r="G73" s="42"/>
      <c r="H73" s="8"/>
      <c r="I73" s="10"/>
      <c r="J73" s="43"/>
      <c r="K73" s="10"/>
    </row>
    <row r="74" spans="1:28" ht="14.65" thickBot="1" x14ac:dyDescent="0.5">
      <c r="C74" s="42"/>
      <c r="D74" s="42"/>
      <c r="E74" s="42"/>
      <c r="F74" s="42"/>
      <c r="G74" s="42"/>
      <c r="H74" s="8"/>
      <c r="I74" s="10"/>
      <c r="J74" s="43"/>
      <c r="K74" s="10"/>
    </row>
    <row r="75" spans="1:28" ht="21.4" thickBot="1" x14ac:dyDescent="0.7">
      <c r="A75" s="533" t="s">
        <v>203</v>
      </c>
      <c r="B75" s="534"/>
      <c r="C75" s="534"/>
      <c r="D75" s="534"/>
      <c r="E75" s="534"/>
      <c r="F75" s="534"/>
      <c r="G75" s="534"/>
      <c r="H75" s="534"/>
      <c r="I75" s="534"/>
      <c r="J75" s="534"/>
      <c r="K75" s="534"/>
      <c r="L75" s="534"/>
      <c r="M75" s="535"/>
      <c r="N75" s="82"/>
      <c r="O75" s="82"/>
      <c r="P75" s="82"/>
      <c r="Q75" s="82"/>
      <c r="R75" s="82"/>
      <c r="S75" s="82"/>
      <c r="T75" s="82"/>
      <c r="U75" s="82"/>
      <c r="V75" s="82"/>
      <c r="W75" s="82"/>
      <c r="X75" s="82"/>
      <c r="Y75" s="82"/>
      <c r="Z75" s="82"/>
    </row>
    <row r="76" spans="1:28" s="79" customFormat="1" ht="14.25" customHeight="1" x14ac:dyDescent="0.65">
      <c r="A76" s="559" t="s">
        <v>7</v>
      </c>
      <c r="B76" s="561" t="s">
        <v>178</v>
      </c>
      <c r="C76" s="561" t="s">
        <v>204</v>
      </c>
      <c r="D76" s="561" t="s">
        <v>205</v>
      </c>
      <c r="E76" s="561" t="s">
        <v>206</v>
      </c>
      <c r="F76" s="561"/>
      <c r="G76" s="561"/>
      <c r="H76" s="561" t="s">
        <v>207</v>
      </c>
      <c r="I76" s="561" t="s">
        <v>208</v>
      </c>
      <c r="J76" s="561" t="s">
        <v>209</v>
      </c>
      <c r="K76" s="553" t="s">
        <v>210</v>
      </c>
      <c r="L76" s="554"/>
      <c r="M76" s="555"/>
      <c r="N76" s="82"/>
      <c r="O76" s="82"/>
      <c r="P76" s="82"/>
      <c r="Q76" s="82"/>
      <c r="R76" s="82"/>
      <c r="S76" s="82"/>
      <c r="T76" s="82"/>
      <c r="U76" s="82"/>
      <c r="V76" s="82"/>
      <c r="W76" s="82"/>
      <c r="X76" s="82"/>
      <c r="Y76" s="82"/>
      <c r="Z76" s="82"/>
    </row>
    <row r="77" spans="1:28" s="79" customFormat="1" ht="14.25" customHeight="1" x14ac:dyDescent="0.65">
      <c r="A77" s="560"/>
      <c r="B77" s="562"/>
      <c r="C77" s="562"/>
      <c r="D77" s="562"/>
      <c r="E77" s="562"/>
      <c r="F77" s="562"/>
      <c r="G77" s="562"/>
      <c r="H77" s="562"/>
      <c r="I77" s="562"/>
      <c r="J77" s="562"/>
      <c r="K77" s="137" t="s">
        <v>211</v>
      </c>
      <c r="L77" s="137" t="s">
        <v>141</v>
      </c>
      <c r="M77" s="138" t="s">
        <v>142</v>
      </c>
      <c r="N77" s="386" t="s">
        <v>212</v>
      </c>
      <c r="O77" s="386" t="s">
        <v>213</v>
      </c>
      <c r="P77" s="386" t="s">
        <v>214</v>
      </c>
      <c r="Q77" s="386" t="s">
        <v>215</v>
      </c>
      <c r="R77" s="82"/>
      <c r="S77" s="82"/>
      <c r="T77" s="82"/>
      <c r="U77" s="82"/>
      <c r="V77" s="82"/>
      <c r="W77" s="82"/>
      <c r="X77" s="82"/>
      <c r="Y77" s="82"/>
      <c r="Z77" s="82"/>
    </row>
    <row r="78" spans="1:28" s="99" customFormat="1" ht="14.25" customHeight="1" x14ac:dyDescent="0.45">
      <c r="A78" s="132">
        <v>1</v>
      </c>
      <c r="B78" s="132">
        <v>1</v>
      </c>
      <c r="C78" s="132" cm="1">
        <f t="array" ref="C78">SUMPRODUCT(($A$54:$A$71=B78)*($C$54:$F$71&lt;&gt;""))</f>
        <v>6</v>
      </c>
      <c r="D78" s="132" cm="1">
        <f t="array" ref="D78">SUMPRODUCT(($A$54:$A$71=B78)*($B$54:$B$71&lt;&gt;""))</f>
        <v>4</v>
      </c>
      <c r="E78" s="556" t="str" cm="1">
        <f t="array" ref="E78">_xlfn.TEXTJOIN(",",TRUE,_xlfn._xlws.SORT(_xlfn._xlws.FILTER($C$54:$F$71,($A$54:$A$71=B78)),,1,TRUE))</f>
        <v>B1,B2,D1,D2,A1,C1</v>
      </c>
      <c r="F78" s="556"/>
      <c r="G78" s="556"/>
      <c r="H78" s="133">
        <f>SUMIF($A$54:$A$71,B78,$H$54:$H$71)</f>
        <v>20800</v>
      </c>
      <c r="I78" s="134">
        <f>_xlfn.MAXIFS($L$54:$L$71,$A$54:$A$71,$B78)</f>
        <v>51216.000000000007</v>
      </c>
      <c r="J78" s="134">
        <f>_xlfn.MINIFS($L$54:$L$71,$A$54:$A$71,$B78)</f>
        <v>16865.2</v>
      </c>
      <c r="K78" s="135">
        <f>SUMIF($A$54:$A$71,$B78,$Q$54:$Q$71)</f>
        <v>25.438178676152752</v>
      </c>
      <c r="L78" s="136">
        <f>SUMIF($A$54:$A$71,$B78,$T$54:$T$71)</f>
        <v>50.876357352305504</v>
      </c>
      <c r="M78" s="136">
        <f>SUMIF($A$54:$A$71,$B78,$W$54:$W$71)</f>
        <v>25.438178676152752</v>
      </c>
      <c r="N78" s="387">
        <f t="shared" ref="N78:N82" si="54">SUMIF($A$54:$A$71,B78,$K$54:$K$71)</f>
        <v>65916</v>
      </c>
      <c r="O78" s="387">
        <f>SUMIF($A$54:$A$71,B78,$Z$54:$Z$71)</f>
        <v>14540</v>
      </c>
      <c r="P78" s="387">
        <f>SUMIF($A$54:$A$71,B78,$G$54:$G$71)*5</f>
        <v>290</v>
      </c>
      <c r="Q78" s="387">
        <f>SUMIF($A$54:$A$71,B78,$AB$54:$AB$71)</f>
        <v>13000</v>
      </c>
      <c r="R78" s="98"/>
      <c r="S78" s="98"/>
      <c r="T78" s="98"/>
      <c r="U78" s="98"/>
      <c r="V78" s="98"/>
      <c r="W78" s="98"/>
      <c r="X78" s="98"/>
      <c r="Y78" s="98"/>
      <c r="Z78" s="98"/>
    </row>
    <row r="79" spans="1:28" s="99" customFormat="1" x14ac:dyDescent="0.45">
      <c r="A79" s="95">
        <v>2</v>
      </c>
      <c r="B79" s="95">
        <v>2</v>
      </c>
      <c r="C79" s="95" cm="1">
        <f t="array" ref="C79">SUMPRODUCT(($A$54:$A$71=B79)*($C$54:$F$71&lt;&gt;""))</f>
        <v>8</v>
      </c>
      <c r="D79" s="95" cm="1">
        <f t="array" ref="D79">SUMPRODUCT(($A$54:$A$71=B79)*($B$54:$B$71&lt;&gt;""))</f>
        <v>4</v>
      </c>
      <c r="E79" s="557" t="str" cm="1">
        <f t="array" ref="E79">_xlfn.TEXTJOIN(",",TRUE,_xlfn._xlws.SORT(_xlfn._xlws.FILTER($C$54:$F$71,($A$54:$A$71=B79)), ,1,TRUE))</f>
        <v>E1,E2,F1,F2,G1,G2,J1,J2</v>
      </c>
      <c r="F79" s="557"/>
      <c r="G79" s="557"/>
      <c r="H79" s="100">
        <f t="shared" ref="H79:H82" si="55">SUMIF($A$54:$A$71,B79,$H$54:$H$71)</f>
        <v>22144</v>
      </c>
      <c r="I79" s="96">
        <f>_xlfn.MAXIFS($L$54:$L$71,$A$54:$A$71,$B79)</f>
        <v>42776.800000000003</v>
      </c>
      <c r="J79" s="96">
        <f>_xlfn.MINIFS($L$54:$L$71,$A$54:$A$71,$B79)</f>
        <v>34425.600000000006</v>
      </c>
      <c r="K79" s="97">
        <f>SUMIF($A$54:$A$71,$B79,$Q$54:$Q$71)</f>
        <v>25.48217460216663</v>
      </c>
      <c r="L79" s="97">
        <f>SUMIF($A$54:$A$71,$B79,$T$54:$T$71)</f>
        <v>50.96434920433326</v>
      </c>
      <c r="M79" s="97">
        <f>SUMIF($A$54:$A$71,$B79,$W$54:$W$71)</f>
        <v>25.48217460216663</v>
      </c>
      <c r="N79" s="387">
        <f>SUMIF($A$54:$A$71,B79,$K$54:$K$71)</f>
        <v>70158</v>
      </c>
      <c r="O79" s="387">
        <f t="shared" ref="O79:O82" si="56">SUMIF($A$54:$A$71,B79,$Z$54:$Z$71)</f>
        <v>15990</v>
      </c>
      <c r="P79" s="387">
        <f>SUMIF($A$54:$A$71,B79,$G$54:$G$71)*5</f>
        <v>430</v>
      </c>
      <c r="Q79" s="387">
        <f t="shared" ref="Q79:Q82" si="57">SUMIF($A$54:$A$71,B79,$AB$54:$AB$71)</f>
        <v>13840</v>
      </c>
      <c r="R79" s="98"/>
      <c r="S79" s="98"/>
      <c r="T79" s="98"/>
      <c r="U79" s="98"/>
      <c r="V79" s="98"/>
      <c r="W79" s="98"/>
      <c r="X79" s="98"/>
      <c r="Y79" s="98"/>
      <c r="Z79" s="98"/>
    </row>
    <row r="80" spans="1:28" s="99" customFormat="1" x14ac:dyDescent="0.45">
      <c r="A80" s="95">
        <v>3</v>
      </c>
      <c r="B80" s="95">
        <v>3</v>
      </c>
      <c r="C80" s="95" cm="1">
        <f t="array" ref="C80">SUMPRODUCT(($A$54:$A$71=B80)*($C$54:$F$71&lt;&gt;""))</f>
        <v>6</v>
      </c>
      <c r="D80" s="95" cm="1">
        <f t="array" ref="D80">SUMPRODUCT(($A$54:$A$71=B80)*($B$54:$B$71&lt;&gt;""))</f>
        <v>4</v>
      </c>
      <c r="E80" s="557" t="str" cm="1">
        <f t="array" ref="E80">_xlfn.TEXTJOIN(",",TRUE,_xlfn._xlws.SORT(_xlfn._xlws.FILTER($C$54:$F$71,($A$54:$A$71=B80)), ,1,TRUE))</f>
        <v>H1,H2,I1,I2,K1,L1</v>
      </c>
      <c r="F80" s="557"/>
      <c r="G80" s="557"/>
      <c r="H80" s="100">
        <f t="shared" si="55"/>
        <v>24576</v>
      </c>
      <c r="I80" s="96">
        <f>_xlfn.MAXIFS($L$54:$L$71,$A$54:$A$71,$B80)</f>
        <v>61380.000000000007</v>
      </c>
      <c r="J80" s="96">
        <f>_xlfn.MINIFS($L$54:$L$71,$A$54:$A$71,$B80)</f>
        <v>24173.600000000002</v>
      </c>
      <c r="K80" s="97">
        <f>SUMIF($A$54:$A$71,$B80,$Q$54:$Q$71)</f>
        <v>25.477377473288424</v>
      </c>
      <c r="L80" s="97">
        <f>SUMIF($A$54:$A$71,$B80,$T$54:$T$71)</f>
        <v>50.954754946576848</v>
      </c>
      <c r="M80" s="97">
        <f>SUMIF($A$54:$A$71,$B80,$W$54:$W$71)</f>
        <v>25.477377473288424</v>
      </c>
      <c r="N80" s="387">
        <f t="shared" si="54"/>
        <v>77776</v>
      </c>
      <c r="O80" s="387">
        <f t="shared" si="56"/>
        <v>17280</v>
      </c>
      <c r="P80" s="387">
        <f t="shared" ref="P80:P82" si="58">SUMIF($A$54:$A$71,B80,$G$54:$G$71)*5</f>
        <v>360</v>
      </c>
      <c r="Q80" s="387">
        <f t="shared" si="57"/>
        <v>15360</v>
      </c>
      <c r="R80" s="98"/>
    </row>
    <row r="81" spans="1:18" s="99" customFormat="1" x14ac:dyDescent="0.45">
      <c r="A81" s="95">
        <v>4</v>
      </c>
      <c r="B81" s="95">
        <v>4</v>
      </c>
      <c r="C81" s="95" cm="1">
        <f t="array" ref="C81">SUMPRODUCT(($A$54:$A$71=B81)*($C$54:$F$71&lt;&gt;""))</f>
        <v>8</v>
      </c>
      <c r="D81" s="95" cm="1">
        <f t="array" ref="D81">SUMPRODUCT(($A$54:$A$71=B81)*($B$54:$B$71&lt;&gt;""))</f>
        <v>4</v>
      </c>
      <c r="E81" s="557" t="str" cm="1">
        <f t="array" ref="E81">_xlfn.TEXTJOIN(",",TRUE,_xlfn._xlws.SORT(_xlfn._xlws.FILTER($C$54:$F$71,($A$54:$A$71=B81)), ,1,TRUE))</f>
        <v>M1,M2,N1,N2,O1,O2,P1,P2</v>
      </c>
      <c r="F81" s="557"/>
      <c r="G81" s="557"/>
      <c r="H81" s="100" t="e">
        <f t="shared" si="55"/>
        <v>#N/A</v>
      </c>
      <c r="I81" s="96" t="e">
        <f>_xlfn.MAXIFS($L$54:$L$71,$A$54:$A$71,$B81)</f>
        <v>#N/A</v>
      </c>
      <c r="J81" s="96" t="e">
        <f>_xlfn.MINIFS($L$54:$L$71,$A$54:$A$71,$B81)</f>
        <v>#N/A</v>
      </c>
      <c r="K81" s="97" t="e">
        <f>SUMIF($A$54:$A$71,$B81,$Q$54:$Q$71)</f>
        <v>#N/A</v>
      </c>
      <c r="L81" s="97" t="e">
        <f>SUMIF($A$54:$A$71,$B81,$T$54:$T$71)</f>
        <v>#N/A</v>
      </c>
      <c r="M81" s="97" t="e">
        <f>SUMIF($A$54:$A$71,$B81,$W$54:$W$71)</f>
        <v>#N/A</v>
      </c>
      <c r="N81" s="387" t="e">
        <f t="shared" si="54"/>
        <v>#N/A</v>
      </c>
      <c r="O81" s="387" t="e">
        <f t="shared" si="56"/>
        <v>#N/A</v>
      </c>
      <c r="P81" s="387" t="e">
        <f t="shared" si="58"/>
        <v>#N/A</v>
      </c>
      <c r="Q81" s="387" t="e">
        <f t="shared" si="57"/>
        <v>#N/A</v>
      </c>
    </row>
    <row r="82" spans="1:18" s="99" customFormat="1" x14ac:dyDescent="0.45">
      <c r="A82" s="95">
        <v>5</v>
      </c>
      <c r="B82" s="95"/>
      <c r="C82" s="95" cm="1">
        <f t="array" ref="C82">SUMPRODUCT(($A$54:$A$71=B82)*($C$54:$F$71&lt;&gt;""))</f>
        <v>0</v>
      </c>
      <c r="D82" s="95" cm="1">
        <f t="array" ref="D82">SUMPRODUCT(($A$54:$A$71=B82)*($B$54:$B$71&lt;&gt;""))</f>
        <v>0</v>
      </c>
      <c r="E82" s="557" t="str" cm="1">
        <f t="array" ref="E82">_xlfn.TEXTJOIN(",",TRUE,_xlfn._xlws.SORT(_xlfn._xlws.FILTER($C$54:$F$71,($A$54:$A$71=B82)), ,1,TRUE))</f>
        <v/>
      </c>
      <c r="F82" s="557"/>
      <c r="G82" s="557"/>
      <c r="H82" s="100">
        <f t="shared" si="55"/>
        <v>0</v>
      </c>
      <c r="I82" s="96">
        <f>_xlfn.MAXIFS($L$54:$L$71,$A$54:$A$71,$B82)</f>
        <v>0</v>
      </c>
      <c r="J82" s="96">
        <f>_xlfn.MINIFS($L$54:$L$71,$A$54:$A$71,$B82)</f>
        <v>0</v>
      </c>
      <c r="K82" s="97">
        <f>SUMIF($A$54:$A$71,$B82,$Q$54:$Q$71)</f>
        <v>0</v>
      </c>
      <c r="L82" s="97">
        <f>SUMIF($A$54:$A$71,$B82,$T$54:$T$71)</f>
        <v>0</v>
      </c>
      <c r="M82" s="97">
        <f>SUMIF($A$54:$A$71,$B82,$W$54:$W$71)</f>
        <v>0</v>
      </c>
      <c r="N82" s="387">
        <f t="shared" si="54"/>
        <v>0</v>
      </c>
      <c r="O82" s="387">
        <f t="shared" si="56"/>
        <v>0</v>
      </c>
      <c r="P82" s="387">
        <f t="shared" si="58"/>
        <v>0</v>
      </c>
      <c r="Q82" s="387">
        <f t="shared" si="57"/>
        <v>0</v>
      </c>
    </row>
    <row r="83" spans="1:18" x14ac:dyDescent="0.45">
      <c r="O83" s="98"/>
      <c r="P83" s="387" t="e">
        <f>SUM(P78:P82)</f>
        <v>#N/A</v>
      </c>
      <c r="Q83" s="387" t="e">
        <f>SUM(Q78:Q82)</f>
        <v>#N/A</v>
      </c>
    </row>
    <row r="87" spans="1:18" x14ac:dyDescent="0.45">
      <c r="I87" s="199"/>
      <c r="J87" s="528" t="s">
        <v>216</v>
      </c>
      <c r="K87" s="528"/>
      <c r="L87" s="528"/>
      <c r="M87" s="528"/>
      <c r="N87" s="199"/>
      <c r="O87" s="528" t="s">
        <v>217</v>
      </c>
      <c r="P87" s="528"/>
      <c r="Q87" s="528"/>
      <c r="R87" s="528"/>
    </row>
    <row r="88" spans="1:18" ht="28.5" x14ac:dyDescent="0.45">
      <c r="A88" s="303" t="s">
        <v>112</v>
      </c>
      <c r="B88" s="303" t="s">
        <v>218</v>
      </c>
      <c r="C88" s="303" t="s">
        <v>85</v>
      </c>
      <c r="D88" s="303" t="s">
        <v>219</v>
      </c>
      <c r="E88" s="303" t="s">
        <v>220</v>
      </c>
      <c r="F88" s="303" t="s">
        <v>221</v>
      </c>
      <c r="G88" s="303" t="s">
        <v>222</v>
      </c>
      <c r="H88" s="303" t="s">
        <v>223</v>
      </c>
      <c r="J88" s="303" t="s">
        <v>224</v>
      </c>
      <c r="K88" s="303" t="s">
        <v>221</v>
      </c>
      <c r="L88" s="303" t="s">
        <v>222</v>
      </c>
      <c r="M88" s="303" t="s">
        <v>223</v>
      </c>
      <c r="N88" s="205"/>
      <c r="O88" s="303" t="s">
        <v>224</v>
      </c>
      <c r="P88" s="303" t="s">
        <v>221</v>
      </c>
      <c r="Q88" s="303" t="s">
        <v>222</v>
      </c>
      <c r="R88" s="303" t="s">
        <v>223</v>
      </c>
    </row>
    <row r="89" spans="1:18" x14ac:dyDescent="0.45">
      <c r="A89" s="479">
        <v>1</v>
      </c>
      <c r="B89" s="479" t="s">
        <v>199</v>
      </c>
      <c r="C89" s="479" t="str">
        <f>VLOOKUP(B89,$B$54:$C$69,2,FALSE)</f>
        <v>A1</v>
      </c>
      <c r="D89" s="202">
        <f>VLOOKUP(B89,$B$54:$L$71,11,FALSE)/1000</f>
        <v>16.865200000000002</v>
      </c>
      <c r="E89" s="479">
        <f t="shared" ref="E89:E104" si="59">VLOOKUP(VLOOKUP(B89,$B$54:$D$69,2,FALSE),$C$19:$E$46,3,FALSE)</f>
        <v>78</v>
      </c>
      <c r="F89" s="203">
        <v>90</v>
      </c>
      <c r="G89" s="200">
        <f>IF(F89=50,46.2,IF(F89=63,59.75,IF(F89=75,71.15,IF(F89=90,85.3,IF(F89=110,104.7,IF(F89=140,133,IF(F89=160,152,IF(F89=180,171,IF(F89=200,191,IF(F89=40,36.95,IF(F89=250,237.8,IF(F89=280,266.8,IF(F89=315,299.5,0)))))))))))))</f>
        <v>85.3</v>
      </c>
      <c r="H89" s="201">
        <f>1.131*10^9*(D89/150)^1.852*G89^-4.871*E89*0.4</f>
        <v>0.24223210681236407</v>
      </c>
      <c r="J89" s="479">
        <f t="shared" ref="J89:J104" si="60">VLOOKUP(VLOOKUP(B89,$B$54:$C$71,2,FALSE),C19:AM46,36,FALSE)</f>
        <v>540</v>
      </c>
      <c r="K89" s="203">
        <v>90</v>
      </c>
      <c r="L89" s="200">
        <f>IF(K89=50,46.2,IF(K89=63,59.75,IF(K89=75,71.15,IF(K89=90,85.3,IF(K89=110,104.7,IF(K89=140,133,IF(K89=160,152,IF(K89=180,171,IF(K89=200,191,IF(K89=40,36.95,IF(K89=250,237.8,IF(K89=280,266.8,IF(K89=315,299.5,0)))))))))))))</f>
        <v>85.3</v>
      </c>
      <c r="M89" s="201">
        <f>1.131*10^9*(D89/150)^1.852*L89^-4.871*J89*0.4</f>
        <v>1.6769915087009821</v>
      </c>
      <c r="N89" s="205"/>
      <c r="O89" s="204">
        <f t="shared" ref="O89:O104" si="61">VLOOKUP(VLOOKUP(B89,$B$54:$C$71,2,FALSE),C19:AM46,37,FALSE)</f>
        <v>580</v>
      </c>
      <c r="P89" s="203">
        <v>90</v>
      </c>
      <c r="Q89" s="200">
        <f>IF(P89=50,46.2,IF(P89=63,59.75,IF(P89=75,71.15,IF(P89=90,85.3,IF(P89=110,104.7,IF(P89=140,133,IF(P89=160,152,IF(P89=180,171,IF(P89=200,191,IF(P89=40,36.95,IF(P89=250,237.8,IF(P89=280,266.8,IF(P89=315,299.5,0)))))))))))))</f>
        <v>85.3</v>
      </c>
      <c r="R89" s="201">
        <f>1.131*10^9*(D89/150)^1.852*Q89^-4.871*O89*0.4</f>
        <v>1.8012131019380917</v>
      </c>
    </row>
    <row r="90" spans="1:18" x14ac:dyDescent="0.45">
      <c r="A90" s="479">
        <v>2</v>
      </c>
      <c r="B90" s="479" t="s">
        <v>186</v>
      </c>
      <c r="C90" s="479" t="str">
        <f t="shared" ref="C90:C104" si="62">VLOOKUP(B90,$B$54:$C$69,2,FALSE)</f>
        <v>B1</v>
      </c>
      <c r="D90" s="202">
        <f t="shared" ref="D90:D103" si="63">VLOOKUP(B90,$B$54:$L$71,11,FALSE)/1000</f>
        <v>50.77600000000001</v>
      </c>
      <c r="E90" s="479">
        <f t="shared" si="59"/>
        <v>86</v>
      </c>
      <c r="F90" s="203">
        <v>90</v>
      </c>
      <c r="G90" s="200">
        <f t="shared" ref="G90:G104" si="64">IF(F90=50,46.2,IF(F90=63,59.75,IF(F90=75,71.15,IF(F90=90,85.3,IF(F90=110,104.7,IF(F90=140,133,IF(F90=160,152,IF(F90=180,171,IF(F90=200,191,IF(F90=40,36.95,IF(F90=250,237.8,IF(F90=280,266.8,IF(F90=315,299.5,0)))))))))))))</f>
        <v>85.3</v>
      </c>
      <c r="H90" s="201">
        <f>1.131*10^9*(D90/150)^1.852*G90^-4.871*E90*0.4</f>
        <v>2.0564910307159123</v>
      </c>
      <c r="J90" s="479">
        <f t="shared" si="60"/>
        <v>445</v>
      </c>
      <c r="K90" s="203">
        <v>110</v>
      </c>
      <c r="L90" s="200">
        <f t="shared" ref="L90:L104" si="65">IF(K90=50,46.2,IF(K90=63,59.75,IF(K90=75,71.15,IF(K90=90,85.3,IF(K90=110,104.7,IF(K90=140,133,IF(K90=160,152,IF(K90=180,171,IF(K90=200,191,IF(K90=40,36.95,IF(K90=250,237.8,IF(K90=280,266.8,IF(K90=315,299.5,0)))))))))))))</f>
        <v>104.7</v>
      </c>
      <c r="M90" s="201">
        <f t="shared" ref="M90:M104" si="66">1.131*10^9*(D90/150)^1.852*L90^-4.871*J90*0.4</f>
        <v>3.9217582948525163</v>
      </c>
      <c r="N90" s="205"/>
      <c r="O90" s="204">
        <f t="shared" si="61"/>
        <v>495</v>
      </c>
      <c r="P90" s="203">
        <v>110</v>
      </c>
      <c r="Q90" s="200">
        <f t="shared" ref="Q90:Q104" si="67">IF(P90=50,46.2,IF(P90=63,59.75,IF(P90=75,71.15,IF(P90=90,85.3,IF(P90=110,104.7,IF(P90=140,133,IF(P90=160,152,IF(P90=180,171,IF(P90=200,191,IF(P90=40,36.95,IF(P90=250,237.8,IF(P90=280,266.8,IF(P90=315,299.5,0)))))))))))))</f>
        <v>104.7</v>
      </c>
      <c r="R90" s="201">
        <f t="shared" ref="R90:R104" si="68">1.131*10^9*(D90/150)^1.852*Q90^-4.871*O90*0.4</f>
        <v>4.3624052942741471</v>
      </c>
    </row>
    <row r="91" spans="1:18" x14ac:dyDescent="0.45">
      <c r="A91" s="479">
        <v>3</v>
      </c>
      <c r="B91" s="479" t="s">
        <v>200</v>
      </c>
      <c r="C91" s="479" t="str">
        <f t="shared" si="62"/>
        <v>C1</v>
      </c>
      <c r="D91" s="202">
        <f t="shared" si="63"/>
        <v>26.158000000000005</v>
      </c>
      <c r="E91" s="479">
        <f t="shared" si="59"/>
        <v>78</v>
      </c>
      <c r="F91" s="203">
        <v>90</v>
      </c>
      <c r="G91" s="200">
        <f t="shared" si="64"/>
        <v>85.3</v>
      </c>
      <c r="H91" s="201">
        <f t="shared" ref="H91:H104" si="69">1.131*10^9*(D91/150)^1.852*G91^-4.871*E91*0.4</f>
        <v>0.54606841329446343</v>
      </c>
      <c r="J91" s="479">
        <f t="shared" si="60"/>
        <v>300</v>
      </c>
      <c r="K91" s="203">
        <v>90</v>
      </c>
      <c r="L91" s="200">
        <f t="shared" si="65"/>
        <v>85.3</v>
      </c>
      <c r="M91" s="201">
        <f t="shared" si="66"/>
        <v>2.1002631280556288</v>
      </c>
      <c r="N91" s="205"/>
      <c r="O91" s="204">
        <f t="shared" si="61"/>
        <v>300</v>
      </c>
      <c r="P91" s="203">
        <v>90</v>
      </c>
      <c r="Q91" s="200">
        <f t="shared" si="67"/>
        <v>85.3</v>
      </c>
      <c r="R91" s="201">
        <f t="shared" si="68"/>
        <v>2.1002631280556288</v>
      </c>
    </row>
    <row r="92" spans="1:18" x14ac:dyDescent="0.45">
      <c r="A92" s="479">
        <v>4</v>
      </c>
      <c r="B92" s="479" t="s">
        <v>187</v>
      </c>
      <c r="C92" s="479" t="str">
        <f t="shared" si="62"/>
        <v>D1</v>
      </c>
      <c r="D92" s="202">
        <f t="shared" si="63"/>
        <v>51.216000000000008</v>
      </c>
      <c r="E92" s="479">
        <f t="shared" si="59"/>
        <v>86</v>
      </c>
      <c r="F92" s="203">
        <v>90</v>
      </c>
      <c r="G92" s="200">
        <f t="shared" si="64"/>
        <v>85.3</v>
      </c>
      <c r="H92" s="201">
        <f t="shared" si="69"/>
        <v>2.0896164635486598</v>
      </c>
      <c r="J92" s="479">
        <f t="shared" si="60"/>
        <v>350</v>
      </c>
      <c r="K92" s="203">
        <v>110</v>
      </c>
      <c r="L92" s="200">
        <f t="shared" si="65"/>
        <v>104.7</v>
      </c>
      <c r="M92" s="201">
        <f t="shared" si="66"/>
        <v>3.1342138020361201</v>
      </c>
      <c r="N92" s="205"/>
      <c r="O92" s="204">
        <f t="shared" si="61"/>
        <v>400</v>
      </c>
      <c r="P92" s="203">
        <v>110</v>
      </c>
      <c r="Q92" s="200">
        <f t="shared" si="67"/>
        <v>104.7</v>
      </c>
      <c r="R92" s="201">
        <f t="shared" si="68"/>
        <v>3.581958630898423</v>
      </c>
    </row>
    <row r="93" spans="1:18" x14ac:dyDescent="0.45">
      <c r="A93" s="479">
        <v>5</v>
      </c>
      <c r="B93" s="479" t="s">
        <v>188</v>
      </c>
      <c r="C93" s="479" t="str">
        <f t="shared" si="62"/>
        <v>E1</v>
      </c>
      <c r="D93" s="202">
        <f t="shared" si="63"/>
        <v>37.910400000000003</v>
      </c>
      <c r="E93" s="479">
        <f t="shared" si="59"/>
        <v>86</v>
      </c>
      <c r="F93" s="203">
        <v>90</v>
      </c>
      <c r="G93" s="200">
        <f t="shared" si="64"/>
        <v>85.3</v>
      </c>
      <c r="H93" s="201">
        <f t="shared" si="69"/>
        <v>1.1970376220152454</v>
      </c>
      <c r="J93" s="479">
        <f t="shared" si="60"/>
        <v>240</v>
      </c>
      <c r="K93" s="203">
        <v>90</v>
      </c>
      <c r="L93" s="200">
        <f t="shared" si="65"/>
        <v>85.3</v>
      </c>
      <c r="M93" s="201">
        <f t="shared" si="66"/>
        <v>3.3405701079495227</v>
      </c>
      <c r="N93" s="205"/>
      <c r="O93" s="204">
        <f t="shared" si="61"/>
        <v>280</v>
      </c>
      <c r="P93" s="203">
        <v>90</v>
      </c>
      <c r="Q93" s="200">
        <f t="shared" si="67"/>
        <v>85.3</v>
      </c>
      <c r="R93" s="201">
        <f t="shared" si="68"/>
        <v>3.8973317926077762</v>
      </c>
    </row>
    <row r="94" spans="1:18" x14ac:dyDescent="0.45">
      <c r="A94" s="479">
        <v>6</v>
      </c>
      <c r="B94" s="479" t="s">
        <v>3</v>
      </c>
      <c r="C94" s="479" t="str">
        <f t="shared" si="62"/>
        <v>F1</v>
      </c>
      <c r="D94" s="202">
        <f t="shared" si="63"/>
        <v>34.425600000000003</v>
      </c>
      <c r="E94" s="479">
        <f t="shared" si="59"/>
        <v>86</v>
      </c>
      <c r="F94" s="203">
        <v>90</v>
      </c>
      <c r="G94" s="200">
        <f t="shared" si="64"/>
        <v>85.3</v>
      </c>
      <c r="H94" s="201">
        <f t="shared" si="69"/>
        <v>1.0012715508839545</v>
      </c>
      <c r="J94" s="479">
        <f t="shared" si="60"/>
        <v>180</v>
      </c>
      <c r="K94" s="203">
        <v>90</v>
      </c>
      <c r="L94" s="200">
        <f t="shared" si="65"/>
        <v>85.3</v>
      </c>
      <c r="M94" s="201">
        <f t="shared" si="66"/>
        <v>2.0956846413850214</v>
      </c>
      <c r="N94" s="205"/>
      <c r="O94" s="204">
        <f t="shared" si="61"/>
        <v>210</v>
      </c>
      <c r="P94" s="203">
        <v>90</v>
      </c>
      <c r="Q94" s="200">
        <f t="shared" si="67"/>
        <v>85.3</v>
      </c>
      <c r="R94" s="201">
        <f t="shared" si="68"/>
        <v>2.4449654149491913</v>
      </c>
    </row>
    <row r="95" spans="1:18" x14ac:dyDescent="0.45">
      <c r="A95" s="479">
        <v>7</v>
      </c>
      <c r="B95" s="479" t="s">
        <v>189</v>
      </c>
      <c r="C95" s="479" t="str">
        <f t="shared" si="62"/>
        <v>G1</v>
      </c>
      <c r="D95" s="202">
        <f t="shared" si="63"/>
        <v>39.2348</v>
      </c>
      <c r="E95" s="479">
        <f t="shared" si="59"/>
        <v>94</v>
      </c>
      <c r="F95" s="203">
        <v>90</v>
      </c>
      <c r="G95" s="200">
        <f t="shared" si="64"/>
        <v>85.3</v>
      </c>
      <c r="H95" s="201">
        <f t="shared" si="69"/>
        <v>1.3942999761458861</v>
      </c>
      <c r="J95" s="479">
        <f t="shared" si="60"/>
        <v>200</v>
      </c>
      <c r="K95" s="203">
        <v>90</v>
      </c>
      <c r="L95" s="200">
        <f t="shared" si="65"/>
        <v>85.3</v>
      </c>
      <c r="M95" s="201">
        <f t="shared" si="66"/>
        <v>2.9665956939274167</v>
      </c>
      <c r="N95" s="205"/>
      <c r="O95" s="204">
        <f t="shared" si="61"/>
        <v>240</v>
      </c>
      <c r="P95" s="203">
        <v>90</v>
      </c>
      <c r="Q95" s="200">
        <f t="shared" si="67"/>
        <v>85.3</v>
      </c>
      <c r="R95" s="201">
        <f t="shared" si="68"/>
        <v>3.5599148327129004</v>
      </c>
    </row>
    <row r="96" spans="1:18" x14ac:dyDescent="0.45">
      <c r="A96" s="479">
        <v>8</v>
      </c>
      <c r="B96" s="479" t="s">
        <v>190</v>
      </c>
      <c r="C96" s="479" t="str">
        <f t="shared" si="62"/>
        <v>H1</v>
      </c>
      <c r="D96" s="202">
        <f t="shared" si="63"/>
        <v>61.38000000000001</v>
      </c>
      <c r="E96" s="479">
        <f t="shared" si="59"/>
        <v>102</v>
      </c>
      <c r="F96" s="203">
        <v>90</v>
      </c>
      <c r="G96" s="200">
        <f t="shared" si="64"/>
        <v>85.3</v>
      </c>
      <c r="H96" s="201">
        <f t="shared" si="69"/>
        <v>3.4655711117263581</v>
      </c>
      <c r="J96" s="479">
        <f t="shared" si="60"/>
        <v>180</v>
      </c>
      <c r="K96" s="203">
        <v>110</v>
      </c>
      <c r="L96" s="200">
        <f t="shared" si="65"/>
        <v>104.7</v>
      </c>
      <c r="M96" s="201">
        <f t="shared" si="66"/>
        <v>2.2539256840029358</v>
      </c>
      <c r="N96" s="205"/>
      <c r="O96" s="204">
        <f t="shared" si="61"/>
        <v>230</v>
      </c>
      <c r="P96" s="203">
        <v>110</v>
      </c>
      <c r="Q96" s="200">
        <f t="shared" si="67"/>
        <v>104.7</v>
      </c>
      <c r="R96" s="201">
        <f t="shared" si="68"/>
        <v>2.880016151781529</v>
      </c>
    </row>
    <row r="97" spans="1:18" x14ac:dyDescent="0.45">
      <c r="A97" s="479">
        <v>9</v>
      </c>
      <c r="B97" s="479" t="s">
        <v>191</v>
      </c>
      <c r="C97" s="479" t="str">
        <f t="shared" si="62"/>
        <v>I1</v>
      </c>
      <c r="D97" s="202">
        <f t="shared" si="63"/>
        <v>61.38000000000001</v>
      </c>
      <c r="E97" s="479">
        <f t="shared" si="59"/>
        <v>102</v>
      </c>
      <c r="F97" s="203">
        <v>90</v>
      </c>
      <c r="G97" s="200">
        <f t="shared" si="64"/>
        <v>85.3</v>
      </c>
      <c r="H97" s="201">
        <f t="shared" si="69"/>
        <v>3.4655711117263581</v>
      </c>
      <c r="J97" s="479">
        <f t="shared" si="60"/>
        <v>70</v>
      </c>
      <c r="K97" s="203">
        <v>110</v>
      </c>
      <c r="L97" s="200">
        <f t="shared" si="65"/>
        <v>104.7</v>
      </c>
      <c r="M97" s="201">
        <f t="shared" si="66"/>
        <v>0.87652665489003057</v>
      </c>
      <c r="N97" s="205"/>
      <c r="O97" s="204">
        <f t="shared" si="61"/>
        <v>120</v>
      </c>
      <c r="P97" s="203">
        <v>110</v>
      </c>
      <c r="Q97" s="200">
        <f t="shared" si="67"/>
        <v>104.7</v>
      </c>
      <c r="R97" s="201">
        <f t="shared" si="68"/>
        <v>1.5026171226686238</v>
      </c>
    </row>
    <row r="98" spans="1:18" x14ac:dyDescent="0.45">
      <c r="A98" s="479">
        <v>10</v>
      </c>
      <c r="B98" s="479" t="s">
        <v>192</v>
      </c>
      <c r="C98" s="479" t="str">
        <f t="shared" si="62"/>
        <v>J1</v>
      </c>
      <c r="D98" s="202">
        <f t="shared" si="63"/>
        <v>42.776800000000001</v>
      </c>
      <c r="E98" s="479">
        <f t="shared" si="59"/>
        <v>102</v>
      </c>
      <c r="F98" s="203">
        <v>90</v>
      </c>
      <c r="G98" s="200">
        <f t="shared" si="64"/>
        <v>85.3</v>
      </c>
      <c r="H98" s="201">
        <f t="shared" si="69"/>
        <v>1.7756067383268233</v>
      </c>
      <c r="J98" s="479">
        <f t="shared" si="60"/>
        <v>80</v>
      </c>
      <c r="K98" s="203">
        <v>90</v>
      </c>
      <c r="L98" s="200">
        <f t="shared" si="65"/>
        <v>85.3</v>
      </c>
      <c r="M98" s="201">
        <f t="shared" si="66"/>
        <v>1.3926327359426063</v>
      </c>
      <c r="N98" s="205"/>
      <c r="O98" s="204">
        <f t="shared" si="61"/>
        <v>120</v>
      </c>
      <c r="P98" s="203">
        <v>90</v>
      </c>
      <c r="Q98" s="200">
        <f t="shared" si="67"/>
        <v>85.3</v>
      </c>
      <c r="R98" s="201">
        <f t="shared" si="68"/>
        <v>2.0889491039139094</v>
      </c>
    </row>
    <row r="99" spans="1:18" x14ac:dyDescent="0.45">
      <c r="A99" s="479">
        <v>11</v>
      </c>
      <c r="B99" s="479" t="s">
        <v>201</v>
      </c>
      <c r="C99" s="479" t="str">
        <f t="shared" si="62"/>
        <v>K1</v>
      </c>
      <c r="D99" s="202">
        <f t="shared" si="63"/>
        <v>24.1736</v>
      </c>
      <c r="E99" s="479">
        <f t="shared" si="59"/>
        <v>102</v>
      </c>
      <c r="F99" s="203">
        <v>90</v>
      </c>
      <c r="G99" s="200">
        <f t="shared" si="64"/>
        <v>85.3</v>
      </c>
      <c r="H99" s="201">
        <f t="shared" si="69"/>
        <v>0.61701705917844496</v>
      </c>
      <c r="J99" s="479">
        <f t="shared" si="60"/>
        <v>90</v>
      </c>
      <c r="K99" s="203">
        <v>90</v>
      </c>
      <c r="L99" s="200">
        <f t="shared" si="65"/>
        <v>85.3</v>
      </c>
      <c r="M99" s="201">
        <f t="shared" si="66"/>
        <v>0.54442681692215733</v>
      </c>
      <c r="N99" s="205"/>
      <c r="O99" s="204">
        <f t="shared" si="61"/>
        <v>130</v>
      </c>
      <c r="P99" s="203">
        <v>90</v>
      </c>
      <c r="Q99" s="200">
        <f t="shared" si="67"/>
        <v>85.3</v>
      </c>
      <c r="R99" s="201">
        <f t="shared" si="68"/>
        <v>0.78639429110978276</v>
      </c>
    </row>
    <row r="100" spans="1:18" x14ac:dyDescent="0.45">
      <c r="A100" s="479">
        <v>12</v>
      </c>
      <c r="B100" s="479" t="s">
        <v>202</v>
      </c>
      <c r="C100" s="479" t="str">
        <f t="shared" si="62"/>
        <v>L1</v>
      </c>
      <c r="D100" s="202">
        <f t="shared" si="63"/>
        <v>24.1736</v>
      </c>
      <c r="E100" s="479">
        <f t="shared" si="59"/>
        <v>102</v>
      </c>
      <c r="F100" s="203">
        <v>90</v>
      </c>
      <c r="G100" s="200">
        <f t="shared" si="64"/>
        <v>85.3</v>
      </c>
      <c r="H100" s="201">
        <f t="shared" si="69"/>
        <v>0.61701705917844496</v>
      </c>
      <c r="J100" s="479">
        <f t="shared" si="60"/>
        <v>15</v>
      </c>
      <c r="K100" s="203">
        <v>90</v>
      </c>
      <c r="L100" s="200">
        <f t="shared" si="65"/>
        <v>85.3</v>
      </c>
      <c r="M100" s="201">
        <f t="shared" si="66"/>
        <v>9.073780282035955E-2</v>
      </c>
      <c r="N100" s="205"/>
      <c r="O100" s="204">
        <f t="shared" si="61"/>
        <v>90</v>
      </c>
      <c r="P100" s="203">
        <v>90</v>
      </c>
      <c r="Q100" s="200">
        <f t="shared" si="67"/>
        <v>85.3</v>
      </c>
      <c r="R100" s="201">
        <f t="shared" si="68"/>
        <v>0.54442681692215733</v>
      </c>
    </row>
    <row r="101" spans="1:18" x14ac:dyDescent="0.45">
      <c r="A101" s="479">
        <v>13</v>
      </c>
      <c r="B101" s="479" t="s">
        <v>193</v>
      </c>
      <c r="C101" s="479" t="str">
        <f t="shared" si="62"/>
        <v>M1</v>
      </c>
      <c r="D101" s="202">
        <f t="shared" si="63"/>
        <v>34.804000000000002</v>
      </c>
      <c r="E101" s="479">
        <f t="shared" si="59"/>
        <v>102</v>
      </c>
      <c r="F101" s="203">
        <v>90</v>
      </c>
      <c r="G101" s="200">
        <f t="shared" si="64"/>
        <v>85.3</v>
      </c>
      <c r="H101" s="201">
        <f t="shared" si="69"/>
        <v>1.2118426404596945</v>
      </c>
      <c r="J101" s="479">
        <f t="shared" si="60"/>
        <v>100</v>
      </c>
      <c r="K101" s="203">
        <v>90</v>
      </c>
      <c r="L101" s="200">
        <f t="shared" si="65"/>
        <v>85.3</v>
      </c>
      <c r="M101" s="201">
        <f t="shared" si="66"/>
        <v>1.1880810200585239</v>
      </c>
      <c r="N101" s="205"/>
      <c r="O101" s="204">
        <f t="shared" si="61"/>
        <v>130</v>
      </c>
      <c r="P101" s="203">
        <v>90</v>
      </c>
      <c r="Q101" s="200">
        <f t="shared" si="67"/>
        <v>85.3</v>
      </c>
      <c r="R101" s="201">
        <f t="shared" si="68"/>
        <v>1.544505326076081</v>
      </c>
    </row>
    <row r="102" spans="1:18" x14ac:dyDescent="0.45">
      <c r="A102" s="479">
        <v>14</v>
      </c>
      <c r="B102" s="479" t="s">
        <v>194</v>
      </c>
      <c r="C102" s="479" t="str">
        <f t="shared" si="62"/>
        <v>N1</v>
      </c>
      <c r="D102" s="202">
        <f t="shared" si="63"/>
        <v>45.434400000000004</v>
      </c>
      <c r="E102" s="479">
        <f t="shared" si="59"/>
        <v>102</v>
      </c>
      <c r="F102" s="203">
        <v>90</v>
      </c>
      <c r="G102" s="200">
        <f t="shared" si="64"/>
        <v>85.3</v>
      </c>
      <c r="H102" s="201">
        <f t="shared" si="69"/>
        <v>1.9852978389152367</v>
      </c>
      <c r="J102" s="479">
        <f t="shared" si="60"/>
        <v>200</v>
      </c>
      <c r="K102" s="203">
        <v>90</v>
      </c>
      <c r="L102" s="200">
        <f t="shared" si="65"/>
        <v>85.3</v>
      </c>
      <c r="M102" s="201">
        <f t="shared" si="66"/>
        <v>3.8927408606181113</v>
      </c>
      <c r="N102" s="205"/>
      <c r="O102" s="204">
        <f t="shared" si="61"/>
        <v>230</v>
      </c>
      <c r="P102" s="203">
        <v>90</v>
      </c>
      <c r="Q102" s="200">
        <f t="shared" si="67"/>
        <v>85.3</v>
      </c>
      <c r="R102" s="201">
        <f t="shared" si="68"/>
        <v>4.4766519897108275</v>
      </c>
    </row>
    <row r="103" spans="1:18" x14ac:dyDescent="0.45">
      <c r="A103" s="479">
        <v>15</v>
      </c>
      <c r="B103" s="479" t="s">
        <v>195</v>
      </c>
      <c r="C103" s="479" t="str">
        <f t="shared" si="62"/>
        <v>O1</v>
      </c>
      <c r="D103" s="202">
        <f t="shared" si="63"/>
        <v>23.311200000000003</v>
      </c>
      <c r="E103" s="479">
        <f t="shared" si="59"/>
        <v>70</v>
      </c>
      <c r="F103" s="203">
        <v>90</v>
      </c>
      <c r="G103" s="200">
        <f t="shared" si="64"/>
        <v>85.3</v>
      </c>
      <c r="H103" s="201">
        <f t="shared" si="69"/>
        <v>0.39589187552136496</v>
      </c>
      <c r="J103" s="479">
        <f t="shared" si="60"/>
        <v>360</v>
      </c>
      <c r="K103" s="203">
        <v>110</v>
      </c>
      <c r="L103" s="200">
        <f t="shared" si="65"/>
        <v>104.7</v>
      </c>
      <c r="M103" s="201">
        <f t="shared" si="66"/>
        <v>0.75036659950096618</v>
      </c>
      <c r="N103" s="205"/>
      <c r="O103" s="204">
        <f t="shared" si="61"/>
        <v>420</v>
      </c>
      <c r="P103" s="203">
        <v>110</v>
      </c>
      <c r="Q103" s="200">
        <f t="shared" si="67"/>
        <v>104.7</v>
      </c>
      <c r="R103" s="201">
        <f t="shared" si="68"/>
        <v>0.87542769941779397</v>
      </c>
    </row>
    <row r="104" spans="1:18" x14ac:dyDescent="0.45">
      <c r="A104" s="479">
        <v>16</v>
      </c>
      <c r="B104" s="479" t="s">
        <v>196</v>
      </c>
      <c r="C104" s="479" t="str">
        <f t="shared" si="62"/>
        <v>P1</v>
      </c>
      <c r="D104" s="202" t="e">
        <f>VLOOKUP(B104,$B$54:$L$71,11,FALSE)/1000</f>
        <v>#N/A</v>
      </c>
      <c r="E104" s="479" t="e">
        <f t="shared" si="59"/>
        <v>#N/A</v>
      </c>
      <c r="F104" s="203">
        <v>90</v>
      </c>
      <c r="G104" s="200">
        <f t="shared" si="64"/>
        <v>85.3</v>
      </c>
      <c r="H104" s="201" t="e">
        <f t="shared" si="69"/>
        <v>#N/A</v>
      </c>
      <c r="J104" s="479" t="e">
        <f t="shared" si="60"/>
        <v>#N/A</v>
      </c>
      <c r="K104" s="203">
        <v>110</v>
      </c>
      <c r="L104" s="200">
        <f t="shared" si="65"/>
        <v>104.7</v>
      </c>
      <c r="M104" s="201" t="e">
        <f t="shared" si="66"/>
        <v>#N/A</v>
      </c>
      <c r="N104" s="205"/>
      <c r="O104" s="204" t="e">
        <f t="shared" si="61"/>
        <v>#N/A</v>
      </c>
      <c r="P104" s="203">
        <v>110</v>
      </c>
      <c r="Q104" s="200">
        <f t="shared" si="67"/>
        <v>104.7</v>
      </c>
      <c r="R104" s="201" t="e">
        <f t="shared" si="68"/>
        <v>#N/A</v>
      </c>
    </row>
  </sheetData>
  <autoFilter ref="A18:BB48" xr:uid="{2AB44F61-0E9F-42B1-827B-4330E5A54CEE}">
    <filterColumn colId="34" showButton="0"/>
  </autoFilter>
  <mergeCells count="132">
    <mergeCell ref="K76:M76"/>
    <mergeCell ref="E78:G78"/>
    <mergeCell ref="E79:G79"/>
    <mergeCell ref="E80:G80"/>
    <mergeCell ref="E81:G81"/>
    <mergeCell ref="E82:G82"/>
    <mergeCell ref="C72:F72"/>
    <mergeCell ref="A75:M75"/>
    <mergeCell ref="A76:A77"/>
    <mergeCell ref="B76:B77"/>
    <mergeCell ref="C76:C77"/>
    <mergeCell ref="D76:D77"/>
    <mergeCell ref="E76:G77"/>
    <mergeCell ref="H76:H77"/>
    <mergeCell ref="I76:I77"/>
    <mergeCell ref="J76:J77"/>
    <mergeCell ref="X66:Y66"/>
    <mergeCell ref="X67:Y67"/>
    <mergeCell ref="X68:Y68"/>
    <mergeCell ref="X69:Y69"/>
    <mergeCell ref="X70:Y70"/>
    <mergeCell ref="X71:Y71"/>
    <mergeCell ref="X60:Y60"/>
    <mergeCell ref="X61:Y61"/>
    <mergeCell ref="X62:Y62"/>
    <mergeCell ref="X63:Y63"/>
    <mergeCell ref="X64:Y64"/>
    <mergeCell ref="X65:Y65"/>
    <mergeCell ref="X54:Y54"/>
    <mergeCell ref="X55:Y55"/>
    <mergeCell ref="X56:Y56"/>
    <mergeCell ref="X57:Y57"/>
    <mergeCell ref="X58:Y58"/>
    <mergeCell ref="X59:Y59"/>
    <mergeCell ref="N51:N53"/>
    <mergeCell ref="O51:Q51"/>
    <mergeCell ref="R51:T51"/>
    <mergeCell ref="U51:W51"/>
    <mergeCell ref="X51:X52"/>
    <mergeCell ref="Y51:Y52"/>
    <mergeCell ref="X53:Y53"/>
    <mergeCell ref="AI45:AJ45"/>
    <mergeCell ref="AI46:AJ46"/>
    <mergeCell ref="A50:Y50"/>
    <mergeCell ref="A51:A53"/>
    <mergeCell ref="B51:B53"/>
    <mergeCell ref="C51:C53"/>
    <mergeCell ref="D51:D53"/>
    <mergeCell ref="E51:E53"/>
    <mergeCell ref="F51:F53"/>
    <mergeCell ref="G51:G53"/>
    <mergeCell ref="H51:H53"/>
    <mergeCell ref="I51:I53"/>
    <mergeCell ref="J51:J53"/>
    <mergeCell ref="K51:K53"/>
    <mergeCell ref="L51:L53"/>
    <mergeCell ref="M51:M53"/>
    <mergeCell ref="AI39:AJ39"/>
    <mergeCell ref="AI40:AJ40"/>
    <mergeCell ref="AI41:AJ41"/>
    <mergeCell ref="AI42:AJ42"/>
    <mergeCell ref="AI43:AJ43"/>
    <mergeCell ref="AI44:AJ44"/>
    <mergeCell ref="AI33:AJ33"/>
    <mergeCell ref="AI34:AJ34"/>
    <mergeCell ref="AI35:AJ35"/>
    <mergeCell ref="AI36:AJ36"/>
    <mergeCell ref="AI37:AJ37"/>
    <mergeCell ref="AI38:AJ38"/>
    <mergeCell ref="AI28:AJ28"/>
    <mergeCell ref="AI29:AJ29"/>
    <mergeCell ref="AI30:AJ30"/>
    <mergeCell ref="AI31:AJ31"/>
    <mergeCell ref="AI32:AJ32"/>
    <mergeCell ref="AI21:AJ21"/>
    <mergeCell ref="AI22:AJ22"/>
    <mergeCell ref="AI23:AJ23"/>
    <mergeCell ref="AI24:AJ24"/>
    <mergeCell ref="AI25:AJ25"/>
    <mergeCell ref="AI26:AJ26"/>
    <mergeCell ref="AI19:AJ19"/>
    <mergeCell ref="AI20:AJ20"/>
    <mergeCell ref="V16:V18"/>
    <mergeCell ref="W16:W18"/>
    <mergeCell ref="X16:X18"/>
    <mergeCell ref="Y16:Y18"/>
    <mergeCell ref="Z16:AB16"/>
    <mergeCell ref="AC16:AE16"/>
    <mergeCell ref="AI27:AJ27"/>
    <mergeCell ref="A1:F1"/>
    <mergeCell ref="B2:E2"/>
    <mergeCell ref="B3:E3"/>
    <mergeCell ref="B4:E4"/>
    <mergeCell ref="B5:E5"/>
    <mergeCell ref="B6:E6"/>
    <mergeCell ref="A16:A18"/>
    <mergeCell ref="B16:B18"/>
    <mergeCell ref="C16:C18"/>
    <mergeCell ref="D16:D18"/>
    <mergeCell ref="E16:E18"/>
    <mergeCell ref="F16:F18"/>
    <mergeCell ref="B13:E13"/>
    <mergeCell ref="A15:AJ15"/>
    <mergeCell ref="O16:O18"/>
    <mergeCell ref="AF16:AH16"/>
    <mergeCell ref="AI16:AI17"/>
    <mergeCell ref="AJ16:AJ17"/>
    <mergeCell ref="AI18:AJ18"/>
    <mergeCell ref="AL16:AL18"/>
    <mergeCell ref="AM16:AM18"/>
    <mergeCell ref="J87:M87"/>
    <mergeCell ref="O87:R87"/>
    <mergeCell ref="B7:E7"/>
    <mergeCell ref="B8:E8"/>
    <mergeCell ref="B9:E9"/>
    <mergeCell ref="B10:E10"/>
    <mergeCell ref="B11:E11"/>
    <mergeCell ref="B12:E12"/>
    <mergeCell ref="G16:G18"/>
    <mergeCell ref="H16:H18"/>
    <mergeCell ref="I16:I18"/>
    <mergeCell ref="P16:P18"/>
    <mergeCell ref="Q16:Q18"/>
    <mergeCell ref="R16:R18"/>
    <mergeCell ref="S16:S18"/>
    <mergeCell ref="T16:T18"/>
    <mergeCell ref="U16:U18"/>
    <mergeCell ref="J16:J18"/>
    <mergeCell ref="K16:K18"/>
    <mergeCell ref="L16:L18"/>
    <mergeCell ref="M16:M18"/>
    <mergeCell ref="N16:N18"/>
  </mergeCells>
  <conditionalFormatting sqref="D89:D104">
    <cfRule type="dataBar" priority="12">
      <dataBar>
        <cfvo type="min"/>
        <cfvo type="max"/>
        <color theme="7" tint="0.59999389629810485"/>
      </dataBar>
      <extLst>
        <ext xmlns:x14="http://schemas.microsoft.com/office/spreadsheetml/2009/9/main" uri="{B025F937-C7B1-47D3-B67F-A62EFF666E3E}">
          <x14:id>{CE948724-9FD5-420C-90FA-EEE0CA0C3172}</x14:id>
        </ext>
      </extLst>
    </cfRule>
  </conditionalFormatting>
  <conditionalFormatting sqref="I78:J80">
    <cfRule type="dataBar" priority="18">
      <dataBar>
        <cfvo type="min"/>
        <cfvo type="max"/>
        <color theme="7" tint="0.59999389629810485"/>
      </dataBar>
      <extLst>
        <ext xmlns:x14="http://schemas.microsoft.com/office/spreadsheetml/2009/9/main" uri="{B025F937-C7B1-47D3-B67F-A62EFF666E3E}">
          <x14:id>{F8FC83A6-DD44-41C9-A2E0-C84CC4952BBC}</x14:id>
        </ext>
      </extLst>
    </cfRule>
  </conditionalFormatting>
  <conditionalFormatting sqref="I81:J81">
    <cfRule type="dataBar" priority="17">
      <dataBar>
        <cfvo type="min"/>
        <cfvo type="max"/>
        <color theme="7" tint="0.59999389629810485"/>
      </dataBar>
      <extLst>
        <ext xmlns:x14="http://schemas.microsoft.com/office/spreadsheetml/2009/9/main" uri="{B025F937-C7B1-47D3-B67F-A62EFF666E3E}">
          <x14:id>{FA86566A-1D35-46C5-847B-5164199EBB70}</x14:id>
        </ext>
      </extLst>
    </cfRule>
  </conditionalFormatting>
  <conditionalFormatting sqref="I82:J82">
    <cfRule type="dataBar" priority="13">
      <dataBar>
        <cfvo type="min"/>
        <cfvo type="max"/>
        <color theme="7" tint="0.59999389629810485"/>
      </dataBar>
      <extLst>
        <ext xmlns:x14="http://schemas.microsoft.com/office/spreadsheetml/2009/9/main" uri="{B025F937-C7B1-47D3-B67F-A62EFF666E3E}">
          <x14:id>{3066E6F5-DB19-4947-9F31-8A495BA8DEC7}</x14:id>
        </ext>
      </extLst>
    </cfRule>
  </conditionalFormatting>
  <conditionalFormatting sqref="K78:M82">
    <cfRule type="cellIs" dxfId="9" priority="14" operator="between">
      <formula>50</formula>
      <formula>60</formula>
    </cfRule>
    <cfRule type="cellIs" dxfId="8" priority="15" operator="lessThan">
      <formula>50</formula>
    </cfRule>
    <cfRule type="cellIs" dxfId="7" priority="16" operator="greaterThan">
      <formula>60</formula>
    </cfRule>
  </conditionalFormatting>
  <conditionalFormatting sqref="L54:L71">
    <cfRule type="dataBar" priority="19">
      <dataBar>
        <cfvo type="min"/>
        <cfvo type="max"/>
        <color theme="7" tint="0.59999389629810485"/>
      </dataBar>
      <extLst>
        <ext xmlns:x14="http://schemas.microsoft.com/office/spreadsheetml/2009/9/main" uri="{B025F937-C7B1-47D3-B67F-A62EFF666E3E}">
          <x14:id>{873FB7E1-07BC-4C01-91EA-FAF94F69371F}</x14:id>
        </ext>
      </extLst>
    </cfRule>
  </conditionalFormatting>
  <conditionalFormatting sqref="M89:M104">
    <cfRule type="dataBar" priority="8">
      <dataBar>
        <cfvo type="min"/>
        <cfvo type="max"/>
        <color rgb="FF638EC6"/>
      </dataBar>
      <extLst>
        <ext xmlns:x14="http://schemas.microsoft.com/office/spreadsheetml/2009/9/main" uri="{B025F937-C7B1-47D3-B67F-A62EFF666E3E}">
          <x14:id>{CC5418FD-24D3-409A-A0A7-B0F1FD2B1FE3}</x14:id>
        </ext>
      </extLst>
    </cfRule>
  </conditionalFormatting>
  <conditionalFormatting sqref="R89:R104">
    <cfRule type="dataBar" priority="9">
      <dataBar>
        <cfvo type="min"/>
        <cfvo type="max"/>
        <color rgb="FF638EC6"/>
      </dataBar>
      <extLst>
        <ext xmlns:x14="http://schemas.microsoft.com/office/spreadsheetml/2009/9/main" uri="{B025F937-C7B1-47D3-B67F-A62EFF666E3E}">
          <x14:id>{17356E1F-2B44-444A-B185-0A905052365D}</x14:id>
        </ext>
      </extLst>
    </cfRule>
  </conditionalFormatting>
  <conditionalFormatting sqref="X19:X46">
    <cfRule type="dataBar" priority="20">
      <dataBar>
        <cfvo type="min"/>
        <cfvo type="max"/>
        <color theme="7" tint="0.59999389629810485"/>
      </dataBar>
      <extLst>
        <ext xmlns:x14="http://schemas.microsoft.com/office/spreadsheetml/2009/9/main" uri="{B025F937-C7B1-47D3-B67F-A62EFF666E3E}">
          <x14:id>{C8F3C475-3307-42AE-8298-93DBB0E63B31}</x14:id>
        </ext>
      </extLst>
    </cfRule>
  </conditionalFormatting>
  <dataValidations disablePrompts="1" count="2">
    <dataValidation type="list" showErrorMessage="1" sqref="C54:F71" xr:uid="{5C51CF1D-3ACA-4261-83F1-D120B7B86141}">
      <formula1>$C$19:$C$46</formula1>
    </dataValidation>
    <dataValidation type="list" allowBlank="1" showInputMessage="1" showErrorMessage="1" sqref="K89:K104 F89:F104 P89:P104" xr:uid="{02A2BF91-939D-4028-BA22-29271E337547}">
      <formula1>$BB$2:$BB$13</formula1>
    </dataValidation>
  </dataValidations>
  <printOptions horizontalCentered="1"/>
  <pageMargins left="0.11811023622047245" right="0.11811023622047245" top="0.11811023622047245" bottom="0.11811023622047245" header="0.11811023622047245" footer="0.11811023622047245"/>
  <pageSetup paperSize="8" scale="50" orientation="landscape" horizontalDpi="300" verticalDpi="300" r:id="rId1"/>
  <headerFooter>
    <oddFooter>Page &amp;P of &amp;N</oddFooter>
  </headerFooter>
  <extLst>
    <ext xmlns:x14="http://schemas.microsoft.com/office/spreadsheetml/2009/9/main" uri="{78C0D931-6437-407d-A8EE-F0AAD7539E65}">
      <x14:conditionalFormattings>
        <x14:conditionalFormatting xmlns:xm="http://schemas.microsoft.com/office/excel/2006/main">
          <x14:cfRule type="dataBar" id="{CE948724-9FD5-420C-90FA-EEE0CA0C3172}">
            <x14:dataBar minLength="0" maxLength="100" border="1" negativeBarBorderColorSameAsPositive="0">
              <x14:cfvo type="autoMin"/>
              <x14:cfvo type="autoMax"/>
              <x14:borderColor rgb="FF92D050"/>
              <x14:negativeFillColor rgb="FFFF0000"/>
              <x14:negativeBorderColor rgb="FFFF0000"/>
              <x14:axisColor rgb="FF000000"/>
            </x14:dataBar>
          </x14:cfRule>
          <xm:sqref>D89:D104</xm:sqref>
        </x14:conditionalFormatting>
        <x14:conditionalFormatting xmlns:xm="http://schemas.microsoft.com/office/excel/2006/main">
          <x14:cfRule type="dataBar" id="{F8FC83A6-DD44-41C9-A2E0-C84CC4952BBC}">
            <x14:dataBar minLength="0" maxLength="100" border="1" negativeBarBorderColorSameAsPositive="0">
              <x14:cfvo type="autoMin"/>
              <x14:cfvo type="autoMax"/>
              <x14:borderColor rgb="FF92D050"/>
              <x14:negativeFillColor rgb="FFFF0000"/>
              <x14:negativeBorderColor rgb="FFFF0000"/>
              <x14:axisColor rgb="FF000000"/>
            </x14:dataBar>
          </x14:cfRule>
          <xm:sqref>I78:J80</xm:sqref>
        </x14:conditionalFormatting>
        <x14:conditionalFormatting xmlns:xm="http://schemas.microsoft.com/office/excel/2006/main">
          <x14:cfRule type="dataBar" id="{FA86566A-1D35-46C5-847B-5164199EBB70}">
            <x14:dataBar minLength="0" maxLength="100" border="1" negativeBarBorderColorSameAsPositive="0">
              <x14:cfvo type="autoMin"/>
              <x14:cfvo type="autoMax"/>
              <x14:borderColor rgb="FF92D050"/>
              <x14:negativeFillColor rgb="FFFF0000"/>
              <x14:negativeBorderColor rgb="FFFF0000"/>
              <x14:axisColor rgb="FF000000"/>
            </x14:dataBar>
          </x14:cfRule>
          <xm:sqref>I81:J81</xm:sqref>
        </x14:conditionalFormatting>
        <x14:conditionalFormatting xmlns:xm="http://schemas.microsoft.com/office/excel/2006/main">
          <x14:cfRule type="dataBar" id="{3066E6F5-DB19-4947-9F31-8A495BA8DEC7}">
            <x14:dataBar minLength="0" maxLength="100" border="1" negativeBarBorderColorSameAsPositive="0">
              <x14:cfvo type="autoMin"/>
              <x14:cfvo type="autoMax"/>
              <x14:borderColor rgb="FF92D050"/>
              <x14:negativeFillColor rgb="FFFF0000"/>
              <x14:negativeBorderColor rgb="FFFF0000"/>
              <x14:axisColor rgb="FF000000"/>
            </x14:dataBar>
          </x14:cfRule>
          <xm:sqref>I82:J82</xm:sqref>
        </x14:conditionalFormatting>
        <x14:conditionalFormatting xmlns:xm="http://schemas.microsoft.com/office/excel/2006/main">
          <x14:cfRule type="dataBar" id="{873FB7E1-07BC-4C01-91EA-FAF94F69371F}">
            <x14:dataBar minLength="0" maxLength="100" border="1" negativeBarBorderColorSameAsPositive="0">
              <x14:cfvo type="autoMin"/>
              <x14:cfvo type="autoMax"/>
              <x14:borderColor rgb="FF92D050"/>
              <x14:negativeFillColor rgb="FFFF0000"/>
              <x14:negativeBorderColor rgb="FFFF0000"/>
              <x14:axisColor rgb="FF000000"/>
            </x14:dataBar>
          </x14:cfRule>
          <xm:sqref>L54:L71</xm:sqref>
        </x14:conditionalFormatting>
        <x14:conditionalFormatting xmlns:xm="http://schemas.microsoft.com/office/excel/2006/main">
          <x14:cfRule type="dataBar" id="{CC5418FD-24D3-409A-A0A7-B0F1FD2B1FE3}">
            <x14:dataBar minLength="0" maxLength="100" border="1" negativeBarBorderColorSameAsPositive="0">
              <x14:cfvo type="autoMin"/>
              <x14:cfvo type="autoMax"/>
              <x14:borderColor rgb="FF638EC6"/>
              <x14:negativeFillColor rgb="FFFF0000"/>
              <x14:negativeBorderColor rgb="FFFF0000"/>
              <x14:axisColor rgb="FF000000"/>
            </x14:dataBar>
          </x14:cfRule>
          <xm:sqref>M89:M104</xm:sqref>
        </x14:conditionalFormatting>
        <x14:conditionalFormatting xmlns:xm="http://schemas.microsoft.com/office/excel/2006/main">
          <x14:cfRule type="dataBar" id="{17356E1F-2B44-444A-B185-0A905052365D}">
            <x14:dataBar minLength="0" maxLength="100" border="1" negativeBarBorderColorSameAsPositive="0">
              <x14:cfvo type="autoMin"/>
              <x14:cfvo type="autoMax"/>
              <x14:borderColor rgb="FF638EC6"/>
              <x14:negativeFillColor rgb="FFFF0000"/>
              <x14:negativeBorderColor rgb="FFFF0000"/>
              <x14:axisColor rgb="FF000000"/>
            </x14:dataBar>
          </x14:cfRule>
          <xm:sqref>R89:R104</xm:sqref>
        </x14:conditionalFormatting>
        <x14:conditionalFormatting xmlns:xm="http://schemas.microsoft.com/office/excel/2006/main">
          <x14:cfRule type="dataBar" id="{C8F3C475-3307-42AE-8298-93DBB0E63B31}">
            <x14:dataBar minLength="0" maxLength="100" border="1" negativeBarBorderColorSameAsPositive="0">
              <x14:cfvo type="autoMin"/>
              <x14:cfvo type="autoMax"/>
              <x14:borderColor rgb="FF92D050"/>
              <x14:negativeFillColor rgb="FFFF0000"/>
              <x14:negativeBorderColor rgb="FFFF0000"/>
              <x14:axisColor rgb="FF000000"/>
            </x14:dataBar>
          </x14:cfRule>
          <xm:sqref>X19:X46</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379EA-5591-423A-8B39-F1B92287E847}">
  <sheetPr>
    <tabColor theme="7" tint="0.39997558519241921"/>
    <pageSetUpPr fitToPage="1"/>
  </sheetPr>
  <dimension ref="A1:BH161"/>
  <sheetViews>
    <sheetView topLeftCell="B1" zoomScale="69" zoomScaleNormal="53" zoomScaleSheetLayoutView="46" workbookViewId="0">
      <selection activeCell="A52" sqref="A52:P92"/>
    </sheetView>
  </sheetViews>
  <sheetFormatPr defaultRowHeight="14.25" x14ac:dyDescent="0.45"/>
  <cols>
    <col min="1" max="1" width="8" customWidth="1"/>
    <col min="2" max="2" width="8.1328125" customWidth="1"/>
    <col min="3" max="3" width="13.86328125" customWidth="1"/>
    <col min="4" max="4" width="16.265625" customWidth="1"/>
    <col min="5" max="5" width="14.73046875" bestFit="1" customWidth="1"/>
    <col min="6" max="6" width="18.86328125" customWidth="1"/>
    <col min="7" max="7" width="15.3984375" customWidth="1"/>
    <col min="8" max="8" width="16.265625" bestFit="1" customWidth="1"/>
    <col min="9" max="9" width="17.265625" bestFit="1" customWidth="1"/>
    <col min="10" max="10" width="14.3984375" bestFit="1" customWidth="1"/>
    <col min="11" max="11" width="15.1328125" bestFit="1" customWidth="1"/>
    <col min="12" max="12" width="16.86328125" customWidth="1"/>
    <col min="13" max="13" width="17" customWidth="1"/>
    <col min="14" max="14" width="15.86328125" customWidth="1"/>
    <col min="15" max="15" width="17" customWidth="1"/>
    <col min="16" max="16" width="14.86328125" customWidth="1"/>
    <col min="17" max="17" width="19.1328125" customWidth="1"/>
    <col min="18" max="18" width="12.73046875" customWidth="1"/>
    <col min="19" max="19" width="19.59765625" bestFit="1" customWidth="1"/>
    <col min="20" max="20" width="12.265625" customWidth="1"/>
    <col min="21" max="21" width="11.86328125" customWidth="1"/>
    <col min="22" max="22" width="14.86328125" customWidth="1"/>
    <col min="23" max="23" width="12" customWidth="1"/>
    <col min="24" max="24" width="11.3984375" customWidth="1"/>
    <col min="25" max="25" width="14.265625" customWidth="1"/>
    <col min="26" max="26" width="12" customWidth="1"/>
    <col min="27" max="27" width="8.265625" customWidth="1"/>
    <col min="28" max="28" width="12.86328125" customWidth="1"/>
    <col min="29" max="29" width="13" customWidth="1"/>
    <col min="30" max="30" width="7.1328125" customWidth="1"/>
    <col min="31" max="31" width="13" customWidth="1"/>
    <col min="32" max="32" width="9.59765625" bestFit="1" customWidth="1"/>
    <col min="33" max="33" width="9" customWidth="1"/>
    <col min="34" max="34" width="18" bestFit="1" customWidth="1"/>
    <col min="35" max="35" width="10.3984375" customWidth="1"/>
    <col min="36" max="36" width="8.3984375" customWidth="1"/>
    <col min="37" max="37" width="6.3984375" customWidth="1"/>
    <col min="51" max="51" width="9.73046875" bestFit="1" customWidth="1"/>
  </cols>
  <sheetData>
    <row r="1" spans="1:25" ht="21.4" thickBot="1" x14ac:dyDescent="0.7">
      <c r="A1" s="533" t="s">
        <v>110</v>
      </c>
      <c r="B1" s="534"/>
      <c r="C1" s="534"/>
      <c r="D1" s="534"/>
      <c r="E1" s="534"/>
      <c r="F1" s="535"/>
    </row>
    <row r="2" spans="1:25" ht="14.65" thickBot="1" x14ac:dyDescent="0.5">
      <c r="A2" s="130" t="s">
        <v>112</v>
      </c>
      <c r="B2" s="536" t="s">
        <v>113</v>
      </c>
      <c r="C2" s="536"/>
      <c r="D2" s="536"/>
      <c r="E2" s="536"/>
      <c r="F2" s="131" t="s">
        <v>114</v>
      </c>
    </row>
    <row r="3" spans="1:25" x14ac:dyDescent="0.45">
      <c r="A3" s="478">
        <v>1</v>
      </c>
      <c r="B3" s="537" t="s">
        <v>225</v>
      </c>
      <c r="C3" s="537"/>
      <c r="D3" s="537"/>
      <c r="E3" s="537"/>
      <c r="F3" s="207">
        <v>2</v>
      </c>
    </row>
    <row r="4" spans="1:25" x14ac:dyDescent="0.45">
      <c r="A4" s="479">
        <v>2</v>
      </c>
      <c r="B4" s="529" t="s">
        <v>116</v>
      </c>
      <c r="C4" s="529"/>
      <c r="D4" s="529"/>
      <c r="E4" s="529"/>
      <c r="F4" s="208">
        <v>4.5</v>
      </c>
    </row>
    <row r="5" spans="1:25" x14ac:dyDescent="0.45">
      <c r="A5" s="479">
        <v>3</v>
      </c>
      <c r="B5" s="529" t="s">
        <v>226</v>
      </c>
      <c r="C5" s="529"/>
      <c r="D5" s="529"/>
      <c r="E5" s="529"/>
      <c r="F5" s="209">
        <v>4.8499999999999996</v>
      </c>
    </row>
    <row r="6" spans="1:25" x14ac:dyDescent="0.45">
      <c r="A6" s="479">
        <v>4</v>
      </c>
      <c r="B6" s="529" t="s">
        <v>227</v>
      </c>
      <c r="C6" s="529"/>
      <c r="D6" s="529"/>
      <c r="E6" s="529"/>
      <c r="F6" s="210">
        <v>1</v>
      </c>
    </row>
    <row r="7" spans="1:25" x14ac:dyDescent="0.45">
      <c r="A7" s="479">
        <v>5</v>
      </c>
      <c r="B7" s="529" t="s">
        <v>228</v>
      </c>
      <c r="C7" s="529"/>
      <c r="D7" s="529"/>
      <c r="E7" s="529"/>
      <c r="F7" s="210">
        <v>0</v>
      </c>
    </row>
    <row r="8" spans="1:25" x14ac:dyDescent="0.45">
      <c r="A8" s="479">
        <v>6</v>
      </c>
      <c r="B8" s="529" t="s">
        <v>229</v>
      </c>
      <c r="C8" s="529"/>
      <c r="D8" s="529"/>
      <c r="E8" s="529"/>
      <c r="F8" s="283">
        <v>20</v>
      </c>
      <c r="I8">
        <f>2000/3600*F8*L90</f>
        <v>235.29411764705881</v>
      </c>
      <c r="J8">
        <f>I8*2.5</f>
        <v>588.23529411764707</v>
      </c>
    </row>
    <row r="9" spans="1:25" x14ac:dyDescent="0.45">
      <c r="A9" s="479">
        <v>7</v>
      </c>
      <c r="B9" s="529" t="s">
        <v>230</v>
      </c>
      <c r="C9" s="529"/>
      <c r="D9" s="529"/>
      <c r="E9" s="529"/>
      <c r="F9" s="283">
        <v>150</v>
      </c>
    </row>
    <row r="10" spans="1:25" x14ac:dyDescent="0.45">
      <c r="A10" s="479">
        <v>8</v>
      </c>
      <c r="B10" s="529" t="s">
        <v>231</v>
      </c>
      <c r="C10" s="529"/>
      <c r="D10" s="529"/>
      <c r="E10" s="529"/>
      <c r="F10" s="291">
        <f>F9+F8</f>
        <v>170</v>
      </c>
    </row>
    <row r="11" spans="1:25" x14ac:dyDescent="0.45">
      <c r="A11" s="479"/>
      <c r="B11" s="529"/>
      <c r="C11" s="529"/>
      <c r="D11" s="529"/>
      <c r="E11" s="529"/>
      <c r="F11" s="210"/>
    </row>
    <row r="12" spans="1:25" x14ac:dyDescent="0.45">
      <c r="A12" s="479">
        <v>10</v>
      </c>
      <c r="B12" s="529" t="s">
        <v>121</v>
      </c>
      <c r="C12" s="529"/>
      <c r="D12" s="529"/>
      <c r="E12" s="529"/>
      <c r="F12" s="211">
        <v>0.29166666666666669</v>
      </c>
    </row>
    <row r="13" spans="1:25" x14ac:dyDescent="0.45">
      <c r="A13" s="479">
        <v>11</v>
      </c>
      <c r="B13" s="529" t="s">
        <v>122</v>
      </c>
      <c r="C13" s="529"/>
      <c r="D13" s="529"/>
      <c r="E13" s="529"/>
      <c r="F13" s="211">
        <v>0.375</v>
      </c>
    </row>
    <row r="14" spans="1:25" x14ac:dyDescent="0.45">
      <c r="A14" s="479">
        <v>12</v>
      </c>
      <c r="B14" s="529" t="s">
        <v>123</v>
      </c>
      <c r="C14" s="529"/>
      <c r="D14" s="529"/>
      <c r="E14" s="529"/>
      <c r="F14" s="211">
        <v>0.70833333333333337</v>
      </c>
      <c r="Y14">
        <f>Z21/J21</f>
        <v>0.68845105609811486</v>
      </c>
    </row>
    <row r="15" spans="1:25" x14ac:dyDescent="0.45">
      <c r="A15" s="479">
        <v>13</v>
      </c>
      <c r="B15" s="529" t="s">
        <v>124</v>
      </c>
      <c r="C15" s="529"/>
      <c r="D15" s="529"/>
      <c r="E15" s="529"/>
      <c r="F15" s="211">
        <v>0.75</v>
      </c>
    </row>
    <row r="16" spans="1:25" x14ac:dyDescent="0.45">
      <c r="A16" s="479">
        <v>14</v>
      </c>
      <c r="B16" s="529" t="s">
        <v>125</v>
      </c>
      <c r="C16" s="529"/>
      <c r="D16" s="529"/>
      <c r="E16" s="529"/>
      <c r="F16" s="212">
        <v>3</v>
      </c>
    </row>
    <row r="17" spans="1:60" ht="14.65" thickBot="1" x14ac:dyDescent="0.5"/>
    <row r="18" spans="1:60" ht="21" x14ac:dyDescent="0.65">
      <c r="A18" s="568" t="str">
        <f>"Mangal-"&amp;ROUND(J49/4047,2)&amp;" Acres Metadata"</f>
        <v>Mangal-24.86 Acres Metadata</v>
      </c>
      <c r="B18" s="569"/>
      <c r="C18" s="569"/>
      <c r="D18" s="569"/>
      <c r="E18" s="569"/>
      <c r="F18" s="569"/>
      <c r="G18" s="569"/>
      <c r="H18" s="569"/>
      <c r="I18" s="569"/>
      <c r="J18" s="569"/>
      <c r="K18" s="569"/>
      <c r="L18" s="569"/>
      <c r="M18" s="569"/>
      <c r="N18" s="569"/>
      <c r="O18" s="569"/>
      <c r="P18" s="569"/>
      <c r="Q18" s="569"/>
      <c r="R18" s="569"/>
      <c r="S18" s="569"/>
      <c r="T18" s="569"/>
      <c r="U18" s="569"/>
      <c r="V18" s="569"/>
      <c r="W18" s="569"/>
      <c r="X18" s="569"/>
      <c r="Y18" s="569"/>
      <c r="Z18" s="569"/>
    </row>
    <row r="19" spans="1:60" x14ac:dyDescent="0.45">
      <c r="A19" s="565" t="s">
        <v>84</v>
      </c>
      <c r="B19" s="565" t="s">
        <v>85</v>
      </c>
      <c r="C19" s="565" t="s">
        <v>126</v>
      </c>
      <c r="D19" s="565" t="s">
        <v>86</v>
      </c>
      <c r="E19" s="565" t="s">
        <v>88</v>
      </c>
      <c r="F19" s="565" t="s">
        <v>89</v>
      </c>
      <c r="G19" s="565" t="s">
        <v>90</v>
      </c>
      <c r="H19" s="565" t="s">
        <v>91</v>
      </c>
      <c r="I19" s="565" t="s">
        <v>92</v>
      </c>
      <c r="J19" s="565" t="s">
        <v>93</v>
      </c>
      <c r="K19" s="565" t="s">
        <v>94</v>
      </c>
      <c r="L19" s="565" t="s">
        <v>232</v>
      </c>
      <c r="M19" s="565" t="s">
        <v>225</v>
      </c>
      <c r="N19" s="565" t="s">
        <v>129</v>
      </c>
      <c r="O19" s="565" t="s">
        <v>130</v>
      </c>
      <c r="P19" s="565" t="s">
        <v>131</v>
      </c>
      <c r="Q19" s="565" t="s">
        <v>132</v>
      </c>
      <c r="R19" s="565" t="s">
        <v>233</v>
      </c>
      <c r="S19" s="565" t="s">
        <v>234</v>
      </c>
      <c r="T19" s="565" t="s">
        <v>235</v>
      </c>
      <c r="U19" s="565" t="s">
        <v>236</v>
      </c>
      <c r="V19" s="565" t="s">
        <v>237</v>
      </c>
      <c r="W19" s="565" t="s">
        <v>148</v>
      </c>
      <c r="X19" s="565" t="s">
        <v>238</v>
      </c>
      <c r="Y19" s="565" t="s">
        <v>239</v>
      </c>
      <c r="Z19" s="565"/>
      <c r="AA19" s="565" t="s">
        <v>240</v>
      </c>
      <c r="AB19" s="565"/>
      <c r="AC19" s="565"/>
      <c r="AE19" s="566" t="s">
        <v>241</v>
      </c>
      <c r="AF19" s="566"/>
      <c r="AG19" s="566"/>
      <c r="AH19" s="566"/>
      <c r="AI19" s="566"/>
      <c r="AJ19" s="566"/>
    </row>
    <row r="20" spans="1:60" ht="42.75" x14ac:dyDescent="0.45">
      <c r="A20" s="565"/>
      <c r="B20" s="565"/>
      <c r="C20" s="565"/>
      <c r="D20" s="565"/>
      <c r="E20" s="565"/>
      <c r="F20" s="565"/>
      <c r="G20" s="565"/>
      <c r="H20" s="565"/>
      <c r="I20" s="565"/>
      <c r="J20" s="565"/>
      <c r="K20" s="565"/>
      <c r="L20" s="565"/>
      <c r="M20" s="565"/>
      <c r="N20" s="565"/>
      <c r="O20" s="565"/>
      <c r="P20" s="565"/>
      <c r="Q20" s="565"/>
      <c r="R20" s="565"/>
      <c r="S20" s="565"/>
      <c r="T20" s="565"/>
      <c r="U20" s="565"/>
      <c r="V20" s="565"/>
      <c r="W20" s="565"/>
      <c r="X20" s="565"/>
      <c r="Y20" s="481" t="s">
        <v>242</v>
      </c>
      <c r="Z20" s="481" t="s">
        <v>243</v>
      </c>
      <c r="AA20" s="481" t="s">
        <v>244</v>
      </c>
      <c r="AB20" s="481" t="s">
        <v>245</v>
      </c>
      <c r="AC20" s="481" t="s">
        <v>246</v>
      </c>
      <c r="AE20" s="481" t="s">
        <v>247</v>
      </c>
      <c r="AF20" s="481" t="s">
        <v>248</v>
      </c>
      <c r="AG20" s="481" t="s">
        <v>249</v>
      </c>
      <c r="AH20" s="481" t="s">
        <v>250</v>
      </c>
      <c r="AI20" s="481" t="s">
        <v>213</v>
      </c>
      <c r="AJ20" s="481" t="s">
        <v>251</v>
      </c>
      <c r="AP20" s="197" t="s">
        <v>252</v>
      </c>
      <c r="AS20" s="349" t="s">
        <v>2</v>
      </c>
      <c r="AT20" s="349" t="s">
        <v>253</v>
      </c>
      <c r="AU20" s="349" t="s">
        <v>254</v>
      </c>
      <c r="AV20" s="350" t="s">
        <v>255</v>
      </c>
      <c r="AW20" s="349" t="s">
        <v>256</v>
      </c>
      <c r="AX20" s="349" t="s">
        <v>251</v>
      </c>
      <c r="AY20" s="349" t="s">
        <v>257</v>
      </c>
      <c r="AZ20" s="349" t="s">
        <v>258</v>
      </c>
      <c r="BA20" s="349" t="s">
        <v>259</v>
      </c>
      <c r="BD20" s="349" t="s">
        <v>260</v>
      </c>
      <c r="BG20" s="469"/>
      <c r="BH20" s="197"/>
    </row>
    <row r="21" spans="1:60" x14ac:dyDescent="0.45">
      <c r="A21" s="1">
        <v>1</v>
      </c>
      <c r="B21" s="1" t="s">
        <v>12</v>
      </c>
      <c r="C21" s="1" t="s">
        <v>151</v>
      </c>
      <c r="D21" s="1">
        <f>SUM(F21:G21)</f>
        <v>9</v>
      </c>
      <c r="E21" s="1">
        <f>D21*8+$F$16*2</f>
        <v>78</v>
      </c>
      <c r="F21" s="80">
        <v>6</v>
      </c>
      <c r="G21" s="80">
        <v>3</v>
      </c>
      <c r="H21" s="80">
        <v>46</v>
      </c>
      <c r="I21" s="80">
        <v>26</v>
      </c>
      <c r="J21" s="127">
        <f>8*(F21*H21+G21*I21)+($F$16*2)*H21</f>
        <v>3108</v>
      </c>
      <c r="K21" s="127">
        <f>IF(COUNTIFS($B$21:$B$48,B21)&lt;2,((H21-$F$16*2)*F21+(I21-$F$16*2)*G21)*8,((H21-2-$F$16)*F21+(I21-$F$16-2)*G21)*8)</f>
        <v>2400</v>
      </c>
      <c r="L21" s="11">
        <f t="shared" ref="L21:L46" si="0">IF(COUNTIFS($B$21:$B$48,B21)&lt;2,(H21-2*$F$16)*5*F21+(I21-2*$F$16)*5*G21,(H21-2-$F$16)*5*F21+(I21-2-$F$16)*5*G21)*2.5</f>
        <v>3750</v>
      </c>
      <c r="M21" s="49">
        <f>$F$3</f>
        <v>2</v>
      </c>
      <c r="N21" s="29">
        <f t="shared" ref="N21" si="1">L21*M21</f>
        <v>7500</v>
      </c>
      <c r="O21" s="55">
        <f t="shared" ref="O21" si="2">N21/K21</f>
        <v>3.125</v>
      </c>
      <c r="P21" s="51">
        <f t="shared" ref="P21:P46" si="3">$F$4</f>
        <v>4.5</v>
      </c>
      <c r="Q21" s="30">
        <f>P21*N21</f>
        <v>33750</v>
      </c>
      <c r="R21" s="53">
        <f t="shared" ref="R21:R46" si="4">$F$5</f>
        <v>4.8499999999999996</v>
      </c>
      <c r="S21" s="49">
        <f t="shared" ref="S21:S46" si="5">$F$6</f>
        <v>1</v>
      </c>
      <c r="T21" s="49">
        <f t="shared" ref="T21:T46" si="6">$F$7</f>
        <v>0</v>
      </c>
      <c r="U21" s="11">
        <f>S21*L21</f>
        <v>3750</v>
      </c>
      <c r="V21" s="31">
        <f>U21*R21</f>
        <v>18187.5</v>
      </c>
      <c r="W21" s="284">
        <f>$F$8</f>
        <v>20</v>
      </c>
      <c r="X21" s="126">
        <f>60*60/(SUM($F$8:$F$9))</f>
        <v>21.176470588235293</v>
      </c>
      <c r="Y21" s="285">
        <f>V21*W21/3600</f>
        <v>101.04166666666667</v>
      </c>
      <c r="Z21" s="285">
        <f>Y21*X21</f>
        <v>2139.705882352941</v>
      </c>
      <c r="AA21" s="344">
        <v>50</v>
      </c>
      <c r="AB21" s="285">
        <f>Z21*AA21/100</f>
        <v>1069.8529411764705</v>
      </c>
      <c r="AC21" s="285">
        <f>AB21*6</f>
        <v>6419.1176470588234</v>
      </c>
      <c r="AD21" s="1"/>
      <c r="AE21" s="285">
        <f>ROUNDUP(AC21,-3)</f>
        <v>7000</v>
      </c>
      <c r="AF21" s="335">
        <f>AE21/1000</f>
        <v>7</v>
      </c>
      <c r="AG21" s="1">
        <v>0.4</v>
      </c>
      <c r="AH21" s="1">
        <v>1.5</v>
      </c>
      <c r="AI21" s="13">
        <f>AF21/(AH21-AG21)/AJ21</f>
        <v>4.2424242424242422</v>
      </c>
      <c r="AJ21" s="1">
        <v>1.5</v>
      </c>
      <c r="AK21" s="1"/>
      <c r="AL21" s="339">
        <f>AF21/(AH21-AG21)/2</f>
        <v>3.1818181818181817</v>
      </c>
      <c r="AN21" s="339">
        <f>AI21-AL21</f>
        <v>1.0606060606060606</v>
      </c>
      <c r="AP21">
        <f>E21</f>
        <v>78</v>
      </c>
      <c r="AS21" s="1" t="s">
        <v>151</v>
      </c>
      <c r="AT21" s="1">
        <f>N21*2</f>
        <v>15000</v>
      </c>
      <c r="AU21" s="1">
        <f>AT21/2</f>
        <v>7500</v>
      </c>
      <c r="AV21" s="1">
        <f>AU21/1000</f>
        <v>7.5</v>
      </c>
      <c r="AW21" s="1">
        <v>1.2</v>
      </c>
      <c r="AX21" s="1">
        <v>1.5</v>
      </c>
      <c r="AY21" s="13">
        <f>AV21/AW21/AX21</f>
        <v>4.166666666666667</v>
      </c>
      <c r="AZ21" s="13">
        <f>ROUNDUP(AY21,0)</f>
        <v>5</v>
      </c>
      <c r="BA21" s="1" t="s">
        <v>261</v>
      </c>
      <c r="BD21" s="1">
        <f>AX21*AZ21*(AW21+0.3)</f>
        <v>11.25</v>
      </c>
    </row>
    <row r="22" spans="1:60" x14ac:dyDescent="0.45">
      <c r="A22" s="1">
        <f>A21+1</f>
        <v>2</v>
      </c>
      <c r="B22" s="1" t="s">
        <v>14</v>
      </c>
      <c r="C22" s="1" t="s">
        <v>152</v>
      </c>
      <c r="D22" s="1">
        <f t="shared" ref="D22:D46" si="7">SUM(F22:G22)</f>
        <v>10</v>
      </c>
      <c r="E22" s="1">
        <f t="shared" ref="E22:E46" si="8">D22*8+$F$16*2</f>
        <v>86</v>
      </c>
      <c r="F22" s="80">
        <v>8</v>
      </c>
      <c r="G22" s="80">
        <v>2</v>
      </c>
      <c r="H22" s="80">
        <v>51</v>
      </c>
      <c r="I22" s="80">
        <v>47</v>
      </c>
      <c r="J22" s="127">
        <f t="shared" ref="J22:J46" si="9">8*(F22*H22+G22*I22)+($F$16*2)*H22</f>
        <v>4322</v>
      </c>
      <c r="K22" s="127">
        <f t="shared" ref="K22:K46" si="10">IF(COUNTIFS($B$21:$B$48,B22)&lt;2,((H22-$F$16*2)*F22+(I22-$F$16*2)*G22)*8,((H22-2-$F$16)*F22+(I22-$F$16-2)*G22)*8)</f>
        <v>3616</v>
      </c>
      <c r="L22" s="11">
        <f t="shared" si="0"/>
        <v>5650</v>
      </c>
      <c r="M22" s="49">
        <f t="shared" ref="M22:M46" si="11">$F$3</f>
        <v>2</v>
      </c>
      <c r="N22" s="29">
        <f t="shared" ref="N22:N46" si="12">L22*M22</f>
        <v>11300</v>
      </c>
      <c r="O22" s="55">
        <f t="shared" ref="O22:O46" si="13">N22/K22</f>
        <v>3.125</v>
      </c>
      <c r="P22" s="51">
        <f t="shared" si="3"/>
        <v>4.5</v>
      </c>
      <c r="Q22" s="30">
        <f t="shared" ref="Q22:Q46" si="14">P22*N22</f>
        <v>50850</v>
      </c>
      <c r="R22" s="53">
        <f t="shared" si="4"/>
        <v>4.8499999999999996</v>
      </c>
      <c r="S22" s="49">
        <f t="shared" si="5"/>
        <v>1</v>
      </c>
      <c r="T22" s="49">
        <f t="shared" si="6"/>
        <v>0</v>
      </c>
      <c r="U22" s="11">
        <f t="shared" ref="U22:U46" si="15">S22*L22</f>
        <v>5650</v>
      </c>
      <c r="V22" s="31">
        <f t="shared" ref="V22:V46" si="16">U22*R22</f>
        <v>27402.499999999996</v>
      </c>
      <c r="W22" s="284">
        <f t="shared" ref="W22:W46" si="17">$F$8</f>
        <v>20</v>
      </c>
      <c r="X22" s="126">
        <f t="shared" ref="X22:X46" si="18">60*60/(SUM($F$8:$F$9))</f>
        <v>21.176470588235293</v>
      </c>
      <c r="Y22" s="285">
        <f t="shared" ref="Y22:Y46" si="19">V22*W22/3600</f>
        <v>152.23611111111109</v>
      </c>
      <c r="Z22" s="285">
        <f t="shared" ref="Z22:Z46" si="20">Y22*X22</f>
        <v>3223.823529411764</v>
      </c>
      <c r="AA22" s="344">
        <v>50</v>
      </c>
      <c r="AB22" s="285">
        <f t="shared" ref="AB22:AB46" si="21">Z22*AA22/100</f>
        <v>1611.911764705882</v>
      </c>
      <c r="AC22" s="285">
        <f t="shared" ref="AC22:AC46" si="22">AB22*6</f>
        <v>9671.4705882352919</v>
      </c>
      <c r="AD22" s="1"/>
      <c r="AE22" s="285">
        <f t="shared" ref="AE22:AE46" si="23">ROUNDUP(AC22,-3)</f>
        <v>10000</v>
      </c>
      <c r="AF22" s="335">
        <f t="shared" ref="AF22:AF46" si="24">AE22/1000</f>
        <v>10</v>
      </c>
      <c r="AG22" s="1">
        <v>0.4</v>
      </c>
      <c r="AH22" s="1">
        <v>1.5</v>
      </c>
      <c r="AI22" s="13">
        <f t="shared" ref="AI22:AI46" si="25">AF22/(AH22-AG22)/AJ22</f>
        <v>6.0606060606060597</v>
      </c>
      <c r="AJ22" s="1">
        <v>1.5</v>
      </c>
      <c r="AL22" s="339">
        <f t="shared" ref="AL22:AL46" si="26">AF22/(AH22-AG22)/2</f>
        <v>4.545454545454545</v>
      </c>
      <c r="AN22" s="339">
        <f t="shared" ref="AN22:AN46" si="27">AI22-AL22</f>
        <v>1.5151515151515147</v>
      </c>
      <c r="AP22">
        <f t="shared" ref="AP22:AP46" si="28">E22</f>
        <v>86</v>
      </c>
      <c r="AS22" s="1" t="s">
        <v>152</v>
      </c>
      <c r="AT22" s="1">
        <f t="shared" ref="AT22:AT46" si="29">N22*2</f>
        <v>22600</v>
      </c>
      <c r="AU22" s="1">
        <f t="shared" ref="AU22:AU46" si="30">AT22/2</f>
        <v>11300</v>
      </c>
      <c r="AV22" s="1">
        <f t="shared" ref="AV22:AV49" si="31">AU22/1000</f>
        <v>11.3</v>
      </c>
      <c r="AW22" s="1">
        <v>1.2</v>
      </c>
      <c r="AX22" s="1">
        <v>1.5</v>
      </c>
      <c r="AY22" s="13">
        <f t="shared" ref="AY22:AY46" si="32">AV22/AW22/AX22</f>
        <v>6.2777777777777786</v>
      </c>
      <c r="AZ22" s="13">
        <f t="shared" ref="AZ22:AZ46" si="33">ROUNDUP(AY22,0)</f>
        <v>7</v>
      </c>
      <c r="BA22" s="1" t="s">
        <v>262</v>
      </c>
      <c r="BD22" s="1">
        <f t="shared" ref="BD22:BD46" si="34">AX22*AZ22*(AW22+0.3)</f>
        <v>15.75</v>
      </c>
    </row>
    <row r="23" spans="1:60" x14ac:dyDescent="0.45">
      <c r="A23" s="1">
        <f t="shared" ref="A23:A46" si="35">A22+1</f>
        <v>3</v>
      </c>
      <c r="B23" s="1" t="s">
        <v>14</v>
      </c>
      <c r="C23" s="1" t="s">
        <v>153</v>
      </c>
      <c r="D23" s="1">
        <f t="shared" si="7"/>
        <v>10</v>
      </c>
      <c r="E23" s="1">
        <f t="shared" si="8"/>
        <v>86</v>
      </c>
      <c r="F23" s="80">
        <v>8</v>
      </c>
      <c r="G23" s="80">
        <v>2</v>
      </c>
      <c r="H23" s="80">
        <v>51</v>
      </c>
      <c r="I23" s="80">
        <v>51</v>
      </c>
      <c r="J23" s="127">
        <f t="shared" si="9"/>
        <v>4386</v>
      </c>
      <c r="K23" s="127">
        <f t="shared" si="10"/>
        <v>3680</v>
      </c>
      <c r="L23" s="11">
        <f t="shared" si="0"/>
        <v>5750</v>
      </c>
      <c r="M23" s="49">
        <f t="shared" si="11"/>
        <v>2</v>
      </c>
      <c r="N23" s="29">
        <f t="shared" si="12"/>
        <v>11500</v>
      </c>
      <c r="O23" s="55">
        <f t="shared" si="13"/>
        <v>3.125</v>
      </c>
      <c r="P23" s="51">
        <f t="shared" si="3"/>
        <v>4.5</v>
      </c>
      <c r="Q23" s="30">
        <f t="shared" si="14"/>
        <v>51750</v>
      </c>
      <c r="R23" s="53">
        <f t="shared" si="4"/>
        <v>4.8499999999999996</v>
      </c>
      <c r="S23" s="49">
        <f t="shared" si="5"/>
        <v>1</v>
      </c>
      <c r="T23" s="49">
        <f t="shared" si="6"/>
        <v>0</v>
      </c>
      <c r="U23" s="11">
        <f t="shared" si="15"/>
        <v>5750</v>
      </c>
      <c r="V23" s="31">
        <f t="shared" si="16"/>
        <v>27887.499999999996</v>
      </c>
      <c r="W23" s="284">
        <f t="shared" si="17"/>
        <v>20</v>
      </c>
      <c r="X23" s="126">
        <f t="shared" si="18"/>
        <v>21.176470588235293</v>
      </c>
      <c r="Y23" s="285">
        <f t="shared" si="19"/>
        <v>154.93055555555551</v>
      </c>
      <c r="Z23" s="285">
        <f t="shared" si="20"/>
        <v>3280.8823529411757</v>
      </c>
      <c r="AA23" s="344">
        <v>50</v>
      </c>
      <c r="AB23" s="285">
        <f t="shared" si="21"/>
        <v>1640.4411764705881</v>
      </c>
      <c r="AC23" s="285">
        <f t="shared" si="22"/>
        <v>9842.6470588235279</v>
      </c>
      <c r="AD23" s="1"/>
      <c r="AE23" s="285">
        <f t="shared" si="23"/>
        <v>10000</v>
      </c>
      <c r="AF23" s="335">
        <f t="shared" si="24"/>
        <v>10</v>
      </c>
      <c r="AG23" s="1">
        <v>0.4</v>
      </c>
      <c r="AH23" s="1">
        <v>1.5</v>
      </c>
      <c r="AI23" s="13">
        <f t="shared" si="25"/>
        <v>6.0606060606060597</v>
      </c>
      <c r="AJ23" s="1">
        <v>1.5</v>
      </c>
      <c r="AL23" s="339">
        <f t="shared" si="26"/>
        <v>4.545454545454545</v>
      </c>
      <c r="AN23" s="339">
        <f t="shared" si="27"/>
        <v>1.5151515151515147</v>
      </c>
      <c r="AP23">
        <f t="shared" si="28"/>
        <v>86</v>
      </c>
      <c r="AS23" s="1" t="s">
        <v>153</v>
      </c>
      <c r="AT23" s="1">
        <f t="shared" si="29"/>
        <v>23000</v>
      </c>
      <c r="AU23" s="1">
        <f t="shared" si="30"/>
        <v>11500</v>
      </c>
      <c r="AV23" s="1">
        <f t="shared" si="31"/>
        <v>11.5</v>
      </c>
      <c r="AW23" s="1">
        <v>1.2</v>
      </c>
      <c r="AX23" s="1">
        <v>1.5</v>
      </c>
      <c r="AY23" s="13">
        <f t="shared" si="32"/>
        <v>6.3888888888888893</v>
      </c>
      <c r="AZ23" s="13">
        <f t="shared" si="33"/>
        <v>7</v>
      </c>
      <c r="BA23" s="1" t="s">
        <v>262</v>
      </c>
      <c r="BD23" s="1">
        <f t="shared" si="34"/>
        <v>15.75</v>
      </c>
    </row>
    <row r="24" spans="1:60" x14ac:dyDescent="0.45">
      <c r="A24" s="1">
        <f t="shared" si="35"/>
        <v>4</v>
      </c>
      <c r="B24" s="1" t="s">
        <v>16</v>
      </c>
      <c r="C24" s="1" t="s">
        <v>154</v>
      </c>
      <c r="D24" s="1">
        <f t="shared" si="7"/>
        <v>9</v>
      </c>
      <c r="E24" s="1">
        <f t="shared" si="8"/>
        <v>78</v>
      </c>
      <c r="F24" s="80">
        <v>9</v>
      </c>
      <c r="G24" s="80">
        <v>0</v>
      </c>
      <c r="H24" s="80">
        <v>58</v>
      </c>
      <c r="I24" s="80">
        <v>0</v>
      </c>
      <c r="J24" s="127">
        <f t="shared" si="9"/>
        <v>4524</v>
      </c>
      <c r="K24" s="127">
        <f t="shared" si="10"/>
        <v>3744</v>
      </c>
      <c r="L24" s="11">
        <f t="shared" si="0"/>
        <v>5850</v>
      </c>
      <c r="M24" s="49">
        <f t="shared" si="11"/>
        <v>2</v>
      </c>
      <c r="N24" s="29">
        <f t="shared" si="12"/>
        <v>11700</v>
      </c>
      <c r="O24" s="55">
        <f t="shared" si="13"/>
        <v>3.125</v>
      </c>
      <c r="P24" s="51">
        <f t="shared" si="3"/>
        <v>4.5</v>
      </c>
      <c r="Q24" s="30">
        <f t="shared" si="14"/>
        <v>52650</v>
      </c>
      <c r="R24" s="53">
        <f t="shared" si="4"/>
        <v>4.8499999999999996</v>
      </c>
      <c r="S24" s="49">
        <f t="shared" si="5"/>
        <v>1</v>
      </c>
      <c r="T24" s="49">
        <f t="shared" si="6"/>
        <v>0</v>
      </c>
      <c r="U24" s="11">
        <f t="shared" si="15"/>
        <v>5850</v>
      </c>
      <c r="V24" s="31">
        <f t="shared" si="16"/>
        <v>28372.499999999996</v>
      </c>
      <c r="W24" s="284">
        <f t="shared" si="17"/>
        <v>20</v>
      </c>
      <c r="X24" s="126">
        <f t="shared" si="18"/>
        <v>21.176470588235293</v>
      </c>
      <c r="Y24" s="285">
        <f t="shared" si="19"/>
        <v>157.62499999999997</v>
      </c>
      <c r="Z24" s="285">
        <f t="shared" si="20"/>
        <v>3337.9411764705874</v>
      </c>
      <c r="AA24" s="344">
        <v>50</v>
      </c>
      <c r="AB24" s="285">
        <f t="shared" si="21"/>
        <v>1668.9705882352937</v>
      </c>
      <c r="AC24" s="285">
        <f t="shared" si="22"/>
        <v>10013.823529411762</v>
      </c>
      <c r="AD24" s="1"/>
      <c r="AE24" s="285">
        <f t="shared" si="23"/>
        <v>11000</v>
      </c>
      <c r="AF24" s="335">
        <f t="shared" si="24"/>
        <v>11</v>
      </c>
      <c r="AG24" s="1">
        <v>0.4</v>
      </c>
      <c r="AH24" s="1">
        <v>1.5</v>
      </c>
      <c r="AI24" s="13">
        <f t="shared" si="25"/>
        <v>6.666666666666667</v>
      </c>
      <c r="AJ24" s="1">
        <v>1.5</v>
      </c>
      <c r="AL24" s="339">
        <f t="shared" si="26"/>
        <v>5</v>
      </c>
      <c r="AN24" s="339">
        <f t="shared" si="27"/>
        <v>1.666666666666667</v>
      </c>
      <c r="AP24">
        <f t="shared" si="28"/>
        <v>78</v>
      </c>
      <c r="AS24" s="1" t="s">
        <v>154</v>
      </c>
      <c r="AT24" s="1">
        <f t="shared" si="29"/>
        <v>23400</v>
      </c>
      <c r="AU24" s="1">
        <f t="shared" si="30"/>
        <v>11700</v>
      </c>
      <c r="AV24" s="1">
        <f t="shared" si="31"/>
        <v>11.7</v>
      </c>
      <c r="AW24" s="1">
        <v>1.2</v>
      </c>
      <c r="AX24" s="1">
        <v>1.5</v>
      </c>
      <c r="AY24" s="13">
        <f t="shared" si="32"/>
        <v>6.5</v>
      </c>
      <c r="AZ24" s="13">
        <f t="shared" si="33"/>
        <v>7</v>
      </c>
      <c r="BA24" s="1" t="s">
        <v>262</v>
      </c>
      <c r="BD24" s="1">
        <f t="shared" si="34"/>
        <v>15.75</v>
      </c>
    </row>
    <row r="25" spans="1:60" x14ac:dyDescent="0.45">
      <c r="A25" s="1">
        <f t="shared" si="35"/>
        <v>5</v>
      </c>
      <c r="B25" s="1" t="s">
        <v>18</v>
      </c>
      <c r="C25" s="1" t="s">
        <v>155</v>
      </c>
      <c r="D25" s="1">
        <f t="shared" si="7"/>
        <v>10</v>
      </c>
      <c r="E25" s="1">
        <f t="shared" si="8"/>
        <v>86</v>
      </c>
      <c r="F25" s="80">
        <v>10</v>
      </c>
      <c r="G25" s="80">
        <v>0</v>
      </c>
      <c r="H25" s="80">
        <v>51</v>
      </c>
      <c r="I25" s="80">
        <v>0</v>
      </c>
      <c r="J25" s="127">
        <f t="shared" si="9"/>
        <v>4386</v>
      </c>
      <c r="K25" s="127">
        <f t="shared" si="10"/>
        <v>3680</v>
      </c>
      <c r="L25" s="11">
        <f t="shared" si="0"/>
        <v>5750</v>
      </c>
      <c r="M25" s="49">
        <f t="shared" si="11"/>
        <v>2</v>
      </c>
      <c r="N25" s="29">
        <f t="shared" si="12"/>
        <v>11500</v>
      </c>
      <c r="O25" s="55">
        <f t="shared" si="13"/>
        <v>3.125</v>
      </c>
      <c r="P25" s="51">
        <f t="shared" si="3"/>
        <v>4.5</v>
      </c>
      <c r="Q25" s="30">
        <f t="shared" si="14"/>
        <v>51750</v>
      </c>
      <c r="R25" s="53">
        <f t="shared" si="4"/>
        <v>4.8499999999999996</v>
      </c>
      <c r="S25" s="49">
        <f t="shared" si="5"/>
        <v>1</v>
      </c>
      <c r="T25" s="49">
        <f t="shared" si="6"/>
        <v>0</v>
      </c>
      <c r="U25" s="11">
        <f t="shared" si="15"/>
        <v>5750</v>
      </c>
      <c r="V25" s="31">
        <f t="shared" si="16"/>
        <v>27887.499999999996</v>
      </c>
      <c r="W25" s="284">
        <f t="shared" si="17"/>
        <v>20</v>
      </c>
      <c r="X25" s="126">
        <f t="shared" si="18"/>
        <v>21.176470588235293</v>
      </c>
      <c r="Y25" s="285">
        <f t="shared" si="19"/>
        <v>154.93055555555551</v>
      </c>
      <c r="Z25" s="285">
        <f t="shared" si="20"/>
        <v>3280.8823529411757</v>
      </c>
      <c r="AA25" s="344">
        <v>50</v>
      </c>
      <c r="AB25" s="285">
        <f t="shared" si="21"/>
        <v>1640.4411764705881</v>
      </c>
      <c r="AC25" s="285">
        <f t="shared" si="22"/>
        <v>9842.6470588235279</v>
      </c>
      <c r="AD25" s="1"/>
      <c r="AE25" s="285">
        <f t="shared" si="23"/>
        <v>10000</v>
      </c>
      <c r="AF25" s="335">
        <f t="shared" si="24"/>
        <v>10</v>
      </c>
      <c r="AG25" s="1">
        <v>0.4</v>
      </c>
      <c r="AH25" s="1">
        <v>1.5</v>
      </c>
      <c r="AI25" s="13">
        <f t="shared" si="25"/>
        <v>6.0606060606060597</v>
      </c>
      <c r="AJ25" s="1">
        <v>1.5</v>
      </c>
      <c r="AL25" s="339">
        <f t="shared" si="26"/>
        <v>4.545454545454545</v>
      </c>
      <c r="AN25" s="339">
        <f t="shared" si="27"/>
        <v>1.5151515151515147</v>
      </c>
      <c r="AP25">
        <f t="shared" si="28"/>
        <v>86</v>
      </c>
      <c r="AS25" s="1" t="s">
        <v>155</v>
      </c>
      <c r="AT25" s="1">
        <f t="shared" si="29"/>
        <v>23000</v>
      </c>
      <c r="AU25" s="1">
        <f t="shared" si="30"/>
        <v>11500</v>
      </c>
      <c r="AV25" s="1">
        <f t="shared" si="31"/>
        <v>11.5</v>
      </c>
      <c r="AW25" s="1">
        <v>1.2</v>
      </c>
      <c r="AX25" s="1">
        <v>1.5</v>
      </c>
      <c r="AY25" s="13">
        <f t="shared" si="32"/>
        <v>6.3888888888888893</v>
      </c>
      <c r="AZ25" s="13">
        <f t="shared" si="33"/>
        <v>7</v>
      </c>
      <c r="BA25" s="1" t="s">
        <v>262</v>
      </c>
      <c r="BD25" s="1">
        <f t="shared" si="34"/>
        <v>15.75</v>
      </c>
    </row>
    <row r="26" spans="1:60" x14ac:dyDescent="0.45">
      <c r="A26" s="1">
        <f t="shared" si="35"/>
        <v>6</v>
      </c>
      <c r="B26" s="1" t="s">
        <v>18</v>
      </c>
      <c r="C26" s="1" t="s">
        <v>156</v>
      </c>
      <c r="D26" s="1">
        <f t="shared" si="7"/>
        <v>10</v>
      </c>
      <c r="E26" s="1">
        <f t="shared" si="8"/>
        <v>86</v>
      </c>
      <c r="F26" s="80">
        <v>10</v>
      </c>
      <c r="G26" s="80">
        <v>0</v>
      </c>
      <c r="H26" s="80">
        <v>51</v>
      </c>
      <c r="I26" s="80">
        <v>0</v>
      </c>
      <c r="J26" s="127">
        <f t="shared" si="9"/>
        <v>4386</v>
      </c>
      <c r="K26" s="127">
        <f t="shared" si="10"/>
        <v>3680</v>
      </c>
      <c r="L26" s="11">
        <f t="shared" si="0"/>
        <v>5750</v>
      </c>
      <c r="M26" s="49">
        <f t="shared" si="11"/>
        <v>2</v>
      </c>
      <c r="N26" s="29">
        <f t="shared" si="12"/>
        <v>11500</v>
      </c>
      <c r="O26" s="55">
        <f t="shared" si="13"/>
        <v>3.125</v>
      </c>
      <c r="P26" s="51">
        <f t="shared" si="3"/>
        <v>4.5</v>
      </c>
      <c r="Q26" s="30">
        <f t="shared" si="14"/>
        <v>51750</v>
      </c>
      <c r="R26" s="53">
        <f t="shared" si="4"/>
        <v>4.8499999999999996</v>
      </c>
      <c r="S26" s="49">
        <f t="shared" si="5"/>
        <v>1</v>
      </c>
      <c r="T26" s="49">
        <f t="shared" si="6"/>
        <v>0</v>
      </c>
      <c r="U26" s="11">
        <f t="shared" si="15"/>
        <v>5750</v>
      </c>
      <c r="V26" s="31">
        <f t="shared" si="16"/>
        <v>27887.499999999996</v>
      </c>
      <c r="W26" s="284">
        <f t="shared" si="17"/>
        <v>20</v>
      </c>
      <c r="X26" s="126">
        <f t="shared" si="18"/>
        <v>21.176470588235293</v>
      </c>
      <c r="Y26" s="285">
        <f t="shared" si="19"/>
        <v>154.93055555555551</v>
      </c>
      <c r="Z26" s="285">
        <f t="shared" si="20"/>
        <v>3280.8823529411757</v>
      </c>
      <c r="AA26" s="344">
        <v>50</v>
      </c>
      <c r="AB26" s="285">
        <f t="shared" si="21"/>
        <v>1640.4411764705881</v>
      </c>
      <c r="AC26" s="285">
        <f t="shared" si="22"/>
        <v>9842.6470588235279</v>
      </c>
      <c r="AD26" s="1"/>
      <c r="AE26" s="285">
        <f t="shared" si="23"/>
        <v>10000</v>
      </c>
      <c r="AF26" s="335">
        <f t="shared" si="24"/>
        <v>10</v>
      </c>
      <c r="AG26" s="1">
        <v>0.4</v>
      </c>
      <c r="AH26" s="1">
        <v>1.5</v>
      </c>
      <c r="AI26" s="13">
        <f t="shared" si="25"/>
        <v>6.0606060606060597</v>
      </c>
      <c r="AJ26" s="1">
        <v>1.5</v>
      </c>
      <c r="AL26" s="339">
        <f t="shared" si="26"/>
        <v>4.545454545454545</v>
      </c>
      <c r="AN26" s="339">
        <f t="shared" si="27"/>
        <v>1.5151515151515147</v>
      </c>
      <c r="AP26">
        <f t="shared" si="28"/>
        <v>86</v>
      </c>
      <c r="AS26" s="1" t="s">
        <v>156</v>
      </c>
      <c r="AT26" s="1">
        <f t="shared" si="29"/>
        <v>23000</v>
      </c>
      <c r="AU26" s="1">
        <f t="shared" si="30"/>
        <v>11500</v>
      </c>
      <c r="AV26" s="1">
        <f t="shared" si="31"/>
        <v>11.5</v>
      </c>
      <c r="AW26" s="1">
        <v>1.2</v>
      </c>
      <c r="AX26" s="1">
        <v>1.5</v>
      </c>
      <c r="AY26" s="13">
        <f t="shared" si="32"/>
        <v>6.3888888888888893</v>
      </c>
      <c r="AZ26" s="13">
        <f t="shared" si="33"/>
        <v>7</v>
      </c>
      <c r="BA26" s="1" t="s">
        <v>262</v>
      </c>
      <c r="BD26" s="1">
        <f t="shared" si="34"/>
        <v>15.75</v>
      </c>
    </row>
    <row r="27" spans="1:60" x14ac:dyDescent="0.45">
      <c r="A27" s="1">
        <f t="shared" si="35"/>
        <v>7</v>
      </c>
      <c r="B27" s="1" t="s">
        <v>20</v>
      </c>
      <c r="C27" s="1" t="s">
        <v>157</v>
      </c>
      <c r="D27" s="1">
        <f t="shared" si="7"/>
        <v>10</v>
      </c>
      <c r="E27" s="1">
        <f t="shared" si="8"/>
        <v>86</v>
      </c>
      <c r="F27" s="80">
        <v>10</v>
      </c>
      <c r="G27" s="80">
        <v>0</v>
      </c>
      <c r="H27" s="80">
        <v>39</v>
      </c>
      <c r="I27" s="80">
        <v>0</v>
      </c>
      <c r="J27" s="127">
        <f t="shared" si="9"/>
        <v>3354</v>
      </c>
      <c r="K27" s="127">
        <f t="shared" si="10"/>
        <v>2720</v>
      </c>
      <c r="L27" s="11">
        <f t="shared" si="0"/>
        <v>4250</v>
      </c>
      <c r="M27" s="49">
        <f t="shared" si="11"/>
        <v>2</v>
      </c>
      <c r="N27" s="29">
        <f t="shared" si="12"/>
        <v>8500</v>
      </c>
      <c r="O27" s="55">
        <f t="shared" si="13"/>
        <v>3.125</v>
      </c>
      <c r="P27" s="51">
        <f t="shared" si="3"/>
        <v>4.5</v>
      </c>
      <c r="Q27" s="30">
        <f t="shared" si="14"/>
        <v>38250</v>
      </c>
      <c r="R27" s="53">
        <f t="shared" si="4"/>
        <v>4.8499999999999996</v>
      </c>
      <c r="S27" s="49">
        <f t="shared" si="5"/>
        <v>1</v>
      </c>
      <c r="T27" s="49">
        <f t="shared" si="6"/>
        <v>0</v>
      </c>
      <c r="U27" s="11">
        <f t="shared" si="15"/>
        <v>4250</v>
      </c>
      <c r="V27" s="31">
        <f t="shared" si="16"/>
        <v>20612.5</v>
      </c>
      <c r="W27" s="284">
        <f t="shared" si="17"/>
        <v>20</v>
      </c>
      <c r="X27" s="126">
        <f t="shared" si="18"/>
        <v>21.176470588235293</v>
      </c>
      <c r="Y27" s="285">
        <f t="shared" si="19"/>
        <v>114.51388888888889</v>
      </c>
      <c r="Z27" s="285">
        <f t="shared" si="20"/>
        <v>2425</v>
      </c>
      <c r="AA27" s="344">
        <v>50</v>
      </c>
      <c r="AB27" s="285">
        <f t="shared" si="21"/>
        <v>1212.5</v>
      </c>
      <c r="AC27" s="285">
        <f t="shared" si="22"/>
        <v>7275</v>
      </c>
      <c r="AD27" s="1"/>
      <c r="AE27" s="285">
        <f t="shared" si="23"/>
        <v>8000</v>
      </c>
      <c r="AF27" s="335">
        <f t="shared" si="24"/>
        <v>8</v>
      </c>
      <c r="AG27" s="1">
        <v>0.4</v>
      </c>
      <c r="AH27" s="1">
        <v>1.5</v>
      </c>
      <c r="AI27" s="13">
        <f t="shared" si="25"/>
        <v>4.8484848484848486</v>
      </c>
      <c r="AJ27" s="1">
        <v>1.5</v>
      </c>
      <c r="AL27" s="339">
        <f t="shared" si="26"/>
        <v>3.6363636363636362</v>
      </c>
      <c r="AN27" s="339">
        <f t="shared" si="27"/>
        <v>1.2121212121212124</v>
      </c>
      <c r="AP27">
        <f t="shared" si="28"/>
        <v>86</v>
      </c>
      <c r="AS27" s="1" t="s">
        <v>157</v>
      </c>
      <c r="AT27" s="1">
        <f t="shared" si="29"/>
        <v>17000</v>
      </c>
      <c r="AU27" s="1">
        <f t="shared" si="30"/>
        <v>8500</v>
      </c>
      <c r="AV27" s="1">
        <f t="shared" si="31"/>
        <v>8.5</v>
      </c>
      <c r="AW27" s="1">
        <v>1.2</v>
      </c>
      <c r="AX27" s="1">
        <v>1.5</v>
      </c>
      <c r="AY27" s="13">
        <f t="shared" si="32"/>
        <v>4.7222222222222223</v>
      </c>
      <c r="AZ27" s="13">
        <f t="shared" si="33"/>
        <v>5</v>
      </c>
      <c r="BA27" s="1" t="s">
        <v>261</v>
      </c>
      <c r="BD27" s="1">
        <f t="shared" si="34"/>
        <v>11.25</v>
      </c>
    </row>
    <row r="28" spans="1:60" x14ac:dyDescent="0.45">
      <c r="A28" s="1">
        <f t="shared" si="35"/>
        <v>8</v>
      </c>
      <c r="B28" s="1" t="s">
        <v>20</v>
      </c>
      <c r="C28" s="1" t="s">
        <v>158</v>
      </c>
      <c r="D28" s="1">
        <f t="shared" si="7"/>
        <v>10</v>
      </c>
      <c r="E28" s="1">
        <f t="shared" si="8"/>
        <v>86</v>
      </c>
      <c r="F28" s="80">
        <v>10</v>
      </c>
      <c r="G28" s="80">
        <v>0</v>
      </c>
      <c r="H28" s="80">
        <v>39</v>
      </c>
      <c r="I28" s="80">
        <v>0</v>
      </c>
      <c r="J28" s="127">
        <f t="shared" si="9"/>
        <v>3354</v>
      </c>
      <c r="K28" s="127">
        <f t="shared" si="10"/>
        <v>2720</v>
      </c>
      <c r="L28" s="11">
        <f t="shared" si="0"/>
        <v>4250</v>
      </c>
      <c r="M28" s="49">
        <f t="shared" si="11"/>
        <v>2</v>
      </c>
      <c r="N28" s="29">
        <f t="shared" si="12"/>
        <v>8500</v>
      </c>
      <c r="O28" s="55">
        <f t="shared" si="13"/>
        <v>3.125</v>
      </c>
      <c r="P28" s="51">
        <f t="shared" si="3"/>
        <v>4.5</v>
      </c>
      <c r="Q28" s="30">
        <f t="shared" si="14"/>
        <v>38250</v>
      </c>
      <c r="R28" s="53">
        <f t="shared" si="4"/>
        <v>4.8499999999999996</v>
      </c>
      <c r="S28" s="49">
        <f t="shared" si="5"/>
        <v>1</v>
      </c>
      <c r="T28" s="49">
        <f t="shared" si="6"/>
        <v>0</v>
      </c>
      <c r="U28" s="11">
        <f t="shared" si="15"/>
        <v>4250</v>
      </c>
      <c r="V28" s="31">
        <f t="shared" si="16"/>
        <v>20612.5</v>
      </c>
      <c r="W28" s="284">
        <f t="shared" si="17"/>
        <v>20</v>
      </c>
      <c r="X28" s="126">
        <f t="shared" si="18"/>
        <v>21.176470588235293</v>
      </c>
      <c r="Y28" s="285">
        <f t="shared" si="19"/>
        <v>114.51388888888889</v>
      </c>
      <c r="Z28" s="285">
        <f t="shared" si="20"/>
        <v>2425</v>
      </c>
      <c r="AA28" s="344">
        <v>50</v>
      </c>
      <c r="AB28" s="285">
        <f t="shared" si="21"/>
        <v>1212.5</v>
      </c>
      <c r="AC28" s="285">
        <f t="shared" si="22"/>
        <v>7275</v>
      </c>
      <c r="AD28" s="1"/>
      <c r="AE28" s="285">
        <f t="shared" si="23"/>
        <v>8000</v>
      </c>
      <c r="AF28" s="335">
        <f t="shared" si="24"/>
        <v>8</v>
      </c>
      <c r="AG28" s="1">
        <v>0.4</v>
      </c>
      <c r="AH28" s="1">
        <v>1.5</v>
      </c>
      <c r="AI28" s="13">
        <f t="shared" si="25"/>
        <v>4.8484848484848486</v>
      </c>
      <c r="AJ28" s="1">
        <v>1.5</v>
      </c>
      <c r="AL28" s="339">
        <f t="shared" si="26"/>
        <v>3.6363636363636362</v>
      </c>
      <c r="AN28" s="339">
        <f t="shared" si="27"/>
        <v>1.2121212121212124</v>
      </c>
      <c r="AP28">
        <f t="shared" si="28"/>
        <v>86</v>
      </c>
      <c r="AS28" s="1" t="s">
        <v>158</v>
      </c>
      <c r="AT28" s="1">
        <f t="shared" si="29"/>
        <v>17000</v>
      </c>
      <c r="AU28" s="1">
        <f t="shared" si="30"/>
        <v>8500</v>
      </c>
      <c r="AV28" s="1">
        <f t="shared" si="31"/>
        <v>8.5</v>
      </c>
      <c r="AW28" s="1">
        <v>1.2</v>
      </c>
      <c r="AX28" s="1">
        <v>1.5</v>
      </c>
      <c r="AY28" s="13">
        <f t="shared" si="32"/>
        <v>4.7222222222222223</v>
      </c>
      <c r="AZ28" s="13">
        <f t="shared" si="33"/>
        <v>5</v>
      </c>
      <c r="BA28" s="1" t="s">
        <v>261</v>
      </c>
      <c r="BD28" s="1">
        <f t="shared" si="34"/>
        <v>11.25</v>
      </c>
    </row>
    <row r="29" spans="1:60" x14ac:dyDescent="0.45">
      <c r="A29" s="1">
        <f t="shared" si="35"/>
        <v>9</v>
      </c>
      <c r="B29" s="1" t="s">
        <v>22</v>
      </c>
      <c r="C29" s="1" t="s">
        <v>159</v>
      </c>
      <c r="D29" s="1">
        <f t="shared" si="7"/>
        <v>10</v>
      </c>
      <c r="E29" s="1">
        <f t="shared" si="8"/>
        <v>86</v>
      </c>
      <c r="F29" s="80">
        <v>4</v>
      </c>
      <c r="G29" s="80">
        <v>6</v>
      </c>
      <c r="H29" s="80">
        <v>43</v>
      </c>
      <c r="I29" s="80">
        <v>19</v>
      </c>
      <c r="J29" s="127">
        <f t="shared" si="9"/>
        <v>2546</v>
      </c>
      <c r="K29" s="127">
        <f t="shared" si="10"/>
        <v>1888</v>
      </c>
      <c r="L29" s="11">
        <f t="shared" si="0"/>
        <v>2950</v>
      </c>
      <c r="M29" s="49">
        <f t="shared" si="11"/>
        <v>2</v>
      </c>
      <c r="N29" s="29">
        <f t="shared" si="12"/>
        <v>5900</v>
      </c>
      <c r="O29" s="55">
        <f t="shared" si="13"/>
        <v>3.125</v>
      </c>
      <c r="P29" s="51">
        <f t="shared" si="3"/>
        <v>4.5</v>
      </c>
      <c r="Q29" s="30">
        <f t="shared" si="14"/>
        <v>26550</v>
      </c>
      <c r="R29" s="53">
        <f t="shared" si="4"/>
        <v>4.8499999999999996</v>
      </c>
      <c r="S29" s="49">
        <f t="shared" si="5"/>
        <v>1</v>
      </c>
      <c r="T29" s="49">
        <f t="shared" si="6"/>
        <v>0</v>
      </c>
      <c r="U29" s="11">
        <f t="shared" si="15"/>
        <v>2950</v>
      </c>
      <c r="V29" s="31">
        <f t="shared" si="16"/>
        <v>14307.499999999998</v>
      </c>
      <c r="W29" s="284">
        <f t="shared" si="17"/>
        <v>20</v>
      </c>
      <c r="X29" s="126">
        <f t="shared" si="18"/>
        <v>21.176470588235293</v>
      </c>
      <c r="Y29" s="285">
        <f t="shared" si="19"/>
        <v>79.4861111111111</v>
      </c>
      <c r="Z29" s="285">
        <f t="shared" si="20"/>
        <v>1683.2352941176468</v>
      </c>
      <c r="AA29" s="344">
        <v>50</v>
      </c>
      <c r="AB29" s="285">
        <f t="shared" si="21"/>
        <v>841.61764705882354</v>
      </c>
      <c r="AC29" s="285">
        <f t="shared" si="22"/>
        <v>5049.7058823529414</v>
      </c>
      <c r="AD29" s="1"/>
      <c r="AE29" s="285">
        <f t="shared" si="23"/>
        <v>6000</v>
      </c>
      <c r="AF29" s="335">
        <f t="shared" si="24"/>
        <v>6</v>
      </c>
      <c r="AG29" s="1">
        <v>0.4</v>
      </c>
      <c r="AH29" s="1">
        <v>1.5</v>
      </c>
      <c r="AI29" s="13">
        <f t="shared" si="25"/>
        <v>3.6363636363636362</v>
      </c>
      <c r="AJ29" s="1">
        <v>1.5</v>
      </c>
      <c r="AL29" s="339">
        <f t="shared" si="26"/>
        <v>2.7272727272727271</v>
      </c>
      <c r="AN29" s="339">
        <f t="shared" si="27"/>
        <v>0.90909090909090917</v>
      </c>
      <c r="AP29">
        <f t="shared" si="28"/>
        <v>86</v>
      </c>
      <c r="AS29" s="1" t="s">
        <v>159</v>
      </c>
      <c r="AT29" s="1">
        <f t="shared" si="29"/>
        <v>11800</v>
      </c>
      <c r="AU29" s="1">
        <f t="shared" si="30"/>
        <v>5900</v>
      </c>
      <c r="AV29" s="1">
        <f t="shared" si="31"/>
        <v>5.9</v>
      </c>
      <c r="AW29" s="1">
        <v>1.2</v>
      </c>
      <c r="AX29" s="1">
        <v>1.5</v>
      </c>
      <c r="AY29" s="13">
        <f t="shared" si="32"/>
        <v>3.2777777777777781</v>
      </c>
      <c r="AZ29" s="13">
        <f t="shared" si="33"/>
        <v>4</v>
      </c>
      <c r="BA29" s="1" t="s">
        <v>263</v>
      </c>
      <c r="BD29" s="1">
        <f t="shared" si="34"/>
        <v>9</v>
      </c>
    </row>
    <row r="30" spans="1:60" x14ac:dyDescent="0.45">
      <c r="A30" s="1">
        <f t="shared" si="35"/>
        <v>10</v>
      </c>
      <c r="B30" s="1" t="s">
        <v>22</v>
      </c>
      <c r="C30" s="1" t="s">
        <v>160</v>
      </c>
      <c r="D30" s="1">
        <f t="shared" si="7"/>
        <v>10</v>
      </c>
      <c r="E30" s="1">
        <f t="shared" si="8"/>
        <v>86</v>
      </c>
      <c r="F30" s="80">
        <v>4</v>
      </c>
      <c r="G30" s="80">
        <v>6</v>
      </c>
      <c r="H30" s="80">
        <v>43</v>
      </c>
      <c r="I30" s="80">
        <v>43</v>
      </c>
      <c r="J30" s="127">
        <f t="shared" si="9"/>
        <v>3698</v>
      </c>
      <c r="K30" s="127">
        <f t="shared" si="10"/>
        <v>3040</v>
      </c>
      <c r="L30" s="11">
        <f t="shared" si="0"/>
        <v>4750</v>
      </c>
      <c r="M30" s="49">
        <f t="shared" si="11"/>
        <v>2</v>
      </c>
      <c r="N30" s="29">
        <f t="shared" si="12"/>
        <v>9500</v>
      </c>
      <c r="O30" s="55">
        <f t="shared" si="13"/>
        <v>3.125</v>
      </c>
      <c r="P30" s="51">
        <f t="shared" si="3"/>
        <v>4.5</v>
      </c>
      <c r="Q30" s="30">
        <f t="shared" si="14"/>
        <v>42750</v>
      </c>
      <c r="R30" s="53">
        <f t="shared" si="4"/>
        <v>4.8499999999999996</v>
      </c>
      <c r="S30" s="49">
        <f t="shared" si="5"/>
        <v>1</v>
      </c>
      <c r="T30" s="49">
        <f t="shared" si="6"/>
        <v>0</v>
      </c>
      <c r="U30" s="11">
        <f t="shared" si="15"/>
        <v>4750</v>
      </c>
      <c r="V30" s="31">
        <f t="shared" si="16"/>
        <v>23037.5</v>
      </c>
      <c r="W30" s="284">
        <f t="shared" si="17"/>
        <v>20</v>
      </c>
      <c r="X30" s="126">
        <f t="shared" si="18"/>
        <v>21.176470588235293</v>
      </c>
      <c r="Y30" s="285">
        <f t="shared" si="19"/>
        <v>127.98611111111111</v>
      </c>
      <c r="Z30" s="285">
        <f t="shared" si="20"/>
        <v>2710.294117647059</v>
      </c>
      <c r="AA30" s="344">
        <v>50</v>
      </c>
      <c r="AB30" s="285">
        <f t="shared" si="21"/>
        <v>1355.1470588235295</v>
      </c>
      <c r="AC30" s="285">
        <f t="shared" si="22"/>
        <v>8130.8823529411766</v>
      </c>
      <c r="AD30" s="1"/>
      <c r="AE30" s="285">
        <f t="shared" si="23"/>
        <v>9000</v>
      </c>
      <c r="AF30" s="335">
        <f t="shared" si="24"/>
        <v>9</v>
      </c>
      <c r="AG30" s="1">
        <v>0.4</v>
      </c>
      <c r="AH30" s="1">
        <v>1.5</v>
      </c>
      <c r="AI30" s="13">
        <f t="shared" si="25"/>
        <v>5.4545454545454541</v>
      </c>
      <c r="AJ30" s="1">
        <v>1.5</v>
      </c>
      <c r="AL30" s="339">
        <f t="shared" si="26"/>
        <v>4.0909090909090908</v>
      </c>
      <c r="AN30" s="339">
        <f t="shared" si="27"/>
        <v>1.3636363636363633</v>
      </c>
      <c r="AP30">
        <f t="shared" si="28"/>
        <v>86</v>
      </c>
      <c r="AS30" s="1" t="s">
        <v>160</v>
      </c>
      <c r="AT30" s="1">
        <f t="shared" si="29"/>
        <v>19000</v>
      </c>
      <c r="AU30" s="1">
        <f t="shared" si="30"/>
        <v>9500</v>
      </c>
      <c r="AV30" s="1">
        <f t="shared" si="31"/>
        <v>9.5</v>
      </c>
      <c r="AW30" s="1">
        <v>1.2</v>
      </c>
      <c r="AX30" s="1">
        <v>1.5</v>
      </c>
      <c r="AY30" s="13">
        <f t="shared" si="32"/>
        <v>5.2777777777777777</v>
      </c>
      <c r="AZ30" s="13">
        <f t="shared" si="33"/>
        <v>6</v>
      </c>
      <c r="BA30" s="1" t="s">
        <v>264</v>
      </c>
      <c r="BD30" s="1">
        <f t="shared" si="34"/>
        <v>13.5</v>
      </c>
    </row>
    <row r="31" spans="1:60" x14ac:dyDescent="0.45">
      <c r="A31" s="1">
        <f t="shared" si="35"/>
        <v>11</v>
      </c>
      <c r="B31" s="1" t="s">
        <v>24</v>
      </c>
      <c r="C31" s="1" t="s">
        <v>161</v>
      </c>
      <c r="D31" s="1">
        <f t="shared" si="7"/>
        <v>11</v>
      </c>
      <c r="E31" s="1">
        <f t="shared" si="8"/>
        <v>94</v>
      </c>
      <c r="F31" s="80">
        <v>11</v>
      </c>
      <c r="G31" s="80">
        <v>0</v>
      </c>
      <c r="H31" s="80">
        <v>37</v>
      </c>
      <c r="I31" s="80">
        <v>0</v>
      </c>
      <c r="J31" s="127">
        <f t="shared" si="9"/>
        <v>3478</v>
      </c>
      <c r="K31" s="127">
        <f t="shared" si="10"/>
        <v>2816</v>
      </c>
      <c r="L31" s="11">
        <f t="shared" si="0"/>
        <v>4400</v>
      </c>
      <c r="M31" s="49">
        <f t="shared" si="11"/>
        <v>2</v>
      </c>
      <c r="N31" s="29">
        <f t="shared" si="12"/>
        <v>8800</v>
      </c>
      <c r="O31" s="55">
        <f t="shared" si="13"/>
        <v>3.125</v>
      </c>
      <c r="P31" s="51">
        <f t="shared" si="3"/>
        <v>4.5</v>
      </c>
      <c r="Q31" s="30">
        <f t="shared" si="14"/>
        <v>39600</v>
      </c>
      <c r="R31" s="53">
        <f t="shared" si="4"/>
        <v>4.8499999999999996</v>
      </c>
      <c r="S31" s="49">
        <f t="shared" si="5"/>
        <v>1</v>
      </c>
      <c r="T31" s="49">
        <f t="shared" si="6"/>
        <v>0</v>
      </c>
      <c r="U31" s="11">
        <f t="shared" si="15"/>
        <v>4400</v>
      </c>
      <c r="V31" s="31">
        <f t="shared" si="16"/>
        <v>21340</v>
      </c>
      <c r="W31" s="284">
        <f t="shared" si="17"/>
        <v>20</v>
      </c>
      <c r="X31" s="126">
        <f t="shared" si="18"/>
        <v>21.176470588235293</v>
      </c>
      <c r="Y31" s="285">
        <f t="shared" si="19"/>
        <v>118.55555555555556</v>
      </c>
      <c r="Z31" s="285">
        <f t="shared" si="20"/>
        <v>2510.5882352941176</v>
      </c>
      <c r="AA31" s="344">
        <v>50</v>
      </c>
      <c r="AB31" s="285">
        <f t="shared" si="21"/>
        <v>1255.2941176470588</v>
      </c>
      <c r="AC31" s="285">
        <f t="shared" si="22"/>
        <v>7531.7647058823532</v>
      </c>
      <c r="AD31" s="1"/>
      <c r="AE31" s="285">
        <f t="shared" si="23"/>
        <v>8000</v>
      </c>
      <c r="AF31" s="335">
        <f t="shared" si="24"/>
        <v>8</v>
      </c>
      <c r="AG31" s="1">
        <v>0.4</v>
      </c>
      <c r="AH31" s="1">
        <v>1.5</v>
      </c>
      <c r="AI31" s="13">
        <f t="shared" si="25"/>
        <v>4.8484848484848486</v>
      </c>
      <c r="AJ31" s="1">
        <v>1.5</v>
      </c>
      <c r="AL31" s="339">
        <f t="shared" si="26"/>
        <v>3.6363636363636362</v>
      </c>
      <c r="AN31" s="339">
        <f t="shared" si="27"/>
        <v>1.2121212121212124</v>
      </c>
      <c r="AP31">
        <f t="shared" si="28"/>
        <v>94</v>
      </c>
      <c r="AS31" s="1" t="s">
        <v>161</v>
      </c>
      <c r="AT31" s="1">
        <f t="shared" si="29"/>
        <v>17600</v>
      </c>
      <c r="AU31" s="1">
        <f t="shared" si="30"/>
        <v>8800</v>
      </c>
      <c r="AV31" s="1">
        <f t="shared" si="31"/>
        <v>8.8000000000000007</v>
      </c>
      <c r="AW31" s="1">
        <v>1.2</v>
      </c>
      <c r="AX31" s="1">
        <v>1.5</v>
      </c>
      <c r="AY31" s="13">
        <f t="shared" si="32"/>
        <v>4.8888888888888893</v>
      </c>
      <c r="AZ31" s="13">
        <f t="shared" si="33"/>
        <v>5</v>
      </c>
      <c r="BA31" s="1" t="s">
        <v>261</v>
      </c>
      <c r="BD31" s="1">
        <f t="shared" si="34"/>
        <v>11.25</v>
      </c>
    </row>
    <row r="32" spans="1:60" x14ac:dyDescent="0.45">
      <c r="A32" s="1">
        <f t="shared" si="35"/>
        <v>12</v>
      </c>
      <c r="B32" s="1" t="s">
        <v>24</v>
      </c>
      <c r="C32" s="1" t="s">
        <v>162</v>
      </c>
      <c r="D32" s="1">
        <f t="shared" si="7"/>
        <v>11</v>
      </c>
      <c r="E32" s="1">
        <f t="shared" si="8"/>
        <v>94</v>
      </c>
      <c r="F32" s="80">
        <v>11</v>
      </c>
      <c r="G32" s="80">
        <v>0</v>
      </c>
      <c r="H32" s="80">
        <v>37</v>
      </c>
      <c r="I32" s="80">
        <v>0</v>
      </c>
      <c r="J32" s="127">
        <f t="shared" si="9"/>
        <v>3478</v>
      </c>
      <c r="K32" s="127">
        <f t="shared" si="10"/>
        <v>2816</v>
      </c>
      <c r="L32" s="11">
        <f t="shared" si="0"/>
        <v>4400</v>
      </c>
      <c r="M32" s="49">
        <f t="shared" si="11"/>
        <v>2</v>
      </c>
      <c r="N32" s="29">
        <f t="shared" si="12"/>
        <v>8800</v>
      </c>
      <c r="O32" s="55">
        <f t="shared" si="13"/>
        <v>3.125</v>
      </c>
      <c r="P32" s="51">
        <f t="shared" si="3"/>
        <v>4.5</v>
      </c>
      <c r="Q32" s="30">
        <f t="shared" si="14"/>
        <v>39600</v>
      </c>
      <c r="R32" s="53">
        <f t="shared" si="4"/>
        <v>4.8499999999999996</v>
      </c>
      <c r="S32" s="49">
        <f t="shared" si="5"/>
        <v>1</v>
      </c>
      <c r="T32" s="49">
        <f t="shared" si="6"/>
        <v>0</v>
      </c>
      <c r="U32" s="11">
        <f t="shared" si="15"/>
        <v>4400</v>
      </c>
      <c r="V32" s="31">
        <f t="shared" si="16"/>
        <v>21340</v>
      </c>
      <c r="W32" s="284">
        <f t="shared" si="17"/>
        <v>20</v>
      </c>
      <c r="X32" s="126">
        <f t="shared" si="18"/>
        <v>21.176470588235293</v>
      </c>
      <c r="Y32" s="285">
        <f t="shared" si="19"/>
        <v>118.55555555555556</v>
      </c>
      <c r="Z32" s="285">
        <f t="shared" si="20"/>
        <v>2510.5882352941176</v>
      </c>
      <c r="AA32" s="344">
        <v>50</v>
      </c>
      <c r="AB32" s="285">
        <f t="shared" si="21"/>
        <v>1255.2941176470588</v>
      </c>
      <c r="AC32" s="285">
        <f t="shared" si="22"/>
        <v>7531.7647058823532</v>
      </c>
      <c r="AD32" s="1"/>
      <c r="AE32" s="285">
        <f t="shared" si="23"/>
        <v>8000</v>
      </c>
      <c r="AF32" s="335">
        <f t="shared" si="24"/>
        <v>8</v>
      </c>
      <c r="AG32" s="1">
        <v>0.4</v>
      </c>
      <c r="AH32" s="1">
        <v>1.5</v>
      </c>
      <c r="AI32" s="13">
        <f t="shared" si="25"/>
        <v>4.8484848484848486</v>
      </c>
      <c r="AJ32" s="1">
        <v>1.5</v>
      </c>
      <c r="AL32" s="339">
        <f t="shared" si="26"/>
        <v>3.6363636363636362</v>
      </c>
      <c r="AN32" s="339">
        <f t="shared" si="27"/>
        <v>1.2121212121212124</v>
      </c>
      <c r="AP32">
        <f t="shared" si="28"/>
        <v>94</v>
      </c>
      <c r="AS32" s="1" t="s">
        <v>162</v>
      </c>
      <c r="AT32" s="1">
        <f t="shared" si="29"/>
        <v>17600</v>
      </c>
      <c r="AU32" s="1">
        <f t="shared" si="30"/>
        <v>8800</v>
      </c>
      <c r="AV32" s="1">
        <f t="shared" si="31"/>
        <v>8.8000000000000007</v>
      </c>
      <c r="AW32" s="1">
        <v>1.2</v>
      </c>
      <c r="AX32" s="1">
        <v>1.5</v>
      </c>
      <c r="AY32" s="13">
        <f t="shared" si="32"/>
        <v>4.8888888888888893</v>
      </c>
      <c r="AZ32" s="13">
        <f t="shared" si="33"/>
        <v>5</v>
      </c>
      <c r="BA32" s="1" t="s">
        <v>261</v>
      </c>
      <c r="BD32" s="1">
        <f t="shared" si="34"/>
        <v>11.25</v>
      </c>
    </row>
    <row r="33" spans="1:56" x14ac:dyDescent="0.45">
      <c r="A33" s="1">
        <f t="shared" si="35"/>
        <v>13</v>
      </c>
      <c r="B33" s="1" t="s">
        <v>27</v>
      </c>
      <c r="C33" s="1" t="s">
        <v>163</v>
      </c>
      <c r="D33" s="1">
        <f t="shared" si="7"/>
        <v>12</v>
      </c>
      <c r="E33" s="1">
        <f t="shared" si="8"/>
        <v>102</v>
      </c>
      <c r="F33" s="80">
        <v>12</v>
      </c>
      <c r="G33" s="80">
        <v>0</v>
      </c>
      <c r="H33" s="80">
        <v>51</v>
      </c>
      <c r="I33" s="80">
        <v>0</v>
      </c>
      <c r="J33" s="127">
        <f t="shared" si="9"/>
        <v>5202</v>
      </c>
      <c r="K33" s="127">
        <f t="shared" si="10"/>
        <v>4416</v>
      </c>
      <c r="L33" s="11">
        <f t="shared" si="0"/>
        <v>6900</v>
      </c>
      <c r="M33" s="49">
        <f t="shared" si="11"/>
        <v>2</v>
      </c>
      <c r="N33" s="29">
        <f t="shared" si="12"/>
        <v>13800</v>
      </c>
      <c r="O33" s="55">
        <f t="shared" si="13"/>
        <v>3.125</v>
      </c>
      <c r="P33" s="51">
        <f t="shared" si="3"/>
        <v>4.5</v>
      </c>
      <c r="Q33" s="30">
        <f t="shared" si="14"/>
        <v>62100</v>
      </c>
      <c r="R33" s="53">
        <f t="shared" si="4"/>
        <v>4.8499999999999996</v>
      </c>
      <c r="S33" s="49">
        <f t="shared" si="5"/>
        <v>1</v>
      </c>
      <c r="T33" s="49">
        <f t="shared" si="6"/>
        <v>0</v>
      </c>
      <c r="U33" s="11">
        <f t="shared" si="15"/>
        <v>6900</v>
      </c>
      <c r="V33" s="31">
        <f t="shared" si="16"/>
        <v>33465</v>
      </c>
      <c r="W33" s="284">
        <f t="shared" si="17"/>
        <v>20</v>
      </c>
      <c r="X33" s="126">
        <f t="shared" si="18"/>
        <v>21.176470588235293</v>
      </c>
      <c r="Y33" s="285">
        <f t="shared" si="19"/>
        <v>185.91666666666666</v>
      </c>
      <c r="Z33" s="285">
        <f t="shared" si="20"/>
        <v>3937.0588235294113</v>
      </c>
      <c r="AA33" s="344">
        <v>50</v>
      </c>
      <c r="AB33" s="285">
        <f t="shared" si="21"/>
        <v>1968.5294117647056</v>
      </c>
      <c r="AC33" s="285">
        <f t="shared" si="22"/>
        <v>11811.176470588234</v>
      </c>
      <c r="AD33" s="1"/>
      <c r="AE33" s="285">
        <f t="shared" si="23"/>
        <v>12000</v>
      </c>
      <c r="AF33" s="335">
        <f t="shared" si="24"/>
        <v>12</v>
      </c>
      <c r="AG33" s="1">
        <v>0.4</v>
      </c>
      <c r="AH33" s="1">
        <v>1.5</v>
      </c>
      <c r="AI33" s="13">
        <f t="shared" si="25"/>
        <v>7.2727272727272725</v>
      </c>
      <c r="AJ33" s="1">
        <v>1.5</v>
      </c>
      <c r="AL33" s="339">
        <f t="shared" si="26"/>
        <v>5.4545454545454541</v>
      </c>
      <c r="AN33" s="339">
        <f t="shared" si="27"/>
        <v>1.8181818181818183</v>
      </c>
      <c r="AP33">
        <f t="shared" si="28"/>
        <v>102</v>
      </c>
      <c r="AS33" s="1" t="s">
        <v>163</v>
      </c>
      <c r="AT33" s="1">
        <f t="shared" si="29"/>
        <v>27600</v>
      </c>
      <c r="AU33" s="1">
        <f t="shared" si="30"/>
        <v>13800</v>
      </c>
      <c r="AV33" s="1">
        <f t="shared" si="31"/>
        <v>13.8</v>
      </c>
      <c r="AW33" s="1">
        <v>1.2</v>
      </c>
      <c r="AX33" s="1">
        <v>1.5</v>
      </c>
      <c r="AY33" s="13">
        <f t="shared" si="32"/>
        <v>7.6666666666666679</v>
      </c>
      <c r="AZ33" s="13">
        <f t="shared" si="33"/>
        <v>8</v>
      </c>
      <c r="BA33" s="1" t="s">
        <v>265</v>
      </c>
      <c r="BD33" s="1">
        <f t="shared" si="34"/>
        <v>18</v>
      </c>
    </row>
    <row r="34" spans="1:56" x14ac:dyDescent="0.45">
      <c r="A34" s="1">
        <f t="shared" si="35"/>
        <v>14</v>
      </c>
      <c r="B34" s="1" t="s">
        <v>27</v>
      </c>
      <c r="C34" s="1" t="s">
        <v>164</v>
      </c>
      <c r="D34" s="1">
        <f t="shared" si="7"/>
        <v>12</v>
      </c>
      <c r="E34" s="1">
        <f t="shared" si="8"/>
        <v>102</v>
      </c>
      <c r="F34" s="80">
        <v>12</v>
      </c>
      <c r="G34" s="80">
        <v>0</v>
      </c>
      <c r="H34" s="80">
        <v>51</v>
      </c>
      <c r="I34" s="80">
        <v>0</v>
      </c>
      <c r="J34" s="127">
        <f t="shared" si="9"/>
        <v>5202</v>
      </c>
      <c r="K34" s="127">
        <f t="shared" si="10"/>
        <v>4416</v>
      </c>
      <c r="L34" s="11">
        <f t="shared" si="0"/>
        <v>6900</v>
      </c>
      <c r="M34" s="49">
        <f t="shared" si="11"/>
        <v>2</v>
      </c>
      <c r="N34" s="29">
        <f t="shared" si="12"/>
        <v>13800</v>
      </c>
      <c r="O34" s="55">
        <f t="shared" si="13"/>
        <v>3.125</v>
      </c>
      <c r="P34" s="51">
        <f t="shared" si="3"/>
        <v>4.5</v>
      </c>
      <c r="Q34" s="30">
        <f t="shared" si="14"/>
        <v>62100</v>
      </c>
      <c r="R34" s="53">
        <f t="shared" si="4"/>
        <v>4.8499999999999996</v>
      </c>
      <c r="S34" s="49">
        <f t="shared" si="5"/>
        <v>1</v>
      </c>
      <c r="T34" s="49">
        <f t="shared" si="6"/>
        <v>0</v>
      </c>
      <c r="U34" s="11">
        <f t="shared" si="15"/>
        <v>6900</v>
      </c>
      <c r="V34" s="31">
        <f t="shared" si="16"/>
        <v>33465</v>
      </c>
      <c r="W34" s="284">
        <f t="shared" si="17"/>
        <v>20</v>
      </c>
      <c r="X34" s="126">
        <f t="shared" si="18"/>
        <v>21.176470588235293</v>
      </c>
      <c r="Y34" s="285">
        <f t="shared" si="19"/>
        <v>185.91666666666666</v>
      </c>
      <c r="Z34" s="285">
        <f t="shared" si="20"/>
        <v>3937.0588235294113</v>
      </c>
      <c r="AA34" s="344">
        <v>50</v>
      </c>
      <c r="AB34" s="285">
        <f t="shared" si="21"/>
        <v>1968.5294117647056</v>
      </c>
      <c r="AC34" s="285">
        <f t="shared" si="22"/>
        <v>11811.176470588234</v>
      </c>
      <c r="AD34" s="1"/>
      <c r="AE34" s="285">
        <f t="shared" si="23"/>
        <v>12000</v>
      </c>
      <c r="AF34" s="335">
        <f t="shared" si="24"/>
        <v>12</v>
      </c>
      <c r="AG34" s="1">
        <v>0.4</v>
      </c>
      <c r="AH34" s="1">
        <v>1.5</v>
      </c>
      <c r="AI34" s="13">
        <f t="shared" si="25"/>
        <v>7.2727272727272725</v>
      </c>
      <c r="AJ34" s="1">
        <v>1.5</v>
      </c>
      <c r="AL34" s="339">
        <f t="shared" si="26"/>
        <v>5.4545454545454541</v>
      </c>
      <c r="AN34" s="339">
        <f t="shared" si="27"/>
        <v>1.8181818181818183</v>
      </c>
      <c r="AP34">
        <f t="shared" si="28"/>
        <v>102</v>
      </c>
      <c r="AS34" s="1" t="s">
        <v>164</v>
      </c>
      <c r="AT34" s="1">
        <f t="shared" si="29"/>
        <v>27600</v>
      </c>
      <c r="AU34" s="1">
        <f t="shared" si="30"/>
        <v>13800</v>
      </c>
      <c r="AV34" s="1">
        <f t="shared" si="31"/>
        <v>13.8</v>
      </c>
      <c r="AW34" s="1">
        <v>1.2</v>
      </c>
      <c r="AX34" s="1">
        <v>1.5</v>
      </c>
      <c r="AY34" s="13">
        <f t="shared" si="32"/>
        <v>7.6666666666666679</v>
      </c>
      <c r="AZ34" s="13">
        <f t="shared" si="33"/>
        <v>8</v>
      </c>
      <c r="BA34" s="1" t="s">
        <v>265</v>
      </c>
      <c r="BD34" s="1">
        <f t="shared" si="34"/>
        <v>18</v>
      </c>
    </row>
    <row r="35" spans="1:56" x14ac:dyDescent="0.45">
      <c r="A35" s="1">
        <f t="shared" si="35"/>
        <v>15</v>
      </c>
      <c r="B35" s="1" t="s">
        <v>29</v>
      </c>
      <c r="C35" s="1" t="s">
        <v>165</v>
      </c>
      <c r="D35" s="1">
        <f t="shared" si="7"/>
        <v>12</v>
      </c>
      <c r="E35" s="1">
        <f t="shared" si="8"/>
        <v>102</v>
      </c>
      <c r="F35" s="80">
        <v>12</v>
      </c>
      <c r="G35" s="80">
        <v>0</v>
      </c>
      <c r="H35" s="80">
        <v>51</v>
      </c>
      <c r="I35" s="80">
        <v>0</v>
      </c>
      <c r="J35" s="127">
        <f t="shared" si="9"/>
        <v>5202</v>
      </c>
      <c r="K35" s="127">
        <f t="shared" si="10"/>
        <v>4416</v>
      </c>
      <c r="L35" s="11">
        <f t="shared" si="0"/>
        <v>6900</v>
      </c>
      <c r="M35" s="49">
        <f t="shared" si="11"/>
        <v>2</v>
      </c>
      <c r="N35" s="29">
        <f t="shared" si="12"/>
        <v>13800</v>
      </c>
      <c r="O35" s="55">
        <f t="shared" si="13"/>
        <v>3.125</v>
      </c>
      <c r="P35" s="51">
        <f t="shared" si="3"/>
        <v>4.5</v>
      </c>
      <c r="Q35" s="30">
        <f t="shared" si="14"/>
        <v>62100</v>
      </c>
      <c r="R35" s="53">
        <f t="shared" si="4"/>
        <v>4.8499999999999996</v>
      </c>
      <c r="S35" s="49">
        <f t="shared" si="5"/>
        <v>1</v>
      </c>
      <c r="T35" s="49">
        <f t="shared" si="6"/>
        <v>0</v>
      </c>
      <c r="U35" s="11">
        <f t="shared" si="15"/>
        <v>6900</v>
      </c>
      <c r="V35" s="31">
        <f t="shared" si="16"/>
        <v>33465</v>
      </c>
      <c r="W35" s="284">
        <f t="shared" si="17"/>
        <v>20</v>
      </c>
      <c r="X35" s="126">
        <f t="shared" si="18"/>
        <v>21.176470588235293</v>
      </c>
      <c r="Y35" s="285">
        <f t="shared" si="19"/>
        <v>185.91666666666666</v>
      </c>
      <c r="Z35" s="285">
        <f t="shared" si="20"/>
        <v>3937.0588235294113</v>
      </c>
      <c r="AA35" s="344">
        <v>50</v>
      </c>
      <c r="AB35" s="285">
        <f t="shared" si="21"/>
        <v>1968.5294117647056</v>
      </c>
      <c r="AC35" s="285">
        <f t="shared" si="22"/>
        <v>11811.176470588234</v>
      </c>
      <c r="AD35" s="1"/>
      <c r="AE35" s="285">
        <f t="shared" si="23"/>
        <v>12000</v>
      </c>
      <c r="AF35" s="335">
        <f t="shared" si="24"/>
        <v>12</v>
      </c>
      <c r="AG35" s="1">
        <v>0.4</v>
      </c>
      <c r="AH35" s="1">
        <v>1.5</v>
      </c>
      <c r="AI35" s="13">
        <f t="shared" si="25"/>
        <v>7.2727272727272725</v>
      </c>
      <c r="AJ35" s="1">
        <v>1.5</v>
      </c>
      <c r="AL35" s="339">
        <f t="shared" si="26"/>
        <v>5.4545454545454541</v>
      </c>
      <c r="AN35" s="339">
        <f t="shared" si="27"/>
        <v>1.8181818181818183</v>
      </c>
      <c r="AP35">
        <f t="shared" si="28"/>
        <v>102</v>
      </c>
      <c r="AS35" s="1" t="s">
        <v>165</v>
      </c>
      <c r="AT35" s="1">
        <f t="shared" si="29"/>
        <v>27600</v>
      </c>
      <c r="AU35" s="1">
        <f t="shared" si="30"/>
        <v>13800</v>
      </c>
      <c r="AV35" s="1">
        <f t="shared" si="31"/>
        <v>13.8</v>
      </c>
      <c r="AW35" s="1">
        <v>1.2</v>
      </c>
      <c r="AX35" s="1">
        <v>1.5</v>
      </c>
      <c r="AY35" s="13">
        <f t="shared" si="32"/>
        <v>7.6666666666666679</v>
      </c>
      <c r="AZ35" s="13">
        <f t="shared" si="33"/>
        <v>8</v>
      </c>
      <c r="BA35" s="1" t="s">
        <v>265</v>
      </c>
      <c r="BD35" s="1">
        <f t="shared" si="34"/>
        <v>18</v>
      </c>
    </row>
    <row r="36" spans="1:56" x14ac:dyDescent="0.45">
      <c r="A36" s="1">
        <f t="shared" si="35"/>
        <v>16</v>
      </c>
      <c r="B36" s="1" t="s">
        <v>29</v>
      </c>
      <c r="C36" s="1" t="s">
        <v>166</v>
      </c>
      <c r="D36" s="1">
        <f t="shared" si="7"/>
        <v>12</v>
      </c>
      <c r="E36" s="1">
        <f t="shared" si="8"/>
        <v>102</v>
      </c>
      <c r="F36" s="80">
        <v>12</v>
      </c>
      <c r="G36" s="80">
        <v>0</v>
      </c>
      <c r="H36" s="80">
        <v>51</v>
      </c>
      <c r="I36" s="80">
        <v>0</v>
      </c>
      <c r="J36" s="127">
        <f t="shared" si="9"/>
        <v>5202</v>
      </c>
      <c r="K36" s="127">
        <f t="shared" si="10"/>
        <v>4416</v>
      </c>
      <c r="L36" s="11">
        <f t="shared" si="0"/>
        <v>6900</v>
      </c>
      <c r="M36" s="49">
        <f t="shared" si="11"/>
        <v>2</v>
      </c>
      <c r="N36" s="29">
        <f t="shared" si="12"/>
        <v>13800</v>
      </c>
      <c r="O36" s="55">
        <f t="shared" si="13"/>
        <v>3.125</v>
      </c>
      <c r="P36" s="51">
        <f t="shared" si="3"/>
        <v>4.5</v>
      </c>
      <c r="Q36" s="30">
        <f t="shared" si="14"/>
        <v>62100</v>
      </c>
      <c r="R36" s="53">
        <f t="shared" si="4"/>
        <v>4.8499999999999996</v>
      </c>
      <c r="S36" s="49">
        <f t="shared" si="5"/>
        <v>1</v>
      </c>
      <c r="T36" s="49">
        <f t="shared" si="6"/>
        <v>0</v>
      </c>
      <c r="U36" s="11">
        <f t="shared" si="15"/>
        <v>6900</v>
      </c>
      <c r="V36" s="31">
        <f t="shared" si="16"/>
        <v>33465</v>
      </c>
      <c r="W36" s="284">
        <f t="shared" si="17"/>
        <v>20</v>
      </c>
      <c r="X36" s="126">
        <f t="shared" si="18"/>
        <v>21.176470588235293</v>
      </c>
      <c r="Y36" s="285">
        <f t="shared" si="19"/>
        <v>185.91666666666666</v>
      </c>
      <c r="Z36" s="285">
        <f t="shared" si="20"/>
        <v>3937.0588235294113</v>
      </c>
      <c r="AA36" s="344">
        <v>50</v>
      </c>
      <c r="AB36" s="285">
        <f t="shared" si="21"/>
        <v>1968.5294117647056</v>
      </c>
      <c r="AC36" s="285">
        <f t="shared" si="22"/>
        <v>11811.176470588234</v>
      </c>
      <c r="AD36" s="1"/>
      <c r="AE36" s="285">
        <f t="shared" si="23"/>
        <v>12000</v>
      </c>
      <c r="AF36" s="335">
        <f t="shared" si="24"/>
        <v>12</v>
      </c>
      <c r="AG36" s="1">
        <v>0.4</v>
      </c>
      <c r="AH36" s="1">
        <v>1.5</v>
      </c>
      <c r="AI36" s="13">
        <f t="shared" si="25"/>
        <v>7.2727272727272725</v>
      </c>
      <c r="AJ36" s="1">
        <v>1.5</v>
      </c>
      <c r="AL36" s="339">
        <f t="shared" si="26"/>
        <v>5.4545454545454541</v>
      </c>
      <c r="AN36" s="339">
        <f t="shared" si="27"/>
        <v>1.8181818181818183</v>
      </c>
      <c r="AP36">
        <f t="shared" si="28"/>
        <v>102</v>
      </c>
      <c r="AS36" s="1" t="s">
        <v>166</v>
      </c>
      <c r="AT36" s="1">
        <f t="shared" si="29"/>
        <v>27600</v>
      </c>
      <c r="AU36" s="1">
        <f t="shared" si="30"/>
        <v>13800</v>
      </c>
      <c r="AV36" s="1">
        <f t="shared" si="31"/>
        <v>13.8</v>
      </c>
      <c r="AW36" s="1">
        <v>1.2</v>
      </c>
      <c r="AX36" s="1">
        <v>1.5</v>
      </c>
      <c r="AY36" s="13">
        <f t="shared" si="32"/>
        <v>7.6666666666666679</v>
      </c>
      <c r="AZ36" s="13">
        <f t="shared" si="33"/>
        <v>8</v>
      </c>
      <c r="BA36" s="1" t="s">
        <v>265</v>
      </c>
      <c r="BD36" s="1">
        <f t="shared" si="34"/>
        <v>18</v>
      </c>
    </row>
    <row r="37" spans="1:56" x14ac:dyDescent="0.45">
      <c r="A37" s="1">
        <f t="shared" si="35"/>
        <v>17</v>
      </c>
      <c r="B37" s="1" t="s">
        <v>31</v>
      </c>
      <c r="C37" s="1" t="s">
        <v>167</v>
      </c>
      <c r="D37" s="1">
        <f t="shared" si="7"/>
        <v>12</v>
      </c>
      <c r="E37" s="1">
        <f t="shared" si="8"/>
        <v>102</v>
      </c>
      <c r="F37" s="80">
        <v>12</v>
      </c>
      <c r="G37" s="80">
        <v>0</v>
      </c>
      <c r="H37" s="80">
        <v>37</v>
      </c>
      <c r="I37" s="80">
        <v>0</v>
      </c>
      <c r="J37" s="127">
        <f t="shared" si="9"/>
        <v>3774</v>
      </c>
      <c r="K37" s="127">
        <f t="shared" si="10"/>
        <v>3072</v>
      </c>
      <c r="L37" s="11">
        <f t="shared" si="0"/>
        <v>4800</v>
      </c>
      <c r="M37" s="49">
        <f t="shared" si="11"/>
        <v>2</v>
      </c>
      <c r="N37" s="29">
        <f t="shared" si="12"/>
        <v>9600</v>
      </c>
      <c r="O37" s="55">
        <f t="shared" si="13"/>
        <v>3.125</v>
      </c>
      <c r="P37" s="51">
        <f t="shared" si="3"/>
        <v>4.5</v>
      </c>
      <c r="Q37" s="30">
        <f t="shared" si="14"/>
        <v>43200</v>
      </c>
      <c r="R37" s="53">
        <f t="shared" si="4"/>
        <v>4.8499999999999996</v>
      </c>
      <c r="S37" s="49">
        <f t="shared" si="5"/>
        <v>1</v>
      </c>
      <c r="T37" s="49">
        <f t="shared" si="6"/>
        <v>0</v>
      </c>
      <c r="U37" s="11">
        <f t="shared" si="15"/>
        <v>4800</v>
      </c>
      <c r="V37" s="31">
        <f t="shared" si="16"/>
        <v>23280</v>
      </c>
      <c r="W37" s="284">
        <f t="shared" si="17"/>
        <v>20</v>
      </c>
      <c r="X37" s="126">
        <f t="shared" si="18"/>
        <v>21.176470588235293</v>
      </c>
      <c r="Y37" s="285">
        <f t="shared" si="19"/>
        <v>129.33333333333334</v>
      </c>
      <c r="Z37" s="285">
        <f t="shared" si="20"/>
        <v>2738.8235294117649</v>
      </c>
      <c r="AA37" s="344">
        <v>50</v>
      </c>
      <c r="AB37" s="285">
        <f t="shared" si="21"/>
        <v>1369.4117647058824</v>
      </c>
      <c r="AC37" s="285">
        <f t="shared" si="22"/>
        <v>8216.4705882352937</v>
      </c>
      <c r="AD37" s="1"/>
      <c r="AE37" s="285">
        <f t="shared" si="23"/>
        <v>9000</v>
      </c>
      <c r="AF37" s="335">
        <f t="shared" si="24"/>
        <v>9</v>
      </c>
      <c r="AG37" s="1">
        <v>0.4</v>
      </c>
      <c r="AH37" s="1">
        <v>1.5</v>
      </c>
      <c r="AI37" s="13">
        <f t="shared" si="25"/>
        <v>5.4545454545454541</v>
      </c>
      <c r="AJ37" s="1">
        <v>1.5</v>
      </c>
      <c r="AL37" s="339">
        <f t="shared" si="26"/>
        <v>4.0909090909090908</v>
      </c>
      <c r="AN37" s="339">
        <f t="shared" si="27"/>
        <v>1.3636363636363633</v>
      </c>
      <c r="AP37">
        <f t="shared" si="28"/>
        <v>102</v>
      </c>
      <c r="AS37" s="1" t="s">
        <v>167</v>
      </c>
      <c r="AT37" s="1">
        <f t="shared" si="29"/>
        <v>19200</v>
      </c>
      <c r="AU37" s="1">
        <f t="shared" si="30"/>
        <v>9600</v>
      </c>
      <c r="AV37" s="1">
        <f t="shared" si="31"/>
        <v>9.6</v>
      </c>
      <c r="AW37" s="1">
        <v>1.2</v>
      </c>
      <c r="AX37" s="1">
        <v>1.5</v>
      </c>
      <c r="AY37" s="13">
        <f t="shared" si="32"/>
        <v>5.333333333333333</v>
      </c>
      <c r="AZ37" s="13">
        <f t="shared" si="33"/>
        <v>6</v>
      </c>
      <c r="BA37" s="1" t="s">
        <v>264</v>
      </c>
      <c r="BD37" s="1">
        <f t="shared" si="34"/>
        <v>13.5</v>
      </c>
    </row>
    <row r="38" spans="1:56" x14ac:dyDescent="0.45">
      <c r="A38" s="1">
        <f t="shared" si="35"/>
        <v>18</v>
      </c>
      <c r="B38" s="1" t="s">
        <v>31</v>
      </c>
      <c r="C38" s="1" t="s">
        <v>168</v>
      </c>
      <c r="D38" s="1">
        <f t="shared" si="7"/>
        <v>12</v>
      </c>
      <c r="E38" s="1">
        <f t="shared" si="8"/>
        <v>102</v>
      </c>
      <c r="F38" s="80">
        <v>12</v>
      </c>
      <c r="G38" s="80">
        <v>0</v>
      </c>
      <c r="H38" s="80">
        <v>37</v>
      </c>
      <c r="I38" s="80">
        <v>0</v>
      </c>
      <c r="J38" s="127">
        <f t="shared" si="9"/>
        <v>3774</v>
      </c>
      <c r="K38" s="127">
        <f t="shared" si="10"/>
        <v>3072</v>
      </c>
      <c r="L38" s="11">
        <f t="shared" si="0"/>
        <v>4800</v>
      </c>
      <c r="M38" s="49">
        <f t="shared" si="11"/>
        <v>2</v>
      </c>
      <c r="N38" s="29">
        <f t="shared" si="12"/>
        <v>9600</v>
      </c>
      <c r="O38" s="55">
        <f t="shared" si="13"/>
        <v>3.125</v>
      </c>
      <c r="P38" s="51">
        <f t="shared" si="3"/>
        <v>4.5</v>
      </c>
      <c r="Q38" s="30">
        <f t="shared" si="14"/>
        <v>43200</v>
      </c>
      <c r="R38" s="53">
        <f t="shared" si="4"/>
        <v>4.8499999999999996</v>
      </c>
      <c r="S38" s="49">
        <f t="shared" si="5"/>
        <v>1</v>
      </c>
      <c r="T38" s="49">
        <f t="shared" si="6"/>
        <v>0</v>
      </c>
      <c r="U38" s="11">
        <f t="shared" si="15"/>
        <v>4800</v>
      </c>
      <c r="V38" s="31">
        <f t="shared" si="16"/>
        <v>23280</v>
      </c>
      <c r="W38" s="284">
        <f t="shared" si="17"/>
        <v>20</v>
      </c>
      <c r="X38" s="126">
        <f t="shared" si="18"/>
        <v>21.176470588235293</v>
      </c>
      <c r="Y38" s="285">
        <f t="shared" si="19"/>
        <v>129.33333333333334</v>
      </c>
      <c r="Z38" s="285">
        <f t="shared" si="20"/>
        <v>2738.8235294117649</v>
      </c>
      <c r="AA38" s="344">
        <v>50</v>
      </c>
      <c r="AB38" s="285">
        <f t="shared" si="21"/>
        <v>1369.4117647058824</v>
      </c>
      <c r="AC38" s="285">
        <f t="shared" si="22"/>
        <v>8216.4705882352937</v>
      </c>
      <c r="AD38" s="1"/>
      <c r="AE38" s="285">
        <f t="shared" si="23"/>
        <v>9000</v>
      </c>
      <c r="AF38" s="335">
        <f t="shared" si="24"/>
        <v>9</v>
      </c>
      <c r="AG38" s="1">
        <v>0.4</v>
      </c>
      <c r="AH38" s="1">
        <v>1.5</v>
      </c>
      <c r="AI38" s="13">
        <f t="shared" si="25"/>
        <v>5.4545454545454541</v>
      </c>
      <c r="AJ38" s="1">
        <v>1.5</v>
      </c>
      <c r="AL38" s="339">
        <f t="shared" si="26"/>
        <v>4.0909090909090908</v>
      </c>
      <c r="AN38" s="339">
        <f t="shared" si="27"/>
        <v>1.3636363636363633</v>
      </c>
      <c r="AP38">
        <f t="shared" si="28"/>
        <v>102</v>
      </c>
      <c r="AS38" s="1" t="s">
        <v>168</v>
      </c>
      <c r="AT38" s="1">
        <f t="shared" si="29"/>
        <v>19200</v>
      </c>
      <c r="AU38" s="1">
        <f t="shared" si="30"/>
        <v>9600</v>
      </c>
      <c r="AV38" s="1">
        <f t="shared" si="31"/>
        <v>9.6</v>
      </c>
      <c r="AW38" s="1">
        <v>1.2</v>
      </c>
      <c r="AX38" s="1">
        <v>1.5</v>
      </c>
      <c r="AY38" s="13">
        <f t="shared" si="32"/>
        <v>5.333333333333333</v>
      </c>
      <c r="AZ38" s="13">
        <f t="shared" si="33"/>
        <v>6</v>
      </c>
      <c r="BA38" s="1" t="s">
        <v>264</v>
      </c>
      <c r="BD38" s="1">
        <f t="shared" si="34"/>
        <v>13.5</v>
      </c>
    </row>
    <row r="39" spans="1:56" x14ac:dyDescent="0.45">
      <c r="A39" s="1">
        <f t="shared" si="35"/>
        <v>19</v>
      </c>
      <c r="B39" s="1" t="s">
        <v>33</v>
      </c>
      <c r="C39" s="1" t="s">
        <v>169</v>
      </c>
      <c r="D39" s="1">
        <f t="shared" si="7"/>
        <v>12</v>
      </c>
      <c r="E39" s="1">
        <f t="shared" si="8"/>
        <v>102</v>
      </c>
      <c r="F39" s="80">
        <v>12</v>
      </c>
      <c r="G39" s="80">
        <v>0</v>
      </c>
      <c r="H39" s="80">
        <v>42</v>
      </c>
      <c r="I39" s="80">
        <v>0</v>
      </c>
      <c r="J39" s="127">
        <f t="shared" si="9"/>
        <v>4284</v>
      </c>
      <c r="K39" s="127">
        <f t="shared" si="10"/>
        <v>3456</v>
      </c>
      <c r="L39" s="11">
        <f t="shared" si="0"/>
        <v>5400</v>
      </c>
      <c r="M39" s="49">
        <f t="shared" si="11"/>
        <v>2</v>
      </c>
      <c r="N39" s="29">
        <f t="shared" si="12"/>
        <v>10800</v>
      </c>
      <c r="O39" s="55">
        <f t="shared" si="13"/>
        <v>3.125</v>
      </c>
      <c r="P39" s="51">
        <f t="shared" si="3"/>
        <v>4.5</v>
      </c>
      <c r="Q39" s="30">
        <f t="shared" si="14"/>
        <v>48600</v>
      </c>
      <c r="R39" s="53">
        <f t="shared" si="4"/>
        <v>4.8499999999999996</v>
      </c>
      <c r="S39" s="49">
        <f t="shared" si="5"/>
        <v>1</v>
      </c>
      <c r="T39" s="49">
        <f t="shared" si="6"/>
        <v>0</v>
      </c>
      <c r="U39" s="11">
        <f t="shared" si="15"/>
        <v>5400</v>
      </c>
      <c r="V39" s="31">
        <f t="shared" si="16"/>
        <v>26189.999999999996</v>
      </c>
      <c r="W39" s="284">
        <f t="shared" si="17"/>
        <v>20</v>
      </c>
      <c r="X39" s="126">
        <f t="shared" si="18"/>
        <v>21.176470588235293</v>
      </c>
      <c r="Y39" s="285">
        <f t="shared" si="19"/>
        <v>145.49999999999997</v>
      </c>
      <c r="Z39" s="285">
        <f t="shared" si="20"/>
        <v>3081.1764705882347</v>
      </c>
      <c r="AA39" s="344">
        <v>50</v>
      </c>
      <c r="AB39" s="285">
        <f t="shared" si="21"/>
        <v>1540.5882352941176</v>
      </c>
      <c r="AC39" s="285">
        <f t="shared" si="22"/>
        <v>9243.5294117647063</v>
      </c>
      <c r="AD39" s="1"/>
      <c r="AE39" s="285">
        <f t="shared" si="23"/>
        <v>10000</v>
      </c>
      <c r="AF39" s="335">
        <f t="shared" si="24"/>
        <v>10</v>
      </c>
      <c r="AG39" s="1">
        <v>0.4</v>
      </c>
      <c r="AH39" s="1">
        <v>1.5</v>
      </c>
      <c r="AI39" s="13">
        <f t="shared" si="25"/>
        <v>6.0606060606060597</v>
      </c>
      <c r="AJ39" s="1">
        <v>1.5</v>
      </c>
      <c r="AL39" s="339">
        <f t="shared" si="26"/>
        <v>4.545454545454545</v>
      </c>
      <c r="AN39" s="339">
        <f t="shared" si="27"/>
        <v>1.5151515151515147</v>
      </c>
      <c r="AP39">
        <f t="shared" si="28"/>
        <v>102</v>
      </c>
      <c r="AS39" s="1" t="s">
        <v>169</v>
      </c>
      <c r="AT39" s="1">
        <f t="shared" si="29"/>
        <v>21600</v>
      </c>
      <c r="AU39" s="1">
        <f t="shared" si="30"/>
        <v>10800</v>
      </c>
      <c r="AV39" s="1">
        <f t="shared" si="31"/>
        <v>10.8</v>
      </c>
      <c r="AW39" s="1">
        <v>1.2</v>
      </c>
      <c r="AX39" s="1">
        <v>1.5</v>
      </c>
      <c r="AY39" s="13">
        <f t="shared" si="32"/>
        <v>6.0000000000000009</v>
      </c>
      <c r="AZ39" s="13">
        <f t="shared" si="33"/>
        <v>6</v>
      </c>
      <c r="BA39" s="1" t="s">
        <v>264</v>
      </c>
      <c r="BD39" s="1">
        <f t="shared" si="34"/>
        <v>13.5</v>
      </c>
    </row>
    <row r="40" spans="1:56" x14ac:dyDescent="0.45">
      <c r="A40" s="1">
        <f t="shared" si="35"/>
        <v>20</v>
      </c>
      <c r="B40" s="1" t="s">
        <v>35</v>
      </c>
      <c r="C40" s="1" t="s">
        <v>170</v>
      </c>
      <c r="D40" s="1">
        <f t="shared" si="7"/>
        <v>12</v>
      </c>
      <c r="E40" s="1">
        <f t="shared" si="8"/>
        <v>102</v>
      </c>
      <c r="F40" s="80">
        <v>12</v>
      </c>
      <c r="G40" s="80">
        <v>0</v>
      </c>
      <c r="H40" s="80">
        <v>42</v>
      </c>
      <c r="I40" s="80">
        <v>0</v>
      </c>
      <c r="J40" s="127">
        <f t="shared" si="9"/>
        <v>4284</v>
      </c>
      <c r="K40" s="127">
        <f t="shared" si="10"/>
        <v>3456</v>
      </c>
      <c r="L40" s="11">
        <f t="shared" si="0"/>
        <v>5400</v>
      </c>
      <c r="M40" s="49">
        <f t="shared" si="11"/>
        <v>2</v>
      </c>
      <c r="N40" s="29">
        <f t="shared" si="12"/>
        <v>10800</v>
      </c>
      <c r="O40" s="55">
        <f t="shared" si="13"/>
        <v>3.125</v>
      </c>
      <c r="P40" s="51">
        <f t="shared" si="3"/>
        <v>4.5</v>
      </c>
      <c r="Q40" s="30">
        <f t="shared" si="14"/>
        <v>48600</v>
      </c>
      <c r="R40" s="53">
        <f t="shared" si="4"/>
        <v>4.8499999999999996</v>
      </c>
      <c r="S40" s="49">
        <f t="shared" si="5"/>
        <v>1</v>
      </c>
      <c r="T40" s="49">
        <f t="shared" si="6"/>
        <v>0</v>
      </c>
      <c r="U40" s="11">
        <f t="shared" si="15"/>
        <v>5400</v>
      </c>
      <c r="V40" s="31">
        <f t="shared" si="16"/>
        <v>26189.999999999996</v>
      </c>
      <c r="W40" s="284">
        <f t="shared" si="17"/>
        <v>20</v>
      </c>
      <c r="X40" s="126">
        <f t="shared" si="18"/>
        <v>21.176470588235293</v>
      </c>
      <c r="Y40" s="285">
        <f t="shared" si="19"/>
        <v>145.49999999999997</v>
      </c>
      <c r="Z40" s="285">
        <f t="shared" si="20"/>
        <v>3081.1764705882347</v>
      </c>
      <c r="AA40" s="344">
        <v>50</v>
      </c>
      <c r="AB40" s="285">
        <f t="shared" si="21"/>
        <v>1540.5882352941176</v>
      </c>
      <c r="AC40" s="285">
        <f t="shared" si="22"/>
        <v>9243.5294117647063</v>
      </c>
      <c r="AD40" s="1"/>
      <c r="AE40" s="285">
        <f t="shared" si="23"/>
        <v>10000</v>
      </c>
      <c r="AF40" s="335">
        <f t="shared" si="24"/>
        <v>10</v>
      </c>
      <c r="AG40" s="1">
        <v>0.4</v>
      </c>
      <c r="AH40" s="1">
        <v>1.5</v>
      </c>
      <c r="AI40" s="13">
        <f t="shared" si="25"/>
        <v>6.0606060606060597</v>
      </c>
      <c r="AJ40" s="1">
        <v>1.5</v>
      </c>
      <c r="AL40" s="339">
        <f t="shared" si="26"/>
        <v>4.545454545454545</v>
      </c>
      <c r="AN40" s="339">
        <f t="shared" si="27"/>
        <v>1.5151515151515147</v>
      </c>
      <c r="AP40">
        <f t="shared" si="28"/>
        <v>102</v>
      </c>
      <c r="AS40" s="1" t="s">
        <v>170</v>
      </c>
      <c r="AT40" s="1">
        <f t="shared" si="29"/>
        <v>21600</v>
      </c>
      <c r="AU40" s="1">
        <f t="shared" si="30"/>
        <v>10800</v>
      </c>
      <c r="AV40" s="1">
        <f t="shared" si="31"/>
        <v>10.8</v>
      </c>
      <c r="AW40" s="1">
        <v>1.2</v>
      </c>
      <c r="AX40" s="1">
        <v>1.5</v>
      </c>
      <c r="AY40" s="13">
        <f t="shared" si="32"/>
        <v>6.0000000000000009</v>
      </c>
      <c r="AZ40" s="13">
        <f t="shared" si="33"/>
        <v>6</v>
      </c>
      <c r="BA40" s="1" t="s">
        <v>264</v>
      </c>
      <c r="BD40" s="1">
        <f t="shared" si="34"/>
        <v>13.5</v>
      </c>
    </row>
    <row r="41" spans="1:56" x14ac:dyDescent="0.45">
      <c r="A41" s="1">
        <f t="shared" si="35"/>
        <v>21</v>
      </c>
      <c r="B41" s="1" t="s">
        <v>37</v>
      </c>
      <c r="C41" s="1" t="s">
        <v>171</v>
      </c>
      <c r="D41" s="1">
        <f t="shared" si="7"/>
        <v>12</v>
      </c>
      <c r="E41" s="1">
        <f t="shared" si="8"/>
        <v>102</v>
      </c>
      <c r="F41" s="80">
        <v>12</v>
      </c>
      <c r="G41" s="80">
        <v>0</v>
      </c>
      <c r="H41" s="80">
        <v>31</v>
      </c>
      <c r="I41" s="80">
        <v>0</v>
      </c>
      <c r="J41" s="127">
        <f t="shared" si="9"/>
        <v>3162</v>
      </c>
      <c r="K41" s="127">
        <f t="shared" si="10"/>
        <v>2496</v>
      </c>
      <c r="L41" s="11">
        <f t="shared" si="0"/>
        <v>3900</v>
      </c>
      <c r="M41" s="49">
        <f t="shared" si="11"/>
        <v>2</v>
      </c>
      <c r="N41" s="29">
        <f t="shared" si="12"/>
        <v>7800</v>
      </c>
      <c r="O41" s="55">
        <f t="shared" si="13"/>
        <v>3.125</v>
      </c>
      <c r="P41" s="51">
        <f t="shared" si="3"/>
        <v>4.5</v>
      </c>
      <c r="Q41" s="30">
        <f t="shared" si="14"/>
        <v>35100</v>
      </c>
      <c r="R41" s="53">
        <f t="shared" si="4"/>
        <v>4.8499999999999996</v>
      </c>
      <c r="S41" s="49">
        <f t="shared" si="5"/>
        <v>1</v>
      </c>
      <c r="T41" s="49">
        <f t="shared" si="6"/>
        <v>0</v>
      </c>
      <c r="U41" s="11">
        <f t="shared" si="15"/>
        <v>3900</v>
      </c>
      <c r="V41" s="31">
        <f t="shared" si="16"/>
        <v>18915</v>
      </c>
      <c r="W41" s="284">
        <f t="shared" si="17"/>
        <v>20</v>
      </c>
      <c r="X41" s="126">
        <f t="shared" si="18"/>
        <v>21.176470588235293</v>
      </c>
      <c r="Y41" s="285">
        <f t="shared" si="19"/>
        <v>105.08333333333333</v>
      </c>
      <c r="Z41" s="285">
        <f t="shared" si="20"/>
        <v>2225.2941176470586</v>
      </c>
      <c r="AA41" s="344">
        <v>50</v>
      </c>
      <c r="AB41" s="285">
        <f t="shared" si="21"/>
        <v>1112.6470588235293</v>
      </c>
      <c r="AC41" s="285">
        <f t="shared" si="22"/>
        <v>6675.8823529411757</v>
      </c>
      <c r="AD41" s="1"/>
      <c r="AE41" s="285">
        <f t="shared" si="23"/>
        <v>7000</v>
      </c>
      <c r="AF41" s="335">
        <f t="shared" si="24"/>
        <v>7</v>
      </c>
      <c r="AG41" s="1">
        <v>0.4</v>
      </c>
      <c r="AH41" s="1">
        <v>1.5</v>
      </c>
      <c r="AI41" s="13">
        <f t="shared" si="25"/>
        <v>4.2424242424242422</v>
      </c>
      <c r="AJ41" s="1">
        <v>1.5</v>
      </c>
      <c r="AL41" s="339">
        <f t="shared" si="26"/>
        <v>3.1818181818181817</v>
      </c>
      <c r="AN41" s="339">
        <f t="shared" si="27"/>
        <v>1.0606060606060606</v>
      </c>
      <c r="AP41">
        <f t="shared" si="28"/>
        <v>102</v>
      </c>
      <c r="AS41" s="1" t="s">
        <v>171</v>
      </c>
      <c r="AT41" s="1">
        <f t="shared" si="29"/>
        <v>15600</v>
      </c>
      <c r="AU41" s="1">
        <f t="shared" si="30"/>
        <v>7800</v>
      </c>
      <c r="AV41" s="1">
        <f t="shared" si="31"/>
        <v>7.8</v>
      </c>
      <c r="AW41" s="1">
        <v>1.2</v>
      </c>
      <c r="AX41" s="1">
        <v>1.5</v>
      </c>
      <c r="AY41" s="13">
        <f t="shared" si="32"/>
        <v>4.333333333333333</v>
      </c>
      <c r="AZ41" s="13">
        <f t="shared" si="33"/>
        <v>5</v>
      </c>
      <c r="BA41" s="1" t="s">
        <v>261</v>
      </c>
      <c r="BD41" s="1">
        <f t="shared" si="34"/>
        <v>11.25</v>
      </c>
    </row>
    <row r="42" spans="1:56" x14ac:dyDescent="0.45">
      <c r="A42" s="1">
        <f t="shared" si="35"/>
        <v>22</v>
      </c>
      <c r="B42" s="1" t="s">
        <v>37</v>
      </c>
      <c r="C42" s="1" t="s">
        <v>172</v>
      </c>
      <c r="D42" s="1">
        <f t="shared" si="7"/>
        <v>12</v>
      </c>
      <c r="E42" s="1">
        <f t="shared" si="8"/>
        <v>102</v>
      </c>
      <c r="F42" s="80">
        <v>12</v>
      </c>
      <c r="G42" s="80">
        <v>0</v>
      </c>
      <c r="H42" s="80">
        <v>31</v>
      </c>
      <c r="I42" s="80">
        <v>0</v>
      </c>
      <c r="J42" s="127">
        <f t="shared" si="9"/>
        <v>3162</v>
      </c>
      <c r="K42" s="127">
        <f t="shared" si="10"/>
        <v>2496</v>
      </c>
      <c r="L42" s="11">
        <f t="shared" si="0"/>
        <v>3900</v>
      </c>
      <c r="M42" s="49">
        <f t="shared" si="11"/>
        <v>2</v>
      </c>
      <c r="N42" s="29">
        <f t="shared" si="12"/>
        <v>7800</v>
      </c>
      <c r="O42" s="55">
        <f t="shared" si="13"/>
        <v>3.125</v>
      </c>
      <c r="P42" s="51">
        <f t="shared" si="3"/>
        <v>4.5</v>
      </c>
      <c r="Q42" s="30">
        <f t="shared" si="14"/>
        <v>35100</v>
      </c>
      <c r="R42" s="53">
        <f t="shared" si="4"/>
        <v>4.8499999999999996</v>
      </c>
      <c r="S42" s="49">
        <f t="shared" si="5"/>
        <v>1</v>
      </c>
      <c r="T42" s="49">
        <f t="shared" si="6"/>
        <v>0</v>
      </c>
      <c r="U42" s="11">
        <f t="shared" si="15"/>
        <v>3900</v>
      </c>
      <c r="V42" s="31">
        <f t="shared" si="16"/>
        <v>18915</v>
      </c>
      <c r="W42" s="284">
        <f t="shared" si="17"/>
        <v>20</v>
      </c>
      <c r="X42" s="126">
        <f t="shared" si="18"/>
        <v>21.176470588235293</v>
      </c>
      <c r="Y42" s="285">
        <f t="shared" si="19"/>
        <v>105.08333333333333</v>
      </c>
      <c r="Z42" s="285">
        <f t="shared" si="20"/>
        <v>2225.2941176470586</v>
      </c>
      <c r="AA42" s="344">
        <v>50</v>
      </c>
      <c r="AB42" s="285">
        <f t="shared" si="21"/>
        <v>1112.6470588235293</v>
      </c>
      <c r="AC42" s="285">
        <f t="shared" si="22"/>
        <v>6675.8823529411757</v>
      </c>
      <c r="AD42" s="1"/>
      <c r="AE42" s="285">
        <f t="shared" si="23"/>
        <v>7000</v>
      </c>
      <c r="AF42" s="335">
        <f t="shared" si="24"/>
        <v>7</v>
      </c>
      <c r="AG42" s="1">
        <v>0.4</v>
      </c>
      <c r="AH42" s="1">
        <v>1.5</v>
      </c>
      <c r="AI42" s="13">
        <f t="shared" si="25"/>
        <v>4.2424242424242422</v>
      </c>
      <c r="AJ42" s="1">
        <v>1.5</v>
      </c>
      <c r="AL42" s="339">
        <f t="shared" si="26"/>
        <v>3.1818181818181817</v>
      </c>
      <c r="AN42" s="339">
        <f t="shared" si="27"/>
        <v>1.0606060606060606</v>
      </c>
      <c r="AP42">
        <f t="shared" si="28"/>
        <v>102</v>
      </c>
      <c r="AS42" s="1" t="s">
        <v>172</v>
      </c>
      <c r="AT42" s="1">
        <f t="shared" si="29"/>
        <v>15600</v>
      </c>
      <c r="AU42" s="1">
        <f t="shared" si="30"/>
        <v>7800</v>
      </c>
      <c r="AV42" s="1">
        <f t="shared" si="31"/>
        <v>7.8</v>
      </c>
      <c r="AW42" s="1">
        <v>1.2</v>
      </c>
      <c r="AX42" s="1">
        <v>1.5</v>
      </c>
      <c r="AY42" s="13">
        <f t="shared" si="32"/>
        <v>4.333333333333333</v>
      </c>
      <c r="AZ42" s="13">
        <f t="shared" si="33"/>
        <v>5</v>
      </c>
      <c r="BA42" s="1" t="s">
        <v>261</v>
      </c>
      <c r="BD42" s="1">
        <f t="shared" si="34"/>
        <v>11.25</v>
      </c>
    </row>
    <row r="43" spans="1:56" x14ac:dyDescent="0.45">
      <c r="A43" s="1">
        <f t="shared" si="35"/>
        <v>23</v>
      </c>
      <c r="B43" s="1" t="s">
        <v>39</v>
      </c>
      <c r="C43" s="1" t="s">
        <v>173</v>
      </c>
      <c r="D43" s="1">
        <f t="shared" si="7"/>
        <v>12</v>
      </c>
      <c r="E43" s="1">
        <f t="shared" si="8"/>
        <v>102</v>
      </c>
      <c r="F43" s="80">
        <v>12</v>
      </c>
      <c r="G43" s="80">
        <v>0</v>
      </c>
      <c r="H43" s="80">
        <v>39</v>
      </c>
      <c r="I43" s="80">
        <v>0</v>
      </c>
      <c r="J43" s="127">
        <f t="shared" si="9"/>
        <v>3978</v>
      </c>
      <c r="K43" s="127">
        <f t="shared" si="10"/>
        <v>3264</v>
      </c>
      <c r="L43" s="11">
        <f t="shared" si="0"/>
        <v>5100</v>
      </c>
      <c r="M43" s="49">
        <f t="shared" si="11"/>
        <v>2</v>
      </c>
      <c r="N43" s="29">
        <f t="shared" si="12"/>
        <v>10200</v>
      </c>
      <c r="O43" s="55">
        <f t="shared" si="13"/>
        <v>3.125</v>
      </c>
      <c r="P43" s="51">
        <f t="shared" si="3"/>
        <v>4.5</v>
      </c>
      <c r="Q43" s="30">
        <f t="shared" si="14"/>
        <v>45900</v>
      </c>
      <c r="R43" s="53">
        <f t="shared" si="4"/>
        <v>4.8499999999999996</v>
      </c>
      <c r="S43" s="49">
        <f t="shared" si="5"/>
        <v>1</v>
      </c>
      <c r="T43" s="49">
        <f t="shared" si="6"/>
        <v>0</v>
      </c>
      <c r="U43" s="11">
        <f t="shared" si="15"/>
        <v>5100</v>
      </c>
      <c r="V43" s="31">
        <f t="shared" si="16"/>
        <v>24735</v>
      </c>
      <c r="W43" s="284">
        <f t="shared" si="17"/>
        <v>20</v>
      </c>
      <c r="X43" s="126">
        <f t="shared" si="18"/>
        <v>21.176470588235293</v>
      </c>
      <c r="Y43" s="285">
        <f t="shared" si="19"/>
        <v>137.41666666666666</v>
      </c>
      <c r="Z43" s="285">
        <f t="shared" si="20"/>
        <v>2909.9999999999995</v>
      </c>
      <c r="AA43" s="344">
        <v>50</v>
      </c>
      <c r="AB43" s="285">
        <f t="shared" si="21"/>
        <v>1454.9999999999998</v>
      </c>
      <c r="AC43" s="285">
        <f t="shared" si="22"/>
        <v>8729.9999999999982</v>
      </c>
      <c r="AD43" s="1"/>
      <c r="AE43" s="285">
        <f t="shared" si="23"/>
        <v>9000</v>
      </c>
      <c r="AF43" s="335">
        <f t="shared" si="24"/>
        <v>9</v>
      </c>
      <c r="AG43" s="1">
        <v>0.4</v>
      </c>
      <c r="AH43" s="1">
        <v>1.5</v>
      </c>
      <c r="AI43" s="13">
        <f t="shared" si="25"/>
        <v>5.4545454545454541</v>
      </c>
      <c r="AJ43" s="1">
        <v>1.5</v>
      </c>
      <c r="AL43" s="339">
        <f t="shared" si="26"/>
        <v>4.0909090909090908</v>
      </c>
      <c r="AN43" s="339">
        <f t="shared" si="27"/>
        <v>1.3636363636363633</v>
      </c>
      <c r="AP43">
        <f t="shared" si="28"/>
        <v>102</v>
      </c>
      <c r="AS43" s="1" t="s">
        <v>173</v>
      </c>
      <c r="AT43" s="1">
        <f t="shared" si="29"/>
        <v>20400</v>
      </c>
      <c r="AU43" s="1">
        <f t="shared" si="30"/>
        <v>10200</v>
      </c>
      <c r="AV43" s="1">
        <f t="shared" si="31"/>
        <v>10.199999999999999</v>
      </c>
      <c r="AW43" s="1">
        <v>1.2</v>
      </c>
      <c r="AX43" s="1">
        <v>1.5</v>
      </c>
      <c r="AY43" s="13">
        <f t="shared" si="32"/>
        <v>5.666666666666667</v>
      </c>
      <c r="AZ43" s="13">
        <f t="shared" si="33"/>
        <v>6</v>
      </c>
      <c r="BA43" s="1" t="s">
        <v>264</v>
      </c>
      <c r="BD43" s="1">
        <f t="shared" si="34"/>
        <v>13.5</v>
      </c>
    </row>
    <row r="44" spans="1:56" x14ac:dyDescent="0.45">
      <c r="A44" s="1">
        <f t="shared" si="35"/>
        <v>24</v>
      </c>
      <c r="B44" s="1" t="s">
        <v>39</v>
      </c>
      <c r="C44" s="1" t="s">
        <v>174</v>
      </c>
      <c r="D44" s="1">
        <f t="shared" si="7"/>
        <v>12</v>
      </c>
      <c r="E44" s="1">
        <f t="shared" si="8"/>
        <v>102</v>
      </c>
      <c r="F44" s="80">
        <v>12</v>
      </c>
      <c r="G44" s="80">
        <v>0</v>
      </c>
      <c r="H44" s="80">
        <v>39</v>
      </c>
      <c r="I44" s="80">
        <v>0</v>
      </c>
      <c r="J44" s="127">
        <f t="shared" si="9"/>
        <v>3978</v>
      </c>
      <c r="K44" s="127">
        <f t="shared" si="10"/>
        <v>3264</v>
      </c>
      <c r="L44" s="11">
        <f t="shared" si="0"/>
        <v>5100</v>
      </c>
      <c r="M44" s="49">
        <f t="shared" si="11"/>
        <v>2</v>
      </c>
      <c r="N44" s="29">
        <f t="shared" si="12"/>
        <v>10200</v>
      </c>
      <c r="O44" s="55">
        <f t="shared" si="13"/>
        <v>3.125</v>
      </c>
      <c r="P44" s="51">
        <f t="shared" si="3"/>
        <v>4.5</v>
      </c>
      <c r="Q44" s="30">
        <f t="shared" si="14"/>
        <v>45900</v>
      </c>
      <c r="R44" s="53">
        <f t="shared" si="4"/>
        <v>4.8499999999999996</v>
      </c>
      <c r="S44" s="49">
        <f t="shared" si="5"/>
        <v>1</v>
      </c>
      <c r="T44" s="49">
        <f t="shared" si="6"/>
        <v>0</v>
      </c>
      <c r="U44" s="11">
        <f t="shared" si="15"/>
        <v>5100</v>
      </c>
      <c r="V44" s="31">
        <f t="shared" si="16"/>
        <v>24735</v>
      </c>
      <c r="W44" s="284">
        <f t="shared" si="17"/>
        <v>20</v>
      </c>
      <c r="X44" s="126">
        <f t="shared" si="18"/>
        <v>21.176470588235293</v>
      </c>
      <c r="Y44" s="285">
        <f t="shared" si="19"/>
        <v>137.41666666666666</v>
      </c>
      <c r="Z44" s="285">
        <f t="shared" si="20"/>
        <v>2909.9999999999995</v>
      </c>
      <c r="AA44" s="344">
        <v>50</v>
      </c>
      <c r="AB44" s="285">
        <f t="shared" si="21"/>
        <v>1454.9999999999998</v>
      </c>
      <c r="AC44" s="285">
        <f t="shared" si="22"/>
        <v>8729.9999999999982</v>
      </c>
      <c r="AD44" s="1"/>
      <c r="AE44" s="285">
        <f t="shared" si="23"/>
        <v>9000</v>
      </c>
      <c r="AF44" s="335">
        <f t="shared" si="24"/>
        <v>9</v>
      </c>
      <c r="AG44" s="1">
        <v>0.4</v>
      </c>
      <c r="AH44" s="1">
        <v>1.5</v>
      </c>
      <c r="AI44" s="13">
        <f t="shared" si="25"/>
        <v>5.4545454545454541</v>
      </c>
      <c r="AJ44" s="1">
        <v>1.5</v>
      </c>
      <c r="AL44" s="339">
        <f t="shared" si="26"/>
        <v>4.0909090909090908</v>
      </c>
      <c r="AN44" s="339">
        <f t="shared" si="27"/>
        <v>1.3636363636363633</v>
      </c>
      <c r="AP44">
        <f t="shared" si="28"/>
        <v>102</v>
      </c>
      <c r="AS44" s="1" t="s">
        <v>174</v>
      </c>
      <c r="AT44" s="1">
        <f t="shared" si="29"/>
        <v>20400</v>
      </c>
      <c r="AU44" s="1">
        <f t="shared" si="30"/>
        <v>10200</v>
      </c>
      <c r="AV44" s="1">
        <f t="shared" si="31"/>
        <v>10.199999999999999</v>
      </c>
      <c r="AW44" s="1">
        <v>1.2</v>
      </c>
      <c r="AX44" s="1">
        <v>1.5</v>
      </c>
      <c r="AY44" s="13">
        <f t="shared" si="32"/>
        <v>5.666666666666667</v>
      </c>
      <c r="AZ44" s="13">
        <f t="shared" si="33"/>
        <v>6</v>
      </c>
      <c r="BA44" s="1" t="s">
        <v>264</v>
      </c>
      <c r="BD44" s="1">
        <f t="shared" si="34"/>
        <v>13.5</v>
      </c>
    </row>
    <row r="45" spans="1:56" x14ac:dyDescent="0.45">
      <c r="A45" s="1">
        <f t="shared" si="35"/>
        <v>25</v>
      </c>
      <c r="B45" s="1" t="s">
        <v>42</v>
      </c>
      <c r="C45" s="1" t="s">
        <v>175</v>
      </c>
      <c r="D45" s="1">
        <f t="shared" si="7"/>
        <v>8</v>
      </c>
      <c r="E45" s="1">
        <f t="shared" si="8"/>
        <v>70</v>
      </c>
      <c r="F45" s="80">
        <v>6</v>
      </c>
      <c r="G45" s="80">
        <v>2</v>
      </c>
      <c r="H45" s="80">
        <v>37</v>
      </c>
      <c r="I45" s="80">
        <v>33</v>
      </c>
      <c r="J45" s="127">
        <f t="shared" si="9"/>
        <v>2526</v>
      </c>
      <c r="K45" s="127">
        <f t="shared" si="10"/>
        <v>1984</v>
      </c>
      <c r="L45" s="11">
        <f t="shared" si="0"/>
        <v>3100</v>
      </c>
      <c r="M45" s="49">
        <f t="shared" si="11"/>
        <v>2</v>
      </c>
      <c r="N45" s="29">
        <f t="shared" si="12"/>
        <v>6200</v>
      </c>
      <c r="O45" s="55">
        <f t="shared" si="13"/>
        <v>3.125</v>
      </c>
      <c r="P45" s="51">
        <f t="shared" si="3"/>
        <v>4.5</v>
      </c>
      <c r="Q45" s="30">
        <f t="shared" si="14"/>
        <v>27900</v>
      </c>
      <c r="R45" s="53">
        <f t="shared" si="4"/>
        <v>4.8499999999999996</v>
      </c>
      <c r="S45" s="49">
        <f t="shared" si="5"/>
        <v>1</v>
      </c>
      <c r="T45" s="49">
        <f t="shared" si="6"/>
        <v>0</v>
      </c>
      <c r="U45" s="11">
        <f t="shared" si="15"/>
        <v>3100</v>
      </c>
      <c r="V45" s="31">
        <f t="shared" si="16"/>
        <v>15034.999999999998</v>
      </c>
      <c r="W45" s="284">
        <f t="shared" si="17"/>
        <v>20</v>
      </c>
      <c r="X45" s="126">
        <f t="shared" si="18"/>
        <v>21.176470588235293</v>
      </c>
      <c r="Y45" s="285">
        <f t="shared" si="19"/>
        <v>83.527777777777757</v>
      </c>
      <c r="Z45" s="285">
        <f t="shared" si="20"/>
        <v>1768.8235294117642</v>
      </c>
      <c r="AA45" s="344">
        <v>50</v>
      </c>
      <c r="AB45" s="285">
        <f t="shared" si="21"/>
        <v>884.41176470588209</v>
      </c>
      <c r="AC45" s="285">
        <f t="shared" si="22"/>
        <v>5306.4705882352928</v>
      </c>
      <c r="AD45" s="1"/>
      <c r="AE45" s="285">
        <f t="shared" si="23"/>
        <v>6000</v>
      </c>
      <c r="AF45" s="335">
        <f t="shared" si="24"/>
        <v>6</v>
      </c>
      <c r="AG45" s="1">
        <v>0.4</v>
      </c>
      <c r="AH45" s="1">
        <v>1.5</v>
      </c>
      <c r="AI45" s="13">
        <f t="shared" si="25"/>
        <v>3.6363636363636362</v>
      </c>
      <c r="AJ45" s="1">
        <v>1.5</v>
      </c>
      <c r="AL45" s="339">
        <f t="shared" si="26"/>
        <v>2.7272727272727271</v>
      </c>
      <c r="AN45" s="339">
        <f t="shared" si="27"/>
        <v>0.90909090909090917</v>
      </c>
      <c r="AP45">
        <f t="shared" si="28"/>
        <v>70</v>
      </c>
      <c r="AS45" s="1" t="s">
        <v>175</v>
      </c>
      <c r="AT45" s="1">
        <f t="shared" si="29"/>
        <v>12400</v>
      </c>
      <c r="AU45" s="1">
        <f t="shared" si="30"/>
        <v>6200</v>
      </c>
      <c r="AV45" s="1">
        <f t="shared" si="31"/>
        <v>6.2</v>
      </c>
      <c r="AW45" s="1">
        <v>1.2</v>
      </c>
      <c r="AX45" s="1">
        <v>1.5</v>
      </c>
      <c r="AY45" s="13">
        <f t="shared" si="32"/>
        <v>3.4444444444444446</v>
      </c>
      <c r="AZ45" s="13">
        <f t="shared" si="33"/>
        <v>4</v>
      </c>
      <c r="BA45" s="1" t="s">
        <v>264</v>
      </c>
      <c r="BD45" s="1">
        <f t="shared" si="34"/>
        <v>9</v>
      </c>
    </row>
    <row r="46" spans="1:56" x14ac:dyDescent="0.45">
      <c r="A46" s="1">
        <f t="shared" si="35"/>
        <v>26</v>
      </c>
      <c r="B46" s="1" t="s">
        <v>42</v>
      </c>
      <c r="C46" s="1" t="s">
        <v>176</v>
      </c>
      <c r="D46" s="1">
        <f t="shared" si="7"/>
        <v>8</v>
      </c>
      <c r="E46" s="1">
        <f t="shared" si="8"/>
        <v>70</v>
      </c>
      <c r="F46" s="80">
        <v>6</v>
      </c>
      <c r="G46" s="80">
        <v>2</v>
      </c>
      <c r="H46" s="80">
        <v>33</v>
      </c>
      <c r="I46" s="80">
        <v>5</v>
      </c>
      <c r="J46" s="127">
        <f t="shared" si="9"/>
        <v>1862</v>
      </c>
      <c r="K46" s="127">
        <f t="shared" si="10"/>
        <v>1344</v>
      </c>
      <c r="L46" s="11">
        <f t="shared" si="0"/>
        <v>2100</v>
      </c>
      <c r="M46" s="49">
        <f t="shared" si="11"/>
        <v>2</v>
      </c>
      <c r="N46" s="29">
        <f t="shared" si="12"/>
        <v>4200</v>
      </c>
      <c r="O46" s="55">
        <f t="shared" si="13"/>
        <v>3.125</v>
      </c>
      <c r="P46" s="51">
        <f t="shared" si="3"/>
        <v>4.5</v>
      </c>
      <c r="Q46" s="30">
        <f t="shared" si="14"/>
        <v>18900</v>
      </c>
      <c r="R46" s="53">
        <f t="shared" si="4"/>
        <v>4.8499999999999996</v>
      </c>
      <c r="S46" s="49">
        <f t="shared" si="5"/>
        <v>1</v>
      </c>
      <c r="T46" s="49">
        <f t="shared" si="6"/>
        <v>0</v>
      </c>
      <c r="U46" s="11">
        <f t="shared" si="15"/>
        <v>2100</v>
      </c>
      <c r="V46" s="31">
        <f t="shared" si="16"/>
        <v>10185</v>
      </c>
      <c r="W46" s="284">
        <f t="shared" si="17"/>
        <v>20</v>
      </c>
      <c r="X46" s="126">
        <f t="shared" si="18"/>
        <v>21.176470588235293</v>
      </c>
      <c r="Y46" s="285">
        <f t="shared" si="19"/>
        <v>56.583333333333336</v>
      </c>
      <c r="Z46" s="285">
        <f t="shared" si="20"/>
        <v>1198.2352941176471</v>
      </c>
      <c r="AA46" s="344">
        <v>50</v>
      </c>
      <c r="AB46" s="285">
        <f t="shared" si="21"/>
        <v>599.11764705882354</v>
      </c>
      <c r="AC46" s="285">
        <f t="shared" si="22"/>
        <v>3594.7058823529414</v>
      </c>
      <c r="AD46" s="1"/>
      <c r="AE46" s="285">
        <f t="shared" si="23"/>
        <v>4000</v>
      </c>
      <c r="AF46" s="335">
        <f t="shared" si="24"/>
        <v>4</v>
      </c>
      <c r="AG46" s="1">
        <v>0.4</v>
      </c>
      <c r="AH46" s="1">
        <v>1.5</v>
      </c>
      <c r="AI46" s="13">
        <f t="shared" si="25"/>
        <v>2.4242424242424243</v>
      </c>
      <c r="AJ46" s="1">
        <v>1.5</v>
      </c>
      <c r="AL46" s="339">
        <f t="shared" si="26"/>
        <v>1.8181818181818181</v>
      </c>
      <c r="AN46" s="339">
        <f t="shared" si="27"/>
        <v>0.60606060606060619</v>
      </c>
      <c r="AP46">
        <f t="shared" si="28"/>
        <v>70</v>
      </c>
      <c r="AS46" s="1" t="s">
        <v>176</v>
      </c>
      <c r="AT46" s="1">
        <f t="shared" si="29"/>
        <v>8400</v>
      </c>
      <c r="AU46" s="1">
        <f t="shared" si="30"/>
        <v>4200</v>
      </c>
      <c r="AV46" s="1">
        <f t="shared" si="31"/>
        <v>4.2</v>
      </c>
      <c r="AW46" s="1">
        <v>1.2</v>
      </c>
      <c r="AX46" s="1">
        <v>1.5</v>
      </c>
      <c r="AY46" s="13">
        <f t="shared" si="32"/>
        <v>2.3333333333333335</v>
      </c>
      <c r="AZ46" s="13">
        <f t="shared" si="33"/>
        <v>3</v>
      </c>
      <c r="BA46" s="1" t="s">
        <v>262</v>
      </c>
      <c r="BD46" s="1">
        <f t="shared" si="34"/>
        <v>6.75</v>
      </c>
    </row>
    <row r="47" spans="1:56" x14ac:dyDescent="0.45">
      <c r="A47" s="1"/>
      <c r="B47" s="1"/>
      <c r="C47" s="1"/>
      <c r="D47" s="1"/>
      <c r="E47" s="1"/>
      <c r="F47" s="80"/>
      <c r="G47" s="80"/>
      <c r="H47" s="80"/>
      <c r="I47" s="80"/>
      <c r="J47" s="127"/>
      <c r="K47" s="127"/>
      <c r="L47" s="11"/>
      <c r="M47" s="49"/>
      <c r="N47" s="29"/>
      <c r="O47" s="55"/>
      <c r="P47" s="51"/>
      <c r="Q47" s="30"/>
      <c r="R47" s="53"/>
      <c r="S47" s="49"/>
      <c r="T47" s="49"/>
      <c r="U47" s="11"/>
      <c r="V47" s="31"/>
      <c r="W47" s="284"/>
      <c r="X47" s="126"/>
      <c r="Y47" s="285"/>
      <c r="Z47" s="285"/>
      <c r="AA47" s="344"/>
      <c r="AB47" s="285"/>
      <c r="AC47" s="285"/>
      <c r="AD47" s="1"/>
      <c r="AE47" s="285"/>
      <c r="AF47" s="335"/>
      <c r="AG47" s="1"/>
      <c r="AH47" s="1"/>
      <c r="AI47" s="13"/>
      <c r="AJ47" s="1"/>
      <c r="AL47" s="339"/>
      <c r="AN47" s="339"/>
      <c r="AS47" s="1"/>
      <c r="AT47" s="1"/>
      <c r="AU47" s="1"/>
      <c r="AV47" s="1"/>
      <c r="AW47" s="1"/>
      <c r="AX47" s="1"/>
      <c r="AY47" s="13"/>
      <c r="AZ47" s="13"/>
      <c r="BA47" s="1"/>
      <c r="BD47" s="1"/>
    </row>
    <row r="48" spans="1:56" ht="14.65" thickBot="1" x14ac:dyDescent="0.5">
      <c r="A48" s="34"/>
      <c r="B48" s="34"/>
      <c r="C48" s="34"/>
      <c r="D48" s="34"/>
      <c r="E48" s="34"/>
      <c r="F48" s="81"/>
      <c r="G48" s="81"/>
      <c r="H48" s="81"/>
      <c r="I48" s="81"/>
      <c r="J48" s="128"/>
      <c r="K48" s="128"/>
      <c r="L48" s="38"/>
      <c r="M48" s="50"/>
      <c r="N48" s="36"/>
      <c r="O48" s="101"/>
      <c r="P48" s="52"/>
      <c r="Q48" s="37"/>
      <c r="R48" s="54"/>
      <c r="S48" s="50"/>
      <c r="T48" s="50"/>
      <c r="U48" s="38"/>
      <c r="V48" s="39"/>
      <c r="W48" s="286"/>
      <c r="X48" s="287"/>
      <c r="Y48" s="288"/>
      <c r="Z48" s="288"/>
      <c r="AA48" s="345"/>
      <c r="AB48" s="288"/>
      <c r="AC48" s="288"/>
      <c r="AD48" s="34"/>
      <c r="AE48" s="288"/>
      <c r="AF48" s="337"/>
      <c r="AG48" s="34"/>
      <c r="AH48" s="34"/>
      <c r="AI48" s="338"/>
      <c r="AJ48" s="34"/>
      <c r="AK48" s="348"/>
      <c r="AL48" s="382"/>
      <c r="AN48" s="339"/>
      <c r="AS48" s="34"/>
      <c r="AT48" s="34"/>
      <c r="AU48" s="34"/>
      <c r="AV48" s="34"/>
      <c r="AW48" s="34"/>
      <c r="AX48" s="34"/>
      <c r="AY48" s="338"/>
      <c r="AZ48" s="338"/>
      <c r="BA48" s="34"/>
      <c r="BD48" s="1"/>
    </row>
    <row r="49" spans="1:56" s="1" customFormat="1" ht="14.65" thickTop="1" x14ac:dyDescent="0.45">
      <c r="A49" s="42"/>
      <c r="B49" s="42"/>
      <c r="C49" s="42"/>
      <c r="D49" s="42">
        <f>SUM(D21:D48)</f>
        <v>280</v>
      </c>
      <c r="E49" s="42"/>
      <c r="F49" s="42"/>
      <c r="G49" s="42"/>
      <c r="H49" s="42"/>
      <c r="I49" s="42"/>
      <c r="J49" s="8">
        <f>SUM(J21:J48)</f>
        <v>100612</v>
      </c>
      <c r="K49" s="8">
        <f>SUM(K21:K48)</f>
        <v>82368</v>
      </c>
      <c r="L49" s="42">
        <f>SUM(L21:L48)</f>
        <v>128700</v>
      </c>
      <c r="M49" s="8"/>
      <c r="N49" s="10">
        <f>SUM(N21:N48)</f>
        <v>257400</v>
      </c>
      <c r="O49" s="10"/>
      <c r="P49" s="42"/>
      <c r="Q49" s="43">
        <f>SUM(Q21:Q48)</f>
        <v>1158300</v>
      </c>
      <c r="R49" s="42"/>
      <c r="S49" s="42"/>
      <c r="T49" s="42"/>
      <c r="U49" s="10">
        <f>SUM(U21:U48)</f>
        <v>128700</v>
      </c>
      <c r="V49" s="42"/>
      <c r="W49" s="42"/>
      <c r="X49" s="42"/>
      <c r="Y49" s="42"/>
      <c r="Z49" s="42"/>
      <c r="AA49"/>
      <c r="AB49" s="77"/>
      <c r="AF49" s="336">
        <f>SUM(AF21:AF48)</f>
        <v>233</v>
      </c>
      <c r="AI49" s="13"/>
      <c r="AP49" s="1">
        <f>SUM(AP21:AP48)</f>
        <v>2396</v>
      </c>
      <c r="AT49" s="1">
        <f>MAX(AT21:AT48)</f>
        <v>27600</v>
      </c>
      <c r="AV49" s="1">
        <f t="shared" si="31"/>
        <v>0</v>
      </c>
      <c r="AZ49" s="42">
        <f>SUBTOTAL(2,AZ21:AZ48)</f>
        <v>26</v>
      </c>
      <c r="BD49" s="42">
        <f>SUM(BD21:BD48)</f>
        <v>348.75</v>
      </c>
    </row>
    <row r="50" spans="1:56" x14ac:dyDescent="0.45">
      <c r="D50" s="1"/>
      <c r="J50" s="129">
        <f>J49/4047</f>
        <v>24.860884605880898</v>
      </c>
      <c r="K50" s="129">
        <f>K49/4047</f>
        <v>20.352853965900668</v>
      </c>
      <c r="L50" s="4"/>
      <c r="M50" s="1"/>
      <c r="AT50" s="1">
        <f>MIN(AT21:AT48)</f>
        <v>8400</v>
      </c>
    </row>
    <row r="52" spans="1:56" ht="21.4" thickBot="1" x14ac:dyDescent="0.7">
      <c r="A52" s="563" t="s">
        <v>177</v>
      </c>
      <c r="B52" s="564"/>
      <c r="C52" s="564"/>
      <c r="D52" s="564"/>
      <c r="E52" s="564"/>
      <c r="F52" s="564"/>
      <c r="G52" s="564"/>
      <c r="H52" s="564"/>
      <c r="I52" s="564"/>
      <c r="J52" s="564"/>
      <c r="K52" s="564"/>
      <c r="L52" s="564"/>
      <c r="M52" s="564"/>
      <c r="N52" s="564"/>
    </row>
    <row r="53" spans="1:56" ht="43.15" thickBot="1" x14ac:dyDescent="0.5">
      <c r="A53" s="289" t="s">
        <v>178</v>
      </c>
      <c r="B53" s="290" t="s">
        <v>179</v>
      </c>
      <c r="C53" s="290" t="s">
        <v>180</v>
      </c>
      <c r="D53" s="290" t="s">
        <v>181</v>
      </c>
      <c r="E53" s="290" t="s">
        <v>182</v>
      </c>
      <c r="F53" s="290" t="s">
        <v>183</v>
      </c>
      <c r="G53" s="290" t="s">
        <v>86</v>
      </c>
      <c r="H53" s="290" t="s">
        <v>94</v>
      </c>
      <c r="I53" s="290" t="s">
        <v>129</v>
      </c>
      <c r="J53" s="290" t="s">
        <v>132</v>
      </c>
      <c r="K53" s="290" t="s">
        <v>266</v>
      </c>
      <c r="L53" s="340" t="s">
        <v>267</v>
      </c>
      <c r="M53" s="481" t="s">
        <v>268</v>
      </c>
      <c r="N53" s="481" t="s">
        <v>269</v>
      </c>
    </row>
    <row r="54" spans="1:56" x14ac:dyDescent="0.45">
      <c r="A54" s="1">
        <v>1</v>
      </c>
      <c r="B54" s="1" t="s">
        <v>199</v>
      </c>
      <c r="C54" s="80" t="s">
        <v>151</v>
      </c>
      <c r="D54" s="80"/>
      <c r="E54" s="80"/>
      <c r="F54" s="80"/>
      <c r="G54" s="1">
        <f t="shared" ref="G54:G79" si="36">IF($C54&gt;0,VLOOKUP($C54,$C$21:$Z$48,2,FALSE),0)+ IF(D54&gt;0,VLOOKUP($D54,$C$21:$Z$48,2,FALSE),0)+IF($E54&gt;0,VLOOKUP($E54,$C$21:$Z$48,2,TRUE),0)+IF($F54&gt;0,VLOOKUP($F54,$C$21:$Z$48,2,TRUE),0)</f>
        <v>9</v>
      </c>
      <c r="H54" s="4">
        <f t="shared" ref="H54:H79" si="37">IF($C54&gt;0,VLOOKUP($C54,$C$21:$Z$48,9,FALSE),0)+ IF(D54&gt;0,VLOOKUP($D54,$C$21:$Z$48,9,FALSE),0)+IF($E54&gt;0,VLOOKUP($E54,$C$21:$Z$48,9,TRUE),0)+IF($F54&gt;0,VLOOKUP($F54,$C$21:$Z$48,9,TRUE),0)</f>
        <v>2400</v>
      </c>
      <c r="I54" s="29">
        <f t="shared" ref="I54:I79" si="38">IF($C54&gt;0,VLOOKUP($C54,$C$21:$Z$48,12,FALSE),0)+ IF(D54&gt;0,VLOOKUP($D54,$C$21:$Z$48,12,FALSE),0)+IF($E54&gt;0,VLOOKUP($E54,$C$21:$Z$48,12,TRUE),0)+IF($F54&gt;0,VLOOKUP($F54,$C$21:$Z$48,12,TRUE),0)</f>
        <v>7500</v>
      </c>
      <c r="J54" s="30">
        <f t="shared" ref="J54:J79" si="39">IF($C54&gt;0,VLOOKUP($C54,$C$21:$Z$48,15,FALSE),0)+ IF(D54&gt;0,VLOOKUP($D54,$C$21:$Z$48,15,FALSE),0)+IF($E54&gt;0,VLOOKUP($E54,$C$21:$Z$48,15,TRUE),0)+IF($F54&gt;0,VLOOKUP($F54,$C$21:$Z$48,15,TRUE),0)</f>
        <v>33750</v>
      </c>
      <c r="K54" s="11">
        <f t="shared" ref="K54:K79" si="40">IF($C54&gt;0,VLOOKUP($C54,$C$21:$Z$48,19,FALSE),0)+ IF(D54&gt;0,VLOOKUP($D54,$C$21:$Z$48,19,FALSE),0)+IF($E54&gt;0,VLOOKUP($E54,$C$21:$Z$48,19,TRUE),0)+IF($F54&gt;0,VLOOKUP($F54,$C$21:$Z$48,19,TRUE),0)</f>
        <v>3750</v>
      </c>
      <c r="L54" s="31">
        <f t="shared" ref="L54:L79" si="41">IF($C54&gt;0,VLOOKUP($C54,$C$21:$Z$48,20,FALSE),0)+ IF(D54&gt;0,VLOOKUP($D54,$C$21:$Z$48,20,FALSE),0)+IF($E54&gt;0,VLOOKUP($E54,$C$21:$Z$48,20,TRUE),0)+IF($F54&gt;0,VLOOKUP($F54,$C$21:$Z$48,20,TRUE),0)</f>
        <v>18187.5</v>
      </c>
      <c r="M54" s="285">
        <f>IF($C54&gt;0,VLOOKUP($C54,$C$21:$AC$48,26,FALSE),0)+ IF(D54&gt;0,VLOOKUP($D54,$C$21:$AC$48,26,FALSE),0)+IF($E54&gt;0,VLOOKUP($E54,$C$21:$AC$48,26,TRUE),0)+IF($F54&gt;0,VLOOKUP($F54,$C$21:$AC$48,26,TRUE),0)</f>
        <v>1069.8529411764705</v>
      </c>
      <c r="N54" s="285">
        <f>IF($C54&gt;0,VLOOKUP($C54,$C$21:$AC$48,27,FALSE),0)+ IF(D54&gt;0,VLOOKUP($D54,$C$21:$AC$48,27,FALSE),0)+IF($E54&gt;0,VLOOKUP($E54,$C$21:$AC$48,27,TRUE),0)+IF($F54&gt;0,VLOOKUP($F54,$C$21:$AC$48,27,TRUE),0)</f>
        <v>6419.1176470588234</v>
      </c>
    </row>
    <row r="55" spans="1:56" x14ac:dyDescent="0.45">
      <c r="A55" s="1">
        <v>1</v>
      </c>
      <c r="B55" s="1" t="s">
        <v>186</v>
      </c>
      <c r="C55" s="80" t="s">
        <v>152</v>
      </c>
      <c r="D55" s="80"/>
      <c r="E55" s="80"/>
      <c r="F55" s="80"/>
      <c r="G55" s="1">
        <f t="shared" si="36"/>
        <v>10</v>
      </c>
      <c r="H55" s="4">
        <f t="shared" si="37"/>
        <v>3616</v>
      </c>
      <c r="I55" s="29">
        <f t="shared" si="38"/>
        <v>11300</v>
      </c>
      <c r="J55" s="30">
        <f t="shared" si="39"/>
        <v>50850</v>
      </c>
      <c r="K55" s="11">
        <f t="shared" si="40"/>
        <v>5650</v>
      </c>
      <c r="L55" s="31">
        <f t="shared" si="41"/>
        <v>27402.499999999996</v>
      </c>
      <c r="M55" s="285">
        <f t="shared" ref="M55:M79" si="42">IF($C55&gt;0,VLOOKUP($C55,$C$21:$AC$48,26,FALSE),0)+ IF(D55&gt;0,VLOOKUP($D55,$C$21:$AC$48,26,FALSE),0)+IF($E55&gt;0,VLOOKUP($E55,$C$21:$AC$48,26,TRUE),0)+IF($F55&gt;0,VLOOKUP($F55,$C$21:$AC$48,26,TRUE),0)</f>
        <v>1611.911764705882</v>
      </c>
      <c r="N55" s="285">
        <f t="shared" ref="N55:N79" si="43">IF($C55&gt;0,VLOOKUP($C55,$C$21:$AC$48,27,FALSE),0)+ IF(D55&gt;0,VLOOKUP($D55,$C$21:$AC$48,27,FALSE),0)+IF($E55&gt;0,VLOOKUP($E55,$C$21:$AC$48,27,TRUE),0)+IF($F55&gt;0,VLOOKUP($F55,$C$21:$AC$48,27,TRUE),0)</f>
        <v>9671.4705882352919</v>
      </c>
    </row>
    <row r="56" spans="1:56" x14ac:dyDescent="0.45">
      <c r="A56" s="1">
        <v>1</v>
      </c>
      <c r="B56" s="1" t="s">
        <v>200</v>
      </c>
      <c r="C56" s="80" t="s">
        <v>153</v>
      </c>
      <c r="D56" s="80"/>
      <c r="E56" s="80"/>
      <c r="F56" s="80"/>
      <c r="G56" s="1">
        <f t="shared" si="36"/>
        <v>10</v>
      </c>
      <c r="H56" s="4">
        <f t="shared" si="37"/>
        <v>3680</v>
      </c>
      <c r="I56" s="29">
        <f t="shared" si="38"/>
        <v>11500</v>
      </c>
      <c r="J56" s="30">
        <f t="shared" si="39"/>
        <v>51750</v>
      </c>
      <c r="K56" s="11">
        <f t="shared" si="40"/>
        <v>5750</v>
      </c>
      <c r="L56" s="31">
        <f t="shared" si="41"/>
        <v>27887.499999999996</v>
      </c>
      <c r="M56" s="285">
        <f t="shared" si="42"/>
        <v>1640.4411764705881</v>
      </c>
      <c r="N56" s="285">
        <f t="shared" si="43"/>
        <v>9842.6470588235279</v>
      </c>
    </row>
    <row r="57" spans="1:56" x14ac:dyDescent="0.45">
      <c r="A57" s="1">
        <v>1</v>
      </c>
      <c r="B57" s="1" t="s">
        <v>187</v>
      </c>
      <c r="C57" s="80" t="s">
        <v>154</v>
      </c>
      <c r="D57" s="80"/>
      <c r="E57" s="80"/>
      <c r="F57" s="80"/>
      <c r="G57" s="1">
        <f t="shared" si="36"/>
        <v>9</v>
      </c>
      <c r="H57" s="4">
        <f t="shared" si="37"/>
        <v>3744</v>
      </c>
      <c r="I57" s="29">
        <f t="shared" si="38"/>
        <v>11700</v>
      </c>
      <c r="J57" s="30">
        <f t="shared" si="39"/>
        <v>52650</v>
      </c>
      <c r="K57" s="11">
        <f t="shared" si="40"/>
        <v>5850</v>
      </c>
      <c r="L57" s="31">
        <f t="shared" si="41"/>
        <v>28372.499999999996</v>
      </c>
      <c r="M57" s="285">
        <f t="shared" si="42"/>
        <v>1668.9705882352937</v>
      </c>
      <c r="N57" s="285">
        <f t="shared" si="43"/>
        <v>10013.823529411762</v>
      </c>
    </row>
    <row r="58" spans="1:56" x14ac:dyDescent="0.45">
      <c r="A58" s="1">
        <v>1</v>
      </c>
      <c r="B58" s="1" t="s">
        <v>188</v>
      </c>
      <c r="C58" s="80" t="s">
        <v>155</v>
      </c>
      <c r="D58" s="80"/>
      <c r="E58" s="80"/>
      <c r="F58" s="80"/>
      <c r="G58" s="1">
        <f t="shared" si="36"/>
        <v>10</v>
      </c>
      <c r="H58" s="4">
        <f t="shared" si="37"/>
        <v>3680</v>
      </c>
      <c r="I58" s="29">
        <f t="shared" si="38"/>
        <v>11500</v>
      </c>
      <c r="J58" s="30">
        <f t="shared" si="39"/>
        <v>51750</v>
      </c>
      <c r="K58" s="11">
        <f t="shared" si="40"/>
        <v>5750</v>
      </c>
      <c r="L58" s="31">
        <f t="shared" si="41"/>
        <v>27887.499999999996</v>
      </c>
      <c r="M58" s="285">
        <f t="shared" si="42"/>
        <v>1640.4411764705881</v>
      </c>
      <c r="N58" s="285">
        <f t="shared" si="43"/>
        <v>9842.6470588235279</v>
      </c>
    </row>
    <row r="59" spans="1:56" x14ac:dyDescent="0.45">
      <c r="A59" s="1">
        <v>1</v>
      </c>
      <c r="B59" s="1" t="s">
        <v>3</v>
      </c>
      <c r="C59" s="80" t="s">
        <v>156</v>
      </c>
      <c r="D59" s="80"/>
      <c r="E59" s="80"/>
      <c r="F59" s="80"/>
      <c r="G59" s="1">
        <f t="shared" si="36"/>
        <v>10</v>
      </c>
      <c r="H59" s="4">
        <f t="shared" si="37"/>
        <v>3680</v>
      </c>
      <c r="I59" s="29">
        <f t="shared" si="38"/>
        <v>11500</v>
      </c>
      <c r="J59" s="30">
        <f t="shared" si="39"/>
        <v>51750</v>
      </c>
      <c r="K59" s="11">
        <f t="shared" si="40"/>
        <v>5750</v>
      </c>
      <c r="L59" s="31">
        <f t="shared" si="41"/>
        <v>27887.499999999996</v>
      </c>
      <c r="M59" s="285">
        <f t="shared" si="42"/>
        <v>1640.4411764705881</v>
      </c>
      <c r="N59" s="285">
        <f t="shared" si="43"/>
        <v>9842.6470588235279</v>
      </c>
    </row>
    <row r="60" spans="1:56" x14ac:dyDescent="0.45">
      <c r="A60" s="1">
        <v>2</v>
      </c>
      <c r="B60" s="1" t="s">
        <v>189</v>
      </c>
      <c r="C60" s="80" t="s">
        <v>157</v>
      </c>
      <c r="D60" s="80"/>
      <c r="E60" s="80"/>
      <c r="F60" s="80"/>
      <c r="G60" s="1">
        <f t="shared" si="36"/>
        <v>10</v>
      </c>
      <c r="H60" s="4">
        <f t="shared" si="37"/>
        <v>2720</v>
      </c>
      <c r="I60" s="29">
        <f t="shared" si="38"/>
        <v>8500</v>
      </c>
      <c r="J60" s="30">
        <f t="shared" si="39"/>
        <v>38250</v>
      </c>
      <c r="K60" s="11">
        <f t="shared" si="40"/>
        <v>4250</v>
      </c>
      <c r="L60" s="31">
        <f t="shared" si="41"/>
        <v>20612.5</v>
      </c>
      <c r="M60" s="285">
        <f t="shared" si="42"/>
        <v>1212.5</v>
      </c>
      <c r="N60" s="285">
        <f t="shared" si="43"/>
        <v>7275</v>
      </c>
    </row>
    <row r="61" spans="1:56" x14ac:dyDescent="0.45">
      <c r="A61" s="1">
        <v>2</v>
      </c>
      <c r="B61" s="1" t="s">
        <v>190</v>
      </c>
      <c r="C61" s="80" t="s">
        <v>158</v>
      </c>
      <c r="D61" s="80"/>
      <c r="E61" s="80"/>
      <c r="F61" s="80"/>
      <c r="G61" s="1">
        <f t="shared" si="36"/>
        <v>10</v>
      </c>
      <c r="H61" s="4">
        <f t="shared" si="37"/>
        <v>2720</v>
      </c>
      <c r="I61" s="29">
        <f t="shared" si="38"/>
        <v>8500</v>
      </c>
      <c r="J61" s="30">
        <f t="shared" si="39"/>
        <v>38250</v>
      </c>
      <c r="K61" s="11">
        <f t="shared" si="40"/>
        <v>4250</v>
      </c>
      <c r="L61" s="31">
        <f t="shared" si="41"/>
        <v>20612.5</v>
      </c>
      <c r="M61" s="285">
        <f t="shared" si="42"/>
        <v>1212.5</v>
      </c>
      <c r="N61" s="285">
        <f t="shared" si="43"/>
        <v>7275</v>
      </c>
    </row>
    <row r="62" spans="1:56" x14ac:dyDescent="0.45">
      <c r="A62" s="1">
        <v>2</v>
      </c>
      <c r="B62" s="1" t="s">
        <v>191</v>
      </c>
      <c r="C62" s="80" t="s">
        <v>159</v>
      </c>
      <c r="D62" s="80"/>
      <c r="E62" s="80"/>
      <c r="F62" s="80"/>
      <c r="G62" s="1">
        <f t="shared" si="36"/>
        <v>10</v>
      </c>
      <c r="H62" s="4">
        <f t="shared" si="37"/>
        <v>1888</v>
      </c>
      <c r="I62" s="29">
        <f t="shared" si="38"/>
        <v>5900</v>
      </c>
      <c r="J62" s="30">
        <f t="shared" si="39"/>
        <v>26550</v>
      </c>
      <c r="K62" s="11">
        <f t="shared" si="40"/>
        <v>2950</v>
      </c>
      <c r="L62" s="31">
        <f t="shared" si="41"/>
        <v>14307.499999999998</v>
      </c>
      <c r="M62" s="285">
        <f t="shared" si="42"/>
        <v>841.61764705882354</v>
      </c>
      <c r="N62" s="285">
        <f t="shared" si="43"/>
        <v>5049.7058823529414</v>
      </c>
    </row>
    <row r="63" spans="1:56" x14ac:dyDescent="0.45">
      <c r="A63" s="1">
        <v>2</v>
      </c>
      <c r="B63" s="1" t="s">
        <v>192</v>
      </c>
      <c r="C63" s="80" t="s">
        <v>160</v>
      </c>
      <c r="D63" s="80"/>
      <c r="E63" s="80"/>
      <c r="F63" s="80"/>
      <c r="G63" s="1">
        <f t="shared" si="36"/>
        <v>10</v>
      </c>
      <c r="H63" s="4">
        <f t="shared" si="37"/>
        <v>3040</v>
      </c>
      <c r="I63" s="29">
        <f t="shared" si="38"/>
        <v>9500</v>
      </c>
      <c r="J63" s="30">
        <f t="shared" si="39"/>
        <v>42750</v>
      </c>
      <c r="K63" s="11">
        <f t="shared" si="40"/>
        <v>4750</v>
      </c>
      <c r="L63" s="31">
        <f t="shared" si="41"/>
        <v>23037.5</v>
      </c>
      <c r="M63" s="285">
        <f t="shared" si="42"/>
        <v>1355.1470588235295</v>
      </c>
      <c r="N63" s="285">
        <f t="shared" si="43"/>
        <v>8130.8823529411766</v>
      </c>
    </row>
    <row r="64" spans="1:56" x14ac:dyDescent="0.45">
      <c r="A64" s="1">
        <v>2</v>
      </c>
      <c r="B64" s="1" t="s">
        <v>201</v>
      </c>
      <c r="C64" s="80" t="s">
        <v>161</v>
      </c>
      <c r="D64" s="80"/>
      <c r="E64" s="80"/>
      <c r="F64" s="80"/>
      <c r="G64" s="1">
        <f t="shared" si="36"/>
        <v>11</v>
      </c>
      <c r="H64" s="4">
        <f t="shared" si="37"/>
        <v>2816</v>
      </c>
      <c r="I64" s="29">
        <f t="shared" si="38"/>
        <v>8800</v>
      </c>
      <c r="J64" s="30">
        <f t="shared" si="39"/>
        <v>39600</v>
      </c>
      <c r="K64" s="11">
        <f t="shared" si="40"/>
        <v>4400</v>
      </c>
      <c r="L64" s="31">
        <f t="shared" si="41"/>
        <v>21340</v>
      </c>
      <c r="M64" s="285">
        <f t="shared" si="42"/>
        <v>1255.2941176470588</v>
      </c>
      <c r="N64" s="285">
        <f t="shared" si="43"/>
        <v>7531.7647058823532</v>
      </c>
    </row>
    <row r="65" spans="1:14" x14ac:dyDescent="0.45">
      <c r="A65" s="1">
        <v>2</v>
      </c>
      <c r="B65" s="1" t="s">
        <v>202</v>
      </c>
      <c r="C65" s="80" t="s">
        <v>162</v>
      </c>
      <c r="D65" s="80"/>
      <c r="E65" s="80"/>
      <c r="F65" s="80"/>
      <c r="G65" s="1">
        <f t="shared" si="36"/>
        <v>11</v>
      </c>
      <c r="H65" s="4">
        <f t="shared" si="37"/>
        <v>2816</v>
      </c>
      <c r="I65" s="29">
        <f t="shared" si="38"/>
        <v>8800</v>
      </c>
      <c r="J65" s="30">
        <f t="shared" si="39"/>
        <v>39600</v>
      </c>
      <c r="K65" s="11">
        <f t="shared" si="40"/>
        <v>4400</v>
      </c>
      <c r="L65" s="31">
        <f t="shared" si="41"/>
        <v>21340</v>
      </c>
      <c r="M65" s="285">
        <f t="shared" si="42"/>
        <v>1255.2941176470588</v>
      </c>
      <c r="N65" s="285">
        <f t="shared" si="43"/>
        <v>7531.7647058823532</v>
      </c>
    </row>
    <row r="66" spans="1:14" x14ac:dyDescent="0.45">
      <c r="A66" s="1">
        <v>3</v>
      </c>
      <c r="B66" s="1" t="s">
        <v>193</v>
      </c>
      <c r="C66" s="80" t="s">
        <v>163</v>
      </c>
      <c r="D66" s="80"/>
      <c r="E66" s="80"/>
      <c r="F66" s="80"/>
      <c r="G66" s="1">
        <f t="shared" si="36"/>
        <v>12</v>
      </c>
      <c r="H66" s="4">
        <f t="shared" si="37"/>
        <v>4416</v>
      </c>
      <c r="I66" s="29">
        <f t="shared" si="38"/>
        <v>13800</v>
      </c>
      <c r="J66" s="30">
        <f t="shared" si="39"/>
        <v>62100</v>
      </c>
      <c r="K66" s="11">
        <f t="shared" si="40"/>
        <v>6900</v>
      </c>
      <c r="L66" s="31">
        <f t="shared" si="41"/>
        <v>33465</v>
      </c>
      <c r="M66" s="285">
        <f t="shared" si="42"/>
        <v>1968.5294117647056</v>
      </c>
      <c r="N66" s="285">
        <f t="shared" si="43"/>
        <v>11811.176470588234</v>
      </c>
    </row>
    <row r="67" spans="1:14" x14ac:dyDescent="0.45">
      <c r="A67" s="1">
        <v>3</v>
      </c>
      <c r="B67" s="1" t="s">
        <v>194</v>
      </c>
      <c r="C67" s="80" t="s">
        <v>164</v>
      </c>
      <c r="D67" s="80"/>
      <c r="E67" s="80"/>
      <c r="F67" s="80"/>
      <c r="G67" s="1">
        <f t="shared" si="36"/>
        <v>12</v>
      </c>
      <c r="H67" s="4">
        <f t="shared" si="37"/>
        <v>4416</v>
      </c>
      <c r="I67" s="29">
        <f t="shared" si="38"/>
        <v>13800</v>
      </c>
      <c r="J67" s="30">
        <f t="shared" si="39"/>
        <v>62100</v>
      </c>
      <c r="K67" s="11">
        <f t="shared" si="40"/>
        <v>6900</v>
      </c>
      <c r="L67" s="31">
        <f t="shared" si="41"/>
        <v>33465</v>
      </c>
      <c r="M67" s="285">
        <f t="shared" si="42"/>
        <v>1968.5294117647056</v>
      </c>
      <c r="N67" s="285">
        <f t="shared" si="43"/>
        <v>11811.176470588234</v>
      </c>
    </row>
    <row r="68" spans="1:14" x14ac:dyDescent="0.45">
      <c r="A68" s="1">
        <v>3</v>
      </c>
      <c r="B68" s="1" t="s">
        <v>195</v>
      </c>
      <c r="C68" s="80" t="s">
        <v>165</v>
      </c>
      <c r="D68" s="80"/>
      <c r="E68" s="80"/>
      <c r="F68" s="80"/>
      <c r="G68" s="1">
        <f t="shared" si="36"/>
        <v>12</v>
      </c>
      <c r="H68" s="4">
        <f t="shared" si="37"/>
        <v>4416</v>
      </c>
      <c r="I68" s="29">
        <f t="shared" si="38"/>
        <v>13800</v>
      </c>
      <c r="J68" s="30">
        <f t="shared" si="39"/>
        <v>62100</v>
      </c>
      <c r="K68" s="11">
        <f t="shared" si="40"/>
        <v>6900</v>
      </c>
      <c r="L68" s="31">
        <f t="shared" si="41"/>
        <v>33465</v>
      </c>
      <c r="M68" s="285">
        <f t="shared" si="42"/>
        <v>1968.5294117647056</v>
      </c>
      <c r="N68" s="285">
        <f t="shared" si="43"/>
        <v>11811.176470588234</v>
      </c>
    </row>
    <row r="69" spans="1:14" x14ac:dyDescent="0.45">
      <c r="A69" s="1">
        <v>3</v>
      </c>
      <c r="B69" s="1" t="s">
        <v>196</v>
      </c>
      <c r="C69" s="80" t="s">
        <v>166</v>
      </c>
      <c r="D69" s="80"/>
      <c r="E69" s="80"/>
      <c r="F69" s="80"/>
      <c r="G69" s="1">
        <f t="shared" si="36"/>
        <v>12</v>
      </c>
      <c r="H69" s="4">
        <f t="shared" si="37"/>
        <v>4416</v>
      </c>
      <c r="I69" s="29">
        <f t="shared" si="38"/>
        <v>13800</v>
      </c>
      <c r="J69" s="30">
        <f t="shared" si="39"/>
        <v>62100</v>
      </c>
      <c r="K69" s="11">
        <f t="shared" si="40"/>
        <v>6900</v>
      </c>
      <c r="L69" s="31">
        <f t="shared" si="41"/>
        <v>33465</v>
      </c>
      <c r="M69" s="285">
        <f t="shared" si="42"/>
        <v>1968.5294117647056</v>
      </c>
      <c r="N69" s="285">
        <f t="shared" si="43"/>
        <v>11811.176470588234</v>
      </c>
    </row>
    <row r="70" spans="1:14" x14ac:dyDescent="0.45">
      <c r="A70" s="1">
        <v>2</v>
      </c>
      <c r="B70" s="1" t="s">
        <v>270</v>
      </c>
      <c r="C70" s="80" t="s">
        <v>167</v>
      </c>
      <c r="D70" s="80"/>
      <c r="E70" s="80"/>
      <c r="F70" s="80"/>
      <c r="G70" s="1">
        <f t="shared" si="36"/>
        <v>12</v>
      </c>
      <c r="H70" s="4">
        <f t="shared" si="37"/>
        <v>3072</v>
      </c>
      <c r="I70" s="29">
        <f t="shared" si="38"/>
        <v>9600</v>
      </c>
      <c r="J70" s="30">
        <f t="shared" si="39"/>
        <v>43200</v>
      </c>
      <c r="K70" s="11">
        <f t="shared" si="40"/>
        <v>4800</v>
      </c>
      <c r="L70" s="31">
        <f t="shared" si="41"/>
        <v>23280</v>
      </c>
      <c r="M70" s="285">
        <f t="shared" si="42"/>
        <v>1369.4117647058824</v>
      </c>
      <c r="N70" s="285">
        <f t="shared" si="43"/>
        <v>8216.4705882352937</v>
      </c>
    </row>
    <row r="71" spans="1:14" x14ac:dyDescent="0.45">
      <c r="A71" s="1">
        <v>2</v>
      </c>
      <c r="B71" s="1" t="s">
        <v>271</v>
      </c>
      <c r="C71" s="80" t="s">
        <v>168</v>
      </c>
      <c r="D71" s="80"/>
      <c r="E71" s="80"/>
      <c r="F71" s="80"/>
      <c r="G71" s="1">
        <f t="shared" si="36"/>
        <v>12</v>
      </c>
      <c r="H71" s="4">
        <f t="shared" si="37"/>
        <v>3072</v>
      </c>
      <c r="I71" s="29">
        <f t="shared" si="38"/>
        <v>9600</v>
      </c>
      <c r="J71" s="30">
        <f t="shared" si="39"/>
        <v>43200</v>
      </c>
      <c r="K71" s="11">
        <f t="shared" si="40"/>
        <v>4800</v>
      </c>
      <c r="L71" s="31">
        <f t="shared" si="41"/>
        <v>23280</v>
      </c>
      <c r="M71" s="285">
        <f t="shared" si="42"/>
        <v>1369.4117647058824</v>
      </c>
      <c r="N71" s="285">
        <f t="shared" si="43"/>
        <v>8216.4705882352937</v>
      </c>
    </row>
    <row r="72" spans="1:14" x14ac:dyDescent="0.45">
      <c r="A72" s="1">
        <v>3</v>
      </c>
      <c r="B72" s="1" t="s">
        <v>272</v>
      </c>
      <c r="C72" s="80" t="s">
        <v>169</v>
      </c>
      <c r="D72" s="80"/>
      <c r="E72" s="80"/>
      <c r="F72" s="80"/>
      <c r="G72" s="1">
        <f t="shared" si="36"/>
        <v>12</v>
      </c>
      <c r="H72" s="4">
        <f t="shared" si="37"/>
        <v>3456</v>
      </c>
      <c r="I72" s="29">
        <f t="shared" si="38"/>
        <v>10800</v>
      </c>
      <c r="J72" s="30">
        <f t="shared" si="39"/>
        <v>48600</v>
      </c>
      <c r="K72" s="11">
        <f t="shared" si="40"/>
        <v>5400</v>
      </c>
      <c r="L72" s="31">
        <f t="shared" si="41"/>
        <v>26189.999999999996</v>
      </c>
      <c r="M72" s="285">
        <f t="shared" si="42"/>
        <v>1540.5882352941176</v>
      </c>
      <c r="N72" s="285">
        <f t="shared" si="43"/>
        <v>9243.5294117647063</v>
      </c>
    </row>
    <row r="73" spans="1:14" x14ac:dyDescent="0.45">
      <c r="A73" s="1">
        <v>3</v>
      </c>
      <c r="B73" s="1" t="s">
        <v>273</v>
      </c>
      <c r="C73" s="80" t="s">
        <v>170</v>
      </c>
      <c r="D73" s="80"/>
      <c r="E73" s="80"/>
      <c r="F73" s="80"/>
      <c r="G73" s="1">
        <f t="shared" si="36"/>
        <v>12</v>
      </c>
      <c r="H73" s="4">
        <f t="shared" si="37"/>
        <v>3456</v>
      </c>
      <c r="I73" s="29">
        <f t="shared" si="38"/>
        <v>10800</v>
      </c>
      <c r="J73" s="30">
        <f t="shared" si="39"/>
        <v>48600</v>
      </c>
      <c r="K73" s="11">
        <f t="shared" si="40"/>
        <v>5400</v>
      </c>
      <c r="L73" s="31">
        <f t="shared" si="41"/>
        <v>26189.999999999996</v>
      </c>
      <c r="M73" s="285">
        <f t="shared" si="42"/>
        <v>1540.5882352941176</v>
      </c>
      <c r="N73" s="285">
        <f t="shared" si="43"/>
        <v>9243.5294117647063</v>
      </c>
    </row>
    <row r="74" spans="1:14" x14ac:dyDescent="0.45">
      <c r="A74" s="1">
        <v>4</v>
      </c>
      <c r="B74" s="1" t="s">
        <v>274</v>
      </c>
      <c r="C74" s="80" t="s">
        <v>171</v>
      </c>
      <c r="D74" s="80"/>
      <c r="E74" s="80"/>
      <c r="F74" s="80"/>
      <c r="G74" s="1">
        <f t="shared" si="36"/>
        <v>12</v>
      </c>
      <c r="H74" s="4">
        <f t="shared" si="37"/>
        <v>2496</v>
      </c>
      <c r="I74" s="29">
        <f t="shared" si="38"/>
        <v>7800</v>
      </c>
      <c r="J74" s="30">
        <f t="shared" si="39"/>
        <v>35100</v>
      </c>
      <c r="K74" s="11">
        <f t="shared" si="40"/>
        <v>3900</v>
      </c>
      <c r="L74" s="31">
        <f t="shared" si="41"/>
        <v>18915</v>
      </c>
      <c r="M74" s="285">
        <f t="shared" si="42"/>
        <v>1112.6470588235293</v>
      </c>
      <c r="N74" s="285">
        <f t="shared" si="43"/>
        <v>6675.8823529411757</v>
      </c>
    </row>
    <row r="75" spans="1:14" x14ac:dyDescent="0.45">
      <c r="A75" s="1">
        <v>4</v>
      </c>
      <c r="B75" s="1" t="s">
        <v>275</v>
      </c>
      <c r="C75" s="80" t="s">
        <v>172</v>
      </c>
      <c r="D75" s="80"/>
      <c r="E75" s="80"/>
      <c r="F75" s="80"/>
      <c r="G75" s="1">
        <f t="shared" si="36"/>
        <v>12</v>
      </c>
      <c r="H75" s="4">
        <f t="shared" si="37"/>
        <v>2496</v>
      </c>
      <c r="I75" s="29">
        <f t="shared" si="38"/>
        <v>7800</v>
      </c>
      <c r="J75" s="30">
        <f t="shared" si="39"/>
        <v>35100</v>
      </c>
      <c r="K75" s="11">
        <f t="shared" si="40"/>
        <v>3900</v>
      </c>
      <c r="L75" s="31">
        <f t="shared" si="41"/>
        <v>18915</v>
      </c>
      <c r="M75" s="285">
        <f t="shared" si="42"/>
        <v>1112.6470588235293</v>
      </c>
      <c r="N75" s="285">
        <f t="shared" si="43"/>
        <v>6675.8823529411757</v>
      </c>
    </row>
    <row r="76" spans="1:14" x14ac:dyDescent="0.45">
      <c r="A76" s="1">
        <v>4</v>
      </c>
      <c r="B76" s="1" t="s">
        <v>276</v>
      </c>
      <c r="C76" s="80" t="s">
        <v>173</v>
      </c>
      <c r="D76" s="80"/>
      <c r="E76" s="80"/>
      <c r="F76" s="80"/>
      <c r="G76" s="1">
        <f t="shared" si="36"/>
        <v>12</v>
      </c>
      <c r="H76" s="4">
        <f t="shared" si="37"/>
        <v>3264</v>
      </c>
      <c r="I76" s="29">
        <f t="shared" si="38"/>
        <v>10200</v>
      </c>
      <c r="J76" s="30">
        <f t="shared" si="39"/>
        <v>45900</v>
      </c>
      <c r="K76" s="11">
        <f t="shared" si="40"/>
        <v>5100</v>
      </c>
      <c r="L76" s="31">
        <f t="shared" si="41"/>
        <v>24735</v>
      </c>
      <c r="M76" s="285">
        <f t="shared" si="42"/>
        <v>1454.9999999999998</v>
      </c>
      <c r="N76" s="285">
        <f t="shared" si="43"/>
        <v>8729.9999999999982</v>
      </c>
    </row>
    <row r="77" spans="1:14" x14ac:dyDescent="0.45">
      <c r="A77" s="1">
        <v>4</v>
      </c>
      <c r="B77" s="1" t="s">
        <v>277</v>
      </c>
      <c r="C77" s="80" t="s">
        <v>174</v>
      </c>
      <c r="D77" s="80"/>
      <c r="E77" s="80"/>
      <c r="F77" s="80"/>
      <c r="G77" s="1">
        <f t="shared" si="36"/>
        <v>12</v>
      </c>
      <c r="H77" s="4">
        <f t="shared" si="37"/>
        <v>3264</v>
      </c>
      <c r="I77" s="29">
        <f t="shared" si="38"/>
        <v>10200</v>
      </c>
      <c r="J77" s="30">
        <f t="shared" si="39"/>
        <v>45900</v>
      </c>
      <c r="K77" s="11">
        <f t="shared" si="40"/>
        <v>5100</v>
      </c>
      <c r="L77" s="31">
        <f t="shared" si="41"/>
        <v>24735</v>
      </c>
      <c r="M77" s="285">
        <f t="shared" si="42"/>
        <v>1454.9999999999998</v>
      </c>
      <c r="N77" s="285">
        <f t="shared" si="43"/>
        <v>8729.9999999999982</v>
      </c>
    </row>
    <row r="78" spans="1:14" x14ac:dyDescent="0.45">
      <c r="A78" s="1">
        <v>4</v>
      </c>
      <c r="B78" s="1" t="s">
        <v>278</v>
      </c>
      <c r="C78" s="80" t="s">
        <v>175</v>
      </c>
      <c r="D78" s="80"/>
      <c r="E78" s="80"/>
      <c r="F78" s="80"/>
      <c r="G78" s="1">
        <f t="shared" si="36"/>
        <v>8</v>
      </c>
      <c r="H78" s="4">
        <f t="shared" si="37"/>
        <v>1984</v>
      </c>
      <c r="I78" s="29">
        <f t="shared" si="38"/>
        <v>6200</v>
      </c>
      <c r="J78" s="30">
        <f t="shared" si="39"/>
        <v>27900</v>
      </c>
      <c r="K78" s="11">
        <f t="shared" si="40"/>
        <v>3100</v>
      </c>
      <c r="L78" s="31">
        <f t="shared" si="41"/>
        <v>15034.999999999998</v>
      </c>
      <c r="M78" s="285">
        <f t="shared" si="42"/>
        <v>884.41176470588209</v>
      </c>
      <c r="N78" s="285">
        <f t="shared" si="43"/>
        <v>5306.4705882352928</v>
      </c>
    </row>
    <row r="79" spans="1:14" x14ac:dyDescent="0.45">
      <c r="A79" s="1">
        <v>4</v>
      </c>
      <c r="B79" s="1" t="s">
        <v>279</v>
      </c>
      <c r="C79" s="80" t="s">
        <v>176</v>
      </c>
      <c r="D79" s="80"/>
      <c r="E79" s="80"/>
      <c r="F79" s="80"/>
      <c r="G79" s="1">
        <f t="shared" si="36"/>
        <v>8</v>
      </c>
      <c r="H79" s="4">
        <f t="shared" si="37"/>
        <v>1344</v>
      </c>
      <c r="I79" s="29">
        <f t="shared" si="38"/>
        <v>4200</v>
      </c>
      <c r="J79" s="30">
        <f t="shared" si="39"/>
        <v>18900</v>
      </c>
      <c r="K79" s="11">
        <f t="shared" si="40"/>
        <v>2100</v>
      </c>
      <c r="L79" s="31">
        <f t="shared" si="41"/>
        <v>10185</v>
      </c>
      <c r="M79" s="285">
        <f t="shared" si="42"/>
        <v>599.11764705882354</v>
      </c>
      <c r="N79" s="285">
        <f t="shared" si="43"/>
        <v>3594.7058823529414</v>
      </c>
    </row>
    <row r="80" spans="1:14" x14ac:dyDescent="0.45">
      <c r="A80" s="1"/>
      <c r="B80" s="1"/>
      <c r="C80" s="80"/>
      <c r="D80" s="80"/>
      <c r="E80" s="80"/>
      <c r="F80" s="80"/>
      <c r="G80" s="1"/>
      <c r="H80" s="4"/>
      <c r="I80" s="29"/>
      <c r="J80" s="30"/>
      <c r="K80" s="11"/>
      <c r="L80" s="31"/>
      <c r="M80" s="285"/>
      <c r="N80" s="285"/>
    </row>
    <row r="81" spans="1:26" x14ac:dyDescent="0.45">
      <c r="A81" s="1"/>
      <c r="B81" s="1"/>
      <c r="C81" s="80"/>
      <c r="D81" s="80"/>
      <c r="E81" s="80"/>
      <c r="F81" s="80"/>
      <c r="G81" s="1"/>
      <c r="H81" s="4"/>
      <c r="I81" s="29"/>
      <c r="J81" s="30"/>
      <c r="K81" s="11"/>
      <c r="L81" s="31"/>
      <c r="M81" s="285"/>
      <c r="N81" s="285"/>
    </row>
    <row r="82" spans="1:26" ht="14.65" thickBot="1" x14ac:dyDescent="0.5">
      <c r="A82" s="34"/>
      <c r="B82" s="34"/>
      <c r="C82" s="81"/>
      <c r="D82" s="81"/>
      <c r="E82" s="81"/>
      <c r="F82" s="81"/>
      <c r="G82" s="34"/>
      <c r="H82" s="35"/>
      <c r="I82" s="36"/>
      <c r="J82" s="37"/>
      <c r="K82" s="38"/>
      <c r="L82" s="39"/>
      <c r="M82" s="348"/>
      <c r="N82" s="348"/>
    </row>
    <row r="83" spans="1:26" ht="14.65" thickTop="1" x14ac:dyDescent="0.45">
      <c r="C83" s="558" t="str">
        <f>"Total Zones- "&amp;COUNTA(C54:F82)</f>
        <v>Total Zones- 26</v>
      </c>
      <c r="D83" s="558"/>
      <c r="E83" s="558"/>
      <c r="F83" s="558"/>
      <c r="G83" s="42"/>
      <c r="H83" s="8">
        <f>SUM(H54:H82)</f>
        <v>82368</v>
      </c>
      <c r="I83" s="10">
        <f>SUM(I54:I82)</f>
        <v>257400</v>
      </c>
      <c r="J83" s="43">
        <f>SUM(J54:J82)</f>
        <v>1158300</v>
      </c>
      <c r="K83" s="10">
        <f>SUM(K54:K82)</f>
        <v>128700</v>
      </c>
      <c r="N83" s="341">
        <f>SUM(N54:N82)</f>
        <v>220304.1176470588</v>
      </c>
    </row>
    <row r="84" spans="1:26" x14ac:dyDescent="0.45">
      <c r="C84" s="42"/>
      <c r="D84" s="42"/>
      <c r="E84" s="42"/>
      <c r="F84" s="42"/>
      <c r="G84" s="42"/>
      <c r="H84" s="8"/>
      <c r="I84" s="10"/>
      <c r="J84" s="43"/>
      <c r="K84" s="10"/>
    </row>
    <row r="85" spans="1:26" ht="14.65" thickBot="1" x14ac:dyDescent="0.5">
      <c r="C85" s="42"/>
      <c r="D85" s="42"/>
      <c r="E85" s="42"/>
      <c r="F85" s="42"/>
      <c r="G85" s="42"/>
      <c r="H85" s="8"/>
      <c r="I85" s="10"/>
      <c r="J85" s="43"/>
      <c r="K85" s="10"/>
    </row>
    <row r="86" spans="1:26" ht="21.4" thickBot="1" x14ac:dyDescent="0.7">
      <c r="A86" s="533" t="s">
        <v>203</v>
      </c>
      <c r="B86" s="534"/>
      <c r="C86" s="534"/>
      <c r="D86" s="534"/>
      <c r="E86" s="534"/>
      <c r="F86" s="534"/>
      <c r="G86" s="534"/>
      <c r="H86" s="534"/>
      <c r="I86" s="534"/>
      <c r="J86" s="534"/>
      <c r="K86" s="534"/>
      <c r="L86" s="534"/>
      <c r="M86" s="534"/>
      <c r="N86" s="534"/>
      <c r="O86" s="534"/>
      <c r="P86" s="535"/>
      <c r="Q86" s="82"/>
      <c r="R86" s="82"/>
      <c r="S86" s="82"/>
      <c r="T86" s="82"/>
      <c r="U86" s="82"/>
      <c r="V86" s="82"/>
      <c r="W86" s="82"/>
      <c r="X86" s="82"/>
      <c r="Y86" s="82"/>
      <c r="Z86" s="82"/>
    </row>
    <row r="87" spans="1:26" s="79" customFormat="1" ht="23.25" customHeight="1" thickBot="1" x14ac:dyDescent="0.7">
      <c r="A87" s="298" t="s">
        <v>7</v>
      </c>
      <c r="B87" s="482" t="s">
        <v>178</v>
      </c>
      <c r="C87" s="482" t="s">
        <v>204</v>
      </c>
      <c r="D87" s="482" t="s">
        <v>205</v>
      </c>
      <c r="E87" s="567" t="s">
        <v>206</v>
      </c>
      <c r="F87" s="567"/>
      <c r="G87" s="567"/>
      <c r="H87" s="482" t="s">
        <v>207</v>
      </c>
      <c r="I87" s="482" t="s">
        <v>208</v>
      </c>
      <c r="J87" s="482" t="s">
        <v>209</v>
      </c>
      <c r="K87" s="299" t="s">
        <v>280</v>
      </c>
      <c r="L87" s="300" t="s">
        <v>281</v>
      </c>
      <c r="M87" s="300" t="s">
        <v>282</v>
      </c>
      <c r="N87" s="301" t="s">
        <v>283</v>
      </c>
      <c r="O87" s="299" t="s">
        <v>284</v>
      </c>
      <c r="P87" s="302" t="s">
        <v>285</v>
      </c>
      <c r="Q87" s="82"/>
      <c r="R87" s="302" t="s">
        <v>286</v>
      </c>
      <c r="S87" s="302" t="s">
        <v>287</v>
      </c>
      <c r="T87" s="82"/>
      <c r="U87" s="82"/>
      <c r="V87" s="82"/>
      <c r="W87" s="82"/>
      <c r="X87" s="82"/>
      <c r="Y87" s="82"/>
    </row>
    <row r="88" spans="1:26" s="99" customFormat="1" ht="14.25" customHeight="1" x14ac:dyDescent="0.45">
      <c r="A88" s="132">
        <v>1</v>
      </c>
      <c r="B88" s="132">
        <v>1</v>
      </c>
      <c r="C88" s="132" cm="1">
        <f t="array" ref="C88">SUMPRODUCT(($A$54:$A$82=B88)*($C$54:$F$82&lt;&gt;""))</f>
        <v>6</v>
      </c>
      <c r="D88" s="132" cm="1">
        <f t="array" ref="D88">SUMPRODUCT(($A$54:$A$82=B88)*($B$54:$B$82&lt;&gt;""))</f>
        <v>6</v>
      </c>
      <c r="E88" s="556" t="str" cm="1">
        <f t="array" ref="E88">_xlfn.TEXTJOIN(",",TRUE,_xlfn._xlws.SORT(_xlfn._xlws.FILTER($C$54:$F$82,($A$54:$A$82=B88)),,1,TRUE))</f>
        <v>A1,B1,B2,C1,D1,D2</v>
      </c>
      <c r="F88" s="556"/>
      <c r="G88" s="556"/>
      <c r="H88" s="133">
        <f>SUMIF($A$54:$A$82,B88,$H$54:$H$82)</f>
        <v>20800</v>
      </c>
      <c r="I88" s="134">
        <f>_xlfn.MAXIFS($L$54:$L$82,$A$54:$A$82,$B88)</f>
        <v>28372.499999999996</v>
      </c>
      <c r="J88" s="134">
        <f>_xlfn.MINIFS($L$54:$L$82,$A$54:$A$82,$B88)</f>
        <v>18187.5</v>
      </c>
      <c r="K88" s="292">
        <f>$F$10</f>
        <v>170</v>
      </c>
      <c r="L88" s="293">
        <f>3600/K88</f>
        <v>21.176470588235293</v>
      </c>
      <c r="M88" s="292">
        <f>D88*$F$8</f>
        <v>120</v>
      </c>
      <c r="N88" s="292">
        <f>K88-M88</f>
        <v>50</v>
      </c>
      <c r="O88" s="297">
        <f>M88*L88/60</f>
        <v>42.352941176470587</v>
      </c>
      <c r="P88" s="297">
        <f>N88*L88/60</f>
        <v>17.647058823529409</v>
      </c>
      <c r="Q88" s="98"/>
      <c r="R88" s="343">
        <f>SUMIF($A$54:$A$82,B88,$M$54:$M$82)</f>
        <v>9272.0588235294108</v>
      </c>
      <c r="S88" s="343">
        <f>SUMIF($A$54:$A$82,B88,$N$54:$N$82)</f>
        <v>55632.352941176461</v>
      </c>
      <c r="T88" s="98"/>
      <c r="U88" s="98"/>
      <c r="V88" s="98"/>
      <c r="W88" s="98"/>
      <c r="X88" s="98"/>
      <c r="Y88" s="98"/>
    </row>
    <row r="89" spans="1:26" s="99" customFormat="1" x14ac:dyDescent="0.45">
      <c r="A89" s="95">
        <v>2</v>
      </c>
      <c r="B89" s="95">
        <v>2</v>
      </c>
      <c r="C89" s="95" cm="1">
        <f t="array" ref="C89">SUMPRODUCT(($A$54:$A$82=B89)*($C$54:$F$82&lt;&gt;""))</f>
        <v>8</v>
      </c>
      <c r="D89" s="95" cm="1">
        <f t="array" ref="D89">SUMPRODUCT(($A$54:$A$82=B89)*($B$54:$B$82&lt;&gt;""))</f>
        <v>8</v>
      </c>
      <c r="E89" s="557" t="str" cm="1">
        <f t="array" ref="E89">_xlfn.TEXTJOIN(",",TRUE,_xlfn._xlws.SORT(_xlfn._xlws.FILTER($C$54:$F$82,($A$54:$A$82=B89)), ,1,TRUE))</f>
        <v>E1,E2,F1,F2,G1,G2,J1,J2</v>
      </c>
      <c r="F89" s="557"/>
      <c r="G89" s="557"/>
      <c r="H89" s="100">
        <f t="shared" ref="H89:H92" si="44">SUMIF($A$54:$A$82,B89,$H$54:$H$82)</f>
        <v>22144</v>
      </c>
      <c r="I89" s="96">
        <f>_xlfn.MAXIFS($L$54:$L$82,$A$54:$A$82,$B89)</f>
        <v>23280</v>
      </c>
      <c r="J89" s="96">
        <f>_xlfn.MINIFS($L$54:$L$82,$A$54:$A$82,$B89)</f>
        <v>14307.499999999998</v>
      </c>
      <c r="K89" s="294">
        <f t="shared" ref="K89:K92" si="45">$F$10</f>
        <v>170</v>
      </c>
      <c r="L89" s="295">
        <f t="shared" ref="L89:L92" si="46">3600/K89</f>
        <v>21.176470588235293</v>
      </c>
      <c r="M89" s="294">
        <f t="shared" ref="M89:M92" si="47">D89*$F$8</f>
        <v>160</v>
      </c>
      <c r="N89" s="294">
        <f t="shared" ref="N89:N92" si="48">K89-M89</f>
        <v>10</v>
      </c>
      <c r="O89" s="296">
        <f>M89*L89/60</f>
        <v>56.470588235294116</v>
      </c>
      <c r="P89" s="296">
        <f t="shared" ref="P89:P92" si="49">N89*L89/60</f>
        <v>3.5294117647058822</v>
      </c>
      <c r="Q89" s="98"/>
      <c r="R89" s="343">
        <f t="shared" ref="R89:R92" si="50">SUMIF($A$54:$A$82,B89,$M$54:$M$82)</f>
        <v>9871.176470588236</v>
      </c>
      <c r="S89" s="343">
        <f t="shared" ref="S89:S92" si="51">SUMIF($A$54:$A$82,B89,$N$54:$N$82)</f>
        <v>59227.058823529413</v>
      </c>
      <c r="T89" s="98"/>
      <c r="U89" s="98"/>
      <c r="V89" s="98"/>
      <c r="W89" s="98"/>
      <c r="X89" s="98"/>
      <c r="Y89" s="98"/>
      <c r="Z89" s="98"/>
    </row>
    <row r="90" spans="1:26" s="99" customFormat="1" x14ac:dyDescent="0.45">
      <c r="A90" s="95">
        <v>3</v>
      </c>
      <c r="B90" s="95">
        <v>3</v>
      </c>
      <c r="C90" s="95" cm="1">
        <f t="array" ref="C90">SUMPRODUCT(($A$54:$A$82=B90)*($C$54:$F$82&lt;&gt;""))</f>
        <v>6</v>
      </c>
      <c r="D90" s="95" cm="1">
        <f t="array" ref="D90">SUMPRODUCT(($A$54:$A$82=B90)*($B$54:$B$82&lt;&gt;""))</f>
        <v>6</v>
      </c>
      <c r="E90" s="557" t="str" cm="1">
        <f t="array" ref="E90">_xlfn.TEXTJOIN(",",TRUE,_xlfn._xlws.SORT(_xlfn._xlws.FILTER($C$54:$F$82,($A$54:$A$82=B90)), ,1,TRUE))</f>
        <v>H1,H2,I1,I2,K1,L1</v>
      </c>
      <c r="F90" s="557"/>
      <c r="G90" s="557"/>
      <c r="H90" s="100">
        <f t="shared" si="44"/>
        <v>24576</v>
      </c>
      <c r="I90" s="96">
        <f>_xlfn.MAXIFS($L$54:$L$82,$A$54:$A$82,$B90)</f>
        <v>33465</v>
      </c>
      <c r="J90" s="96">
        <f>_xlfn.MINIFS($L$54:$L$82,$A$54:$A$82,$B90)</f>
        <v>26189.999999999996</v>
      </c>
      <c r="K90" s="294">
        <f t="shared" si="45"/>
        <v>170</v>
      </c>
      <c r="L90" s="295">
        <f t="shared" si="46"/>
        <v>21.176470588235293</v>
      </c>
      <c r="M90" s="294">
        <f t="shared" si="47"/>
        <v>120</v>
      </c>
      <c r="N90" s="294">
        <f t="shared" si="48"/>
        <v>50</v>
      </c>
      <c r="O90" s="296">
        <f t="shared" ref="O90:O92" si="52">M90*L90/60</f>
        <v>42.352941176470587</v>
      </c>
      <c r="P90" s="296">
        <f t="shared" si="49"/>
        <v>17.647058823529409</v>
      </c>
      <c r="R90" s="343">
        <f t="shared" si="50"/>
        <v>10955.294117647058</v>
      </c>
      <c r="S90" s="343">
        <f t="shared" si="51"/>
        <v>65731.76470588235</v>
      </c>
    </row>
    <row r="91" spans="1:26" s="99" customFormat="1" x14ac:dyDescent="0.45">
      <c r="A91" s="95">
        <v>4</v>
      </c>
      <c r="B91" s="95">
        <v>4</v>
      </c>
      <c r="C91" s="95" cm="1">
        <f t="array" ref="C91">SUMPRODUCT(($A$54:$A$82=B91)*($C$54:$F$82&lt;&gt;""))</f>
        <v>6</v>
      </c>
      <c r="D91" s="95" cm="1">
        <f t="array" ref="D91">SUMPRODUCT(($A$54:$A$82=B91)*($B$54:$B$82&lt;&gt;""))</f>
        <v>6</v>
      </c>
      <c r="E91" s="557" t="str" cm="1">
        <f t="array" ref="E91">_xlfn.TEXTJOIN(",",TRUE,_xlfn._xlws.SORT(_xlfn._xlws.FILTER($C$54:$F$82,($A$54:$A$82=B91)), ,1,TRUE))</f>
        <v>M1,M2,N1,N2,O1,O2</v>
      </c>
      <c r="F91" s="557"/>
      <c r="G91" s="557"/>
      <c r="H91" s="100">
        <f t="shared" si="44"/>
        <v>14848</v>
      </c>
      <c r="I91" s="96">
        <f>_xlfn.MAXIFS($L$54:$L$82,$A$54:$A$82,$B91)</f>
        <v>24735</v>
      </c>
      <c r="J91" s="96">
        <f>_xlfn.MINIFS($L$54:$L$82,$A$54:$A$82,$B91)</f>
        <v>10185</v>
      </c>
      <c r="K91" s="294">
        <f t="shared" si="45"/>
        <v>170</v>
      </c>
      <c r="L91" s="295">
        <f t="shared" si="46"/>
        <v>21.176470588235293</v>
      </c>
      <c r="M91" s="294">
        <f t="shared" si="47"/>
        <v>120</v>
      </c>
      <c r="N91" s="294">
        <f t="shared" si="48"/>
        <v>50</v>
      </c>
      <c r="O91" s="296">
        <f t="shared" si="52"/>
        <v>42.352941176470587</v>
      </c>
      <c r="P91" s="296">
        <f t="shared" si="49"/>
        <v>17.647058823529409</v>
      </c>
      <c r="R91" s="343">
        <f t="shared" si="50"/>
        <v>6618.823529411764</v>
      </c>
      <c r="S91" s="343">
        <f t="shared" si="51"/>
        <v>39712.941176470587</v>
      </c>
    </row>
    <row r="92" spans="1:26" s="99" customFormat="1" x14ac:dyDescent="0.45">
      <c r="A92" s="95">
        <v>5</v>
      </c>
      <c r="B92" s="95"/>
      <c r="C92" s="95" cm="1">
        <f t="array" ref="C92">SUMPRODUCT(($A$54:$A$82=B92)*($C$54:$F$82&lt;&gt;""))</f>
        <v>0</v>
      </c>
      <c r="D92" s="95" cm="1">
        <f t="array" ref="D92">SUMPRODUCT(($A$54:$A$82=B92)*($B$54:$B$82&lt;&gt;""))</f>
        <v>0</v>
      </c>
      <c r="E92" s="557" t="str" cm="1">
        <f t="array" ref="E92">_xlfn.TEXTJOIN(",",TRUE,_xlfn._xlws.SORT(_xlfn._xlws.FILTER($C$54:$F$82,($A$54:$A$82=B92)), ,1,TRUE))</f>
        <v/>
      </c>
      <c r="F92" s="557"/>
      <c r="G92" s="557"/>
      <c r="H92" s="100">
        <f t="shared" si="44"/>
        <v>0</v>
      </c>
      <c r="I92" s="96">
        <f>_xlfn.MAXIFS($L$54:$L$82,$A$54:$A$82,$B92)</f>
        <v>0</v>
      </c>
      <c r="J92" s="96">
        <f>_xlfn.MINIFS($L$54:$L$82,$A$54:$A$82,$B92)</f>
        <v>0</v>
      </c>
      <c r="K92" s="294">
        <f t="shared" si="45"/>
        <v>170</v>
      </c>
      <c r="L92" s="295">
        <f t="shared" si="46"/>
        <v>21.176470588235293</v>
      </c>
      <c r="M92" s="294">
        <f t="shared" si="47"/>
        <v>0</v>
      </c>
      <c r="N92" s="294">
        <f t="shared" si="48"/>
        <v>170</v>
      </c>
      <c r="O92" s="296">
        <f t="shared" si="52"/>
        <v>0</v>
      </c>
      <c r="P92" s="296">
        <f t="shared" si="49"/>
        <v>60</v>
      </c>
      <c r="R92" s="343">
        <f t="shared" si="50"/>
        <v>0</v>
      </c>
      <c r="S92" s="343">
        <f t="shared" si="51"/>
        <v>0</v>
      </c>
    </row>
    <row r="93" spans="1:26" x14ac:dyDescent="0.45">
      <c r="R93" s="342">
        <f>SUM(R88:R92)</f>
        <v>36717.352941176468</v>
      </c>
      <c r="S93" s="342">
        <f>SUM(S88:S92)</f>
        <v>220304.1176470588</v>
      </c>
    </row>
    <row r="94" spans="1:26" x14ac:dyDescent="0.45">
      <c r="P94" t="s">
        <v>288</v>
      </c>
    </row>
    <row r="97" spans="1:18" x14ac:dyDescent="0.45">
      <c r="I97" s="199"/>
      <c r="J97" s="528" t="s">
        <v>216</v>
      </c>
      <c r="K97" s="528"/>
      <c r="L97" s="528"/>
      <c r="M97" s="528"/>
      <c r="N97" s="199"/>
      <c r="O97" s="528" t="s">
        <v>217</v>
      </c>
      <c r="P97" s="528"/>
      <c r="Q97" s="528"/>
      <c r="R97" s="528"/>
    </row>
    <row r="98" spans="1:18" x14ac:dyDescent="0.45">
      <c r="A98" s="303" t="s">
        <v>112</v>
      </c>
      <c r="B98" s="303" t="s">
        <v>218</v>
      </c>
      <c r="C98" s="303" t="s">
        <v>85</v>
      </c>
      <c r="D98" s="303" t="s">
        <v>219</v>
      </c>
      <c r="E98" s="303" t="s">
        <v>220</v>
      </c>
      <c r="F98" s="303" t="s">
        <v>221</v>
      </c>
      <c r="G98" s="303" t="s">
        <v>222</v>
      </c>
      <c r="H98" s="303" t="s">
        <v>223</v>
      </c>
      <c r="J98" s="303" t="s">
        <v>224</v>
      </c>
      <c r="K98" s="303" t="s">
        <v>221</v>
      </c>
      <c r="L98" s="303" t="s">
        <v>222</v>
      </c>
      <c r="M98" s="303" t="s">
        <v>223</v>
      </c>
      <c r="N98" s="205"/>
      <c r="O98" s="303" t="s">
        <v>224</v>
      </c>
      <c r="P98" s="303" t="s">
        <v>221</v>
      </c>
      <c r="Q98" s="303" t="s">
        <v>222</v>
      </c>
      <c r="R98" s="303" t="s">
        <v>223</v>
      </c>
    </row>
    <row r="99" spans="1:18" x14ac:dyDescent="0.45">
      <c r="A99" s="479">
        <v>1</v>
      </c>
      <c r="B99" s="479" t="s">
        <v>199</v>
      </c>
      <c r="C99" s="479" t="str">
        <f>VLOOKUP(B99,$B$54:$C$69,2,FALSE)</f>
        <v>A1</v>
      </c>
      <c r="D99" s="202">
        <f>VLOOKUP(B99,$B$54:$L$82,11,FALSE)/1000</f>
        <v>18.1875</v>
      </c>
      <c r="E99" s="479">
        <f t="shared" ref="E99:E114" si="53">VLOOKUP(VLOOKUP(B99,$B$54:$D$69,2,FALSE),$C$21:$E$48,3,FALSE)</f>
        <v>78</v>
      </c>
      <c r="F99" s="203">
        <v>90</v>
      </c>
      <c r="G99" s="200">
        <f>IF(F99=50,46.2,IF(F99=63,59.75,IF(F99=75,71.15,IF(F99=90,85.3,IF(F99=110,104.7,IF(F99=140,133,IF(F99=160,152,IF(F99=180,171,IF(F99=200,191,IF(F99=40,36.95,IF(F99=250,237.8,IF(F99=280,266.8,IF(F99=315,299.5,0)))))))))))))</f>
        <v>85.3</v>
      </c>
      <c r="H99" s="201">
        <f>1.131*10^9*(D99/150)^1.852*G99^-4.871*E99*0.4</f>
        <v>0.27857559326346254</v>
      </c>
      <c r="J99" s="479" t="e">
        <f>VLOOKUP(VLOOKUP(B99,$B$54:$C$82,2,FALSE),C21:Z48,36,FALSE)</f>
        <v>#REF!</v>
      </c>
      <c r="K99" s="203">
        <v>90</v>
      </c>
      <c r="L99" s="200">
        <f>IF(K99=50,46.2,IF(K99=63,59.75,IF(K99=75,71.15,IF(K99=90,85.3,IF(K99=110,104.7,IF(K99=140,133,IF(K99=160,152,IF(K99=180,171,IF(K99=200,191,IF(K99=40,36.95,IF(K99=250,237.8,IF(K99=280,266.8,IF(K99=315,299.5,0)))))))))))))</f>
        <v>85.3</v>
      </c>
      <c r="M99" s="201" t="e">
        <f>1.131*10^9*(D99/150)^1.852*L99^-4.871*J99*0.4</f>
        <v>#REF!</v>
      </c>
      <c r="N99" s="205"/>
      <c r="O99" s="204" t="e">
        <f>VLOOKUP(VLOOKUP(B99,$B$54:$C$82,2,FALSE),C21:Z48,37,FALSE)</f>
        <v>#REF!</v>
      </c>
      <c r="P99" s="203">
        <v>90</v>
      </c>
      <c r="Q99" s="200">
        <f>IF(P99=50,46.2,IF(P99=63,59.75,IF(P99=75,71.15,IF(P99=90,85.3,IF(P99=110,104.7,IF(P99=140,133,IF(P99=160,152,IF(P99=180,171,IF(P99=200,191,IF(P99=40,36.95,IF(P99=250,237.8,IF(P99=280,266.8,IF(P99=315,299.5,0)))))))))))))</f>
        <v>85.3</v>
      </c>
      <c r="R99" s="201" t="e">
        <f>1.131*10^9*(D99/150)^1.852*Q99^-4.871*O99*0.4</f>
        <v>#REF!</v>
      </c>
    </row>
    <row r="100" spans="1:18" x14ac:dyDescent="0.45">
      <c r="A100" s="479">
        <v>2</v>
      </c>
      <c r="B100" s="479" t="s">
        <v>186</v>
      </c>
      <c r="C100" s="479" t="str">
        <f t="shared" ref="C100:C114" si="54">VLOOKUP(B100,$B$54:$C$69,2,FALSE)</f>
        <v>B1</v>
      </c>
      <c r="D100" s="202">
        <f t="shared" ref="D100:D114" si="55">VLOOKUP(B100,$B$54:$L$82,11,FALSE)/1000</f>
        <v>27.402499999999996</v>
      </c>
      <c r="E100" s="479">
        <f t="shared" si="53"/>
        <v>86</v>
      </c>
      <c r="F100" s="203">
        <v>90</v>
      </c>
      <c r="G100" s="200">
        <f t="shared" ref="G100:G114" si="56">IF(F100=50,46.2,IF(F100=63,59.75,IF(F100=75,71.15,IF(F100=90,85.3,IF(F100=110,104.7,IF(F100=140,133,IF(F100=160,152,IF(F100=180,171,IF(F100=200,191,IF(F100=40,36.95,IF(F100=250,237.8,IF(F100=280,266.8,IF(F100=315,299.5,0)))))))))))))</f>
        <v>85.3</v>
      </c>
      <c r="H100" s="201">
        <f>1.131*10^9*(D100/150)^1.852*G100^-4.871*E100*0.4</f>
        <v>0.65619773978216911</v>
      </c>
      <c r="J100" s="479" t="e">
        <f>VLOOKUP(VLOOKUP(B100,$B$54:$C$82,2,FALSE),C22:Z49,36,FALSE)</f>
        <v>#REF!</v>
      </c>
      <c r="K100" s="203">
        <v>110</v>
      </c>
      <c r="L100" s="200">
        <f t="shared" ref="L100:L114" si="57">IF(K100=50,46.2,IF(K100=63,59.75,IF(K100=75,71.15,IF(K100=90,85.3,IF(K100=110,104.7,IF(K100=140,133,IF(K100=160,152,IF(K100=180,171,IF(K100=200,191,IF(K100=40,36.95,IF(K100=250,237.8,IF(K100=280,266.8,IF(K100=315,299.5,0)))))))))))))</f>
        <v>104.7</v>
      </c>
      <c r="M100" s="201" t="e">
        <f t="shared" ref="M100:M114" si="58">1.131*10^9*(D100/150)^1.852*L100^-4.871*J100*0.4</f>
        <v>#REF!</v>
      </c>
      <c r="N100" s="205"/>
      <c r="O100" s="204" t="e">
        <f>VLOOKUP(VLOOKUP(B100,$B$54:$C$82,2,FALSE),C22:Z49,37,FALSE)</f>
        <v>#REF!</v>
      </c>
      <c r="P100" s="203">
        <v>110</v>
      </c>
      <c r="Q100" s="200">
        <f t="shared" ref="Q100:Q114" si="59">IF(P100=50,46.2,IF(P100=63,59.75,IF(P100=75,71.15,IF(P100=90,85.3,IF(P100=110,104.7,IF(P100=140,133,IF(P100=160,152,IF(P100=180,171,IF(P100=200,191,IF(P100=40,36.95,IF(P100=250,237.8,IF(P100=280,266.8,IF(P100=315,299.5,0)))))))))))))</f>
        <v>104.7</v>
      </c>
      <c r="R100" s="201" t="e">
        <f t="shared" ref="R100:R114" si="60">1.131*10^9*(D100/150)^1.852*Q100^-4.871*O100*0.4</f>
        <v>#REF!</v>
      </c>
    </row>
    <row r="101" spans="1:18" x14ac:dyDescent="0.45">
      <c r="A101" s="479">
        <v>3</v>
      </c>
      <c r="B101" s="479" t="s">
        <v>200</v>
      </c>
      <c r="C101" s="479" t="str">
        <f t="shared" si="54"/>
        <v>B2</v>
      </c>
      <c r="D101" s="202">
        <f t="shared" si="55"/>
        <v>27.887499999999996</v>
      </c>
      <c r="E101" s="479">
        <f t="shared" si="53"/>
        <v>86</v>
      </c>
      <c r="F101" s="203">
        <v>90</v>
      </c>
      <c r="G101" s="200">
        <f t="shared" si="56"/>
        <v>85.3</v>
      </c>
      <c r="H101" s="201">
        <f t="shared" ref="H101:H114" si="61">1.131*10^9*(D101/150)^1.852*G101^-4.871*E101*0.4</f>
        <v>0.67786912449607095</v>
      </c>
      <c r="J101" s="479">
        <f>VLOOKUP(VLOOKUP(B101,$B$54:$C$82,2,FALSE),C23:AN50,36,FALSE)</f>
        <v>4.545454545454545</v>
      </c>
      <c r="K101" s="203">
        <v>90</v>
      </c>
      <c r="L101" s="200">
        <f t="shared" si="57"/>
        <v>85.3</v>
      </c>
      <c r="M101" s="201">
        <f t="shared" si="58"/>
        <v>3.5828177827487886E-2</v>
      </c>
      <c r="N101" s="205"/>
      <c r="O101" s="204">
        <f>VLOOKUP(VLOOKUP(B101,$B$54:$C$82,2,FALSE),C23:AN50,37,FALSE)</f>
        <v>0</v>
      </c>
      <c r="P101" s="203">
        <v>90</v>
      </c>
      <c r="Q101" s="200">
        <f t="shared" si="59"/>
        <v>85.3</v>
      </c>
      <c r="R101" s="201">
        <f t="shared" si="60"/>
        <v>0</v>
      </c>
    </row>
    <row r="102" spans="1:18" x14ac:dyDescent="0.45">
      <c r="A102" s="479">
        <v>4</v>
      </c>
      <c r="B102" s="479" t="s">
        <v>187</v>
      </c>
      <c r="C102" s="479" t="str">
        <f t="shared" si="54"/>
        <v>C1</v>
      </c>
      <c r="D102" s="202">
        <f t="shared" si="55"/>
        <v>28.372499999999995</v>
      </c>
      <c r="E102" s="479">
        <f t="shared" si="53"/>
        <v>78</v>
      </c>
      <c r="F102" s="203">
        <v>90</v>
      </c>
      <c r="G102" s="200">
        <f t="shared" si="56"/>
        <v>85.3</v>
      </c>
      <c r="H102" s="201">
        <f t="shared" si="61"/>
        <v>0.6347603928205946</v>
      </c>
      <c r="J102" s="479">
        <f>VLOOKUP(VLOOKUP(B102,$B$54:$C$82,2,FALSE),C24:AN51,36,FALSE)</f>
        <v>5</v>
      </c>
      <c r="K102" s="203">
        <v>110</v>
      </c>
      <c r="L102" s="200">
        <f t="shared" si="57"/>
        <v>104.7</v>
      </c>
      <c r="M102" s="201">
        <f t="shared" si="58"/>
        <v>1.4996077156056321E-2</v>
      </c>
      <c r="N102" s="205"/>
      <c r="O102" s="204">
        <f>VLOOKUP(VLOOKUP(B102,$B$54:$C$82,2,FALSE),C24:AN51,37,FALSE)</f>
        <v>0</v>
      </c>
      <c r="P102" s="203">
        <v>110</v>
      </c>
      <c r="Q102" s="200">
        <f t="shared" si="59"/>
        <v>104.7</v>
      </c>
      <c r="R102" s="201">
        <f t="shared" si="60"/>
        <v>0</v>
      </c>
    </row>
    <row r="103" spans="1:18" x14ac:dyDescent="0.45">
      <c r="A103" s="479">
        <v>5</v>
      </c>
      <c r="B103" s="479" t="s">
        <v>188</v>
      </c>
      <c r="C103" s="479" t="str">
        <f t="shared" si="54"/>
        <v>D1</v>
      </c>
      <c r="D103" s="202">
        <f t="shared" si="55"/>
        <v>27.887499999999996</v>
      </c>
      <c r="E103" s="479">
        <f t="shared" si="53"/>
        <v>86</v>
      </c>
      <c r="F103" s="203">
        <v>90</v>
      </c>
      <c r="G103" s="200">
        <f t="shared" si="56"/>
        <v>85.3</v>
      </c>
      <c r="H103" s="201">
        <f t="shared" si="61"/>
        <v>0.67786912449607095</v>
      </c>
      <c r="J103" s="479">
        <f>VLOOKUP(VLOOKUP(B103,$B$54:$C$82,2,FALSE),C25:AM52,36,FALSE)</f>
        <v>4.545454545454545</v>
      </c>
      <c r="K103" s="203">
        <v>90</v>
      </c>
      <c r="L103" s="200">
        <f t="shared" si="57"/>
        <v>85.3</v>
      </c>
      <c r="M103" s="201">
        <f t="shared" si="58"/>
        <v>3.5828177827487886E-2</v>
      </c>
      <c r="N103" s="205"/>
      <c r="O103" s="204">
        <f>VLOOKUP(VLOOKUP(B103,$B$54:$C$82,2,FALSE),C25:AM52,37,FALSE)</f>
        <v>0</v>
      </c>
      <c r="P103" s="203">
        <v>90</v>
      </c>
      <c r="Q103" s="200">
        <f t="shared" si="59"/>
        <v>85.3</v>
      </c>
      <c r="R103" s="201">
        <f t="shared" si="60"/>
        <v>0</v>
      </c>
    </row>
    <row r="104" spans="1:18" x14ac:dyDescent="0.45">
      <c r="A104" s="479">
        <v>6</v>
      </c>
      <c r="B104" s="479" t="s">
        <v>3</v>
      </c>
      <c r="C104" s="479" t="str">
        <f t="shared" si="54"/>
        <v>D2</v>
      </c>
      <c r="D104" s="202">
        <f t="shared" si="55"/>
        <v>27.887499999999996</v>
      </c>
      <c r="E104" s="479">
        <f t="shared" si="53"/>
        <v>86</v>
      </c>
      <c r="F104" s="203">
        <v>90</v>
      </c>
      <c r="G104" s="200">
        <f t="shared" si="56"/>
        <v>85.3</v>
      </c>
      <c r="H104" s="201">
        <f t="shared" si="61"/>
        <v>0.67786912449607095</v>
      </c>
      <c r="J104" s="479">
        <f>VLOOKUP(VLOOKUP(B104,$B$54:$C$82,2,FALSE),C26:AM53,36,FALSE)</f>
        <v>4.545454545454545</v>
      </c>
      <c r="K104" s="203">
        <v>90</v>
      </c>
      <c r="L104" s="200">
        <f t="shared" si="57"/>
        <v>85.3</v>
      </c>
      <c r="M104" s="201">
        <f t="shared" si="58"/>
        <v>3.5828177827487886E-2</v>
      </c>
      <c r="N104" s="205"/>
      <c r="O104" s="204">
        <f>VLOOKUP(VLOOKUP(B104,$B$54:$C$82,2,FALSE),C26:AM53,37,FALSE)</f>
        <v>0</v>
      </c>
      <c r="P104" s="203">
        <v>90</v>
      </c>
      <c r="Q104" s="200">
        <f t="shared" si="59"/>
        <v>85.3</v>
      </c>
      <c r="R104" s="201">
        <f t="shared" si="60"/>
        <v>0</v>
      </c>
    </row>
    <row r="105" spans="1:18" x14ac:dyDescent="0.45">
      <c r="A105" s="479">
        <v>7</v>
      </c>
      <c r="B105" s="479" t="s">
        <v>189</v>
      </c>
      <c r="C105" s="479" t="str">
        <f t="shared" si="54"/>
        <v>E1</v>
      </c>
      <c r="D105" s="202">
        <f t="shared" si="55"/>
        <v>20.612500000000001</v>
      </c>
      <c r="E105" s="479">
        <f t="shared" si="53"/>
        <v>86</v>
      </c>
      <c r="F105" s="203">
        <v>90</v>
      </c>
      <c r="G105" s="200">
        <f t="shared" si="56"/>
        <v>85.3</v>
      </c>
      <c r="H105" s="201">
        <f t="shared" si="61"/>
        <v>0.38727307443071912</v>
      </c>
      <c r="J105" s="479">
        <f>VLOOKUP(VLOOKUP(B105,$B$54:$C$82,2,FALSE),C27:AM53,36,FALSE)</f>
        <v>3.6363636363636362</v>
      </c>
      <c r="K105" s="203">
        <v>90</v>
      </c>
      <c r="L105" s="200">
        <f t="shared" si="57"/>
        <v>85.3</v>
      </c>
      <c r="M105" s="201">
        <f t="shared" si="58"/>
        <v>1.6375182851193198E-2</v>
      </c>
      <c r="N105" s="205"/>
      <c r="O105" s="204">
        <f>VLOOKUP(VLOOKUP(B105,$B$54:$C$82,2,FALSE),C27:AM53,37,FALSE)</f>
        <v>0</v>
      </c>
      <c r="P105" s="203">
        <v>90</v>
      </c>
      <c r="Q105" s="200">
        <f t="shared" si="59"/>
        <v>85.3</v>
      </c>
      <c r="R105" s="201">
        <f t="shared" si="60"/>
        <v>0</v>
      </c>
    </row>
    <row r="106" spans="1:18" x14ac:dyDescent="0.45">
      <c r="A106" s="479">
        <v>8</v>
      </c>
      <c r="B106" s="479" t="s">
        <v>190</v>
      </c>
      <c r="C106" s="479" t="str">
        <f t="shared" si="54"/>
        <v>E2</v>
      </c>
      <c r="D106" s="202">
        <f t="shared" si="55"/>
        <v>20.612500000000001</v>
      </c>
      <c r="E106" s="479">
        <f t="shared" si="53"/>
        <v>86</v>
      </c>
      <c r="F106" s="203">
        <v>90</v>
      </c>
      <c r="G106" s="200">
        <f t="shared" si="56"/>
        <v>85.3</v>
      </c>
      <c r="H106" s="201">
        <f t="shared" si="61"/>
        <v>0.38727307443071912</v>
      </c>
      <c r="J106" s="479">
        <f t="shared" ref="J106:J114" si="62">VLOOKUP(VLOOKUP(B106,$B$54:$C$82,2,FALSE),C28:AM53,36,FALSE)</f>
        <v>3.6363636363636362</v>
      </c>
      <c r="K106" s="203">
        <v>110</v>
      </c>
      <c r="L106" s="200">
        <f t="shared" si="57"/>
        <v>104.7</v>
      </c>
      <c r="M106" s="201">
        <f t="shared" si="58"/>
        <v>6.0350184555177213E-3</v>
      </c>
      <c r="N106" s="205"/>
      <c r="O106" s="204">
        <f t="shared" ref="O106:O114" si="63">VLOOKUP(VLOOKUP(B106,$B$54:$C$82,2,FALSE),C28:AM53,37,FALSE)</f>
        <v>0</v>
      </c>
      <c r="P106" s="203">
        <v>110</v>
      </c>
      <c r="Q106" s="200">
        <f t="shared" si="59"/>
        <v>104.7</v>
      </c>
      <c r="R106" s="201">
        <f t="shared" si="60"/>
        <v>0</v>
      </c>
    </row>
    <row r="107" spans="1:18" x14ac:dyDescent="0.45">
      <c r="A107" s="479">
        <v>9</v>
      </c>
      <c r="B107" s="479" t="s">
        <v>191</v>
      </c>
      <c r="C107" s="479" t="str">
        <f t="shared" si="54"/>
        <v>F1</v>
      </c>
      <c r="D107" s="202">
        <f t="shared" si="55"/>
        <v>14.307499999999997</v>
      </c>
      <c r="E107" s="479">
        <f t="shared" si="53"/>
        <v>86</v>
      </c>
      <c r="F107" s="203">
        <v>90</v>
      </c>
      <c r="G107" s="200">
        <f t="shared" si="56"/>
        <v>85.3</v>
      </c>
      <c r="H107" s="201">
        <f t="shared" si="61"/>
        <v>0.19694791087545804</v>
      </c>
      <c r="J107" s="479">
        <f t="shared" si="62"/>
        <v>2.7272727272727271</v>
      </c>
      <c r="K107" s="203">
        <v>110</v>
      </c>
      <c r="L107" s="200">
        <f t="shared" si="57"/>
        <v>104.7</v>
      </c>
      <c r="M107" s="201">
        <f t="shared" si="58"/>
        <v>2.3018336841314781E-3</v>
      </c>
      <c r="N107" s="205"/>
      <c r="O107" s="204">
        <f t="shared" si="63"/>
        <v>0</v>
      </c>
      <c r="P107" s="203">
        <v>110</v>
      </c>
      <c r="Q107" s="200">
        <f t="shared" si="59"/>
        <v>104.7</v>
      </c>
      <c r="R107" s="201">
        <f t="shared" si="60"/>
        <v>0</v>
      </c>
    </row>
    <row r="108" spans="1:18" x14ac:dyDescent="0.45">
      <c r="A108" s="479">
        <v>10</v>
      </c>
      <c r="B108" s="479" t="s">
        <v>192</v>
      </c>
      <c r="C108" s="479" t="str">
        <f t="shared" si="54"/>
        <v>F2</v>
      </c>
      <c r="D108" s="202">
        <f t="shared" si="55"/>
        <v>23.037500000000001</v>
      </c>
      <c r="E108" s="479">
        <f t="shared" si="53"/>
        <v>86</v>
      </c>
      <c r="F108" s="203">
        <v>90</v>
      </c>
      <c r="G108" s="200">
        <f t="shared" si="56"/>
        <v>85.3</v>
      </c>
      <c r="H108" s="201">
        <f t="shared" si="61"/>
        <v>0.47585821352157853</v>
      </c>
      <c r="J108" s="479">
        <f t="shared" si="62"/>
        <v>4.0909090909090908</v>
      </c>
      <c r="K108" s="203">
        <v>90</v>
      </c>
      <c r="L108" s="200">
        <f t="shared" si="57"/>
        <v>85.3</v>
      </c>
      <c r="M108" s="201">
        <f t="shared" si="58"/>
        <v>2.2635961531153312E-2</v>
      </c>
      <c r="N108" s="205"/>
      <c r="O108" s="204">
        <f t="shared" si="63"/>
        <v>0</v>
      </c>
      <c r="P108" s="203">
        <v>90</v>
      </c>
      <c r="Q108" s="200">
        <f t="shared" si="59"/>
        <v>85.3</v>
      </c>
      <c r="R108" s="201">
        <f t="shared" si="60"/>
        <v>0</v>
      </c>
    </row>
    <row r="109" spans="1:18" x14ac:dyDescent="0.45">
      <c r="A109" s="479">
        <v>11</v>
      </c>
      <c r="B109" s="479" t="s">
        <v>201</v>
      </c>
      <c r="C109" s="479" t="str">
        <f t="shared" si="54"/>
        <v>G1</v>
      </c>
      <c r="D109" s="202">
        <f t="shared" si="55"/>
        <v>21.34</v>
      </c>
      <c r="E109" s="479">
        <f t="shared" si="53"/>
        <v>94</v>
      </c>
      <c r="F109" s="203">
        <v>90</v>
      </c>
      <c r="G109" s="200">
        <f t="shared" si="56"/>
        <v>85.3</v>
      </c>
      <c r="H109" s="201">
        <f t="shared" si="61"/>
        <v>0.45138254826931634</v>
      </c>
      <c r="J109" s="479">
        <f t="shared" si="62"/>
        <v>3.6363636363636362</v>
      </c>
      <c r="K109" s="203">
        <v>90</v>
      </c>
      <c r="L109" s="200">
        <f t="shared" si="57"/>
        <v>85.3</v>
      </c>
      <c r="M109" s="201">
        <f t="shared" si="58"/>
        <v>1.7461607283145702E-2</v>
      </c>
      <c r="N109" s="205"/>
      <c r="O109" s="204">
        <f t="shared" si="63"/>
        <v>0</v>
      </c>
      <c r="P109" s="203">
        <v>90</v>
      </c>
      <c r="Q109" s="200">
        <f t="shared" si="59"/>
        <v>85.3</v>
      </c>
      <c r="R109" s="201">
        <f t="shared" si="60"/>
        <v>0</v>
      </c>
    </row>
    <row r="110" spans="1:18" x14ac:dyDescent="0.45">
      <c r="A110" s="479">
        <v>12</v>
      </c>
      <c r="B110" s="479" t="s">
        <v>202</v>
      </c>
      <c r="C110" s="479" t="str">
        <f t="shared" si="54"/>
        <v>G2</v>
      </c>
      <c r="D110" s="202">
        <f t="shared" si="55"/>
        <v>21.34</v>
      </c>
      <c r="E110" s="479">
        <f t="shared" si="53"/>
        <v>94</v>
      </c>
      <c r="F110" s="203">
        <v>90</v>
      </c>
      <c r="G110" s="200">
        <f t="shared" si="56"/>
        <v>85.3</v>
      </c>
      <c r="H110" s="201">
        <f t="shared" si="61"/>
        <v>0.45138254826931634</v>
      </c>
      <c r="J110" s="479">
        <f t="shared" si="62"/>
        <v>3.6363636363636362</v>
      </c>
      <c r="K110" s="203">
        <v>90</v>
      </c>
      <c r="L110" s="200">
        <f t="shared" si="57"/>
        <v>85.3</v>
      </c>
      <c r="M110" s="201">
        <f t="shared" si="58"/>
        <v>1.7461607283145702E-2</v>
      </c>
      <c r="N110" s="205"/>
      <c r="O110" s="204">
        <f t="shared" si="63"/>
        <v>0</v>
      </c>
      <c r="P110" s="203">
        <v>90</v>
      </c>
      <c r="Q110" s="200">
        <f t="shared" si="59"/>
        <v>85.3</v>
      </c>
      <c r="R110" s="201">
        <f t="shared" si="60"/>
        <v>0</v>
      </c>
    </row>
    <row r="111" spans="1:18" x14ac:dyDescent="0.45">
      <c r="A111" s="479">
        <v>13</v>
      </c>
      <c r="B111" s="479" t="s">
        <v>193</v>
      </c>
      <c r="C111" s="479" t="str">
        <f t="shared" si="54"/>
        <v>H1</v>
      </c>
      <c r="D111" s="202">
        <f t="shared" si="55"/>
        <v>33.465000000000003</v>
      </c>
      <c r="E111" s="479">
        <f t="shared" si="53"/>
        <v>102</v>
      </c>
      <c r="F111" s="203">
        <v>90</v>
      </c>
      <c r="G111" s="200">
        <f t="shared" si="56"/>
        <v>85.3</v>
      </c>
      <c r="H111" s="201">
        <f t="shared" si="61"/>
        <v>1.1269152119516994</v>
      </c>
      <c r="J111" s="479">
        <f t="shared" si="62"/>
        <v>5.4545454545454541</v>
      </c>
      <c r="K111" s="203">
        <v>90</v>
      </c>
      <c r="L111" s="200">
        <f t="shared" si="57"/>
        <v>85.3</v>
      </c>
      <c r="M111" s="201">
        <f t="shared" si="58"/>
        <v>6.0262845558914403E-2</v>
      </c>
      <c r="N111" s="205"/>
      <c r="O111" s="204">
        <f t="shared" si="63"/>
        <v>0</v>
      </c>
      <c r="P111" s="203">
        <v>90</v>
      </c>
      <c r="Q111" s="200">
        <f t="shared" si="59"/>
        <v>85.3</v>
      </c>
      <c r="R111" s="201">
        <f t="shared" si="60"/>
        <v>0</v>
      </c>
    </row>
    <row r="112" spans="1:18" x14ac:dyDescent="0.45">
      <c r="A112" s="479">
        <v>14</v>
      </c>
      <c r="B112" s="479" t="s">
        <v>194</v>
      </c>
      <c r="C112" s="479" t="str">
        <f t="shared" si="54"/>
        <v>H2</v>
      </c>
      <c r="D112" s="202">
        <f t="shared" si="55"/>
        <v>33.465000000000003</v>
      </c>
      <c r="E112" s="479">
        <f t="shared" si="53"/>
        <v>102</v>
      </c>
      <c r="F112" s="203">
        <v>90</v>
      </c>
      <c r="G112" s="200">
        <f t="shared" si="56"/>
        <v>85.3</v>
      </c>
      <c r="H112" s="201">
        <f t="shared" si="61"/>
        <v>1.1269152119516994</v>
      </c>
      <c r="J112" s="479">
        <f t="shared" si="62"/>
        <v>5.4545454545454541</v>
      </c>
      <c r="K112" s="203">
        <v>90</v>
      </c>
      <c r="L112" s="200">
        <f t="shared" si="57"/>
        <v>85.3</v>
      </c>
      <c r="M112" s="201">
        <f t="shared" si="58"/>
        <v>6.0262845558914403E-2</v>
      </c>
      <c r="N112" s="205"/>
      <c r="O112" s="204">
        <f t="shared" si="63"/>
        <v>0</v>
      </c>
      <c r="P112" s="203">
        <v>90</v>
      </c>
      <c r="Q112" s="200">
        <f t="shared" si="59"/>
        <v>85.3</v>
      </c>
      <c r="R112" s="201">
        <f t="shared" si="60"/>
        <v>0</v>
      </c>
    </row>
    <row r="113" spans="1:18" x14ac:dyDescent="0.45">
      <c r="A113" s="479">
        <v>15</v>
      </c>
      <c r="B113" s="479" t="s">
        <v>195</v>
      </c>
      <c r="C113" s="479" t="str">
        <f t="shared" si="54"/>
        <v>I1</v>
      </c>
      <c r="D113" s="202">
        <f t="shared" si="55"/>
        <v>33.465000000000003</v>
      </c>
      <c r="E113" s="479">
        <f t="shared" si="53"/>
        <v>102</v>
      </c>
      <c r="F113" s="203">
        <v>90</v>
      </c>
      <c r="G113" s="200">
        <f t="shared" si="56"/>
        <v>85.3</v>
      </c>
      <c r="H113" s="201">
        <f t="shared" si="61"/>
        <v>1.1269152119516994</v>
      </c>
      <c r="J113" s="479">
        <f t="shared" si="62"/>
        <v>5.4545454545454541</v>
      </c>
      <c r="K113" s="203">
        <v>110</v>
      </c>
      <c r="L113" s="200">
        <f t="shared" si="57"/>
        <v>104.7</v>
      </c>
      <c r="M113" s="201">
        <f t="shared" si="58"/>
        <v>2.2209668645230551E-2</v>
      </c>
      <c r="N113" s="205"/>
      <c r="O113" s="204">
        <f t="shared" si="63"/>
        <v>0</v>
      </c>
      <c r="P113" s="203">
        <v>110</v>
      </c>
      <c r="Q113" s="200">
        <f t="shared" si="59"/>
        <v>104.7</v>
      </c>
      <c r="R113" s="201">
        <f t="shared" si="60"/>
        <v>0</v>
      </c>
    </row>
    <row r="114" spans="1:18" x14ac:dyDescent="0.45">
      <c r="A114" s="479">
        <v>16</v>
      </c>
      <c r="B114" s="479" t="s">
        <v>196</v>
      </c>
      <c r="C114" s="479" t="str">
        <f t="shared" si="54"/>
        <v>I2</v>
      </c>
      <c r="D114" s="202">
        <f t="shared" si="55"/>
        <v>33.465000000000003</v>
      </c>
      <c r="E114" s="479">
        <f t="shared" si="53"/>
        <v>102</v>
      </c>
      <c r="F114" s="203">
        <v>90</v>
      </c>
      <c r="G114" s="200">
        <f t="shared" si="56"/>
        <v>85.3</v>
      </c>
      <c r="H114" s="201">
        <f t="shared" si="61"/>
        <v>1.1269152119516994</v>
      </c>
      <c r="J114" s="479">
        <f t="shared" si="62"/>
        <v>5.4545454545454541</v>
      </c>
      <c r="K114" s="203">
        <v>110</v>
      </c>
      <c r="L114" s="200">
        <f t="shared" si="57"/>
        <v>104.7</v>
      </c>
      <c r="M114" s="201">
        <f t="shared" si="58"/>
        <v>2.2209668645230551E-2</v>
      </c>
      <c r="N114" s="205"/>
      <c r="O114" s="204">
        <f t="shared" si="63"/>
        <v>0</v>
      </c>
      <c r="P114" s="203">
        <v>110</v>
      </c>
      <c r="Q114" s="200">
        <f t="shared" si="59"/>
        <v>104.7</v>
      </c>
      <c r="R114" s="201">
        <f t="shared" si="60"/>
        <v>0</v>
      </c>
    </row>
    <row r="115" spans="1:18" x14ac:dyDescent="0.45">
      <c r="C115" s="206"/>
      <c r="D115" s="206"/>
      <c r="E115" s="206"/>
      <c r="F115" s="206"/>
      <c r="G115" s="206"/>
      <c r="H115" s="206"/>
      <c r="L115" s="205"/>
      <c r="M115" s="205"/>
    </row>
    <row r="119" spans="1:18" x14ac:dyDescent="0.45">
      <c r="A119" s="331" t="s">
        <v>112</v>
      </c>
      <c r="B119" s="331" t="s">
        <v>85</v>
      </c>
      <c r="C119" s="331" t="s">
        <v>129</v>
      </c>
      <c r="D119" s="331" t="s">
        <v>289</v>
      </c>
      <c r="E119" s="331" t="s">
        <v>290</v>
      </c>
      <c r="F119" s="331" t="s">
        <v>256</v>
      </c>
      <c r="G119" s="331" t="s">
        <v>213</v>
      </c>
      <c r="H119" s="331" t="s">
        <v>291</v>
      </c>
      <c r="I119" s="331" t="s">
        <v>292</v>
      </c>
      <c r="J119" s="331" t="s">
        <v>293</v>
      </c>
      <c r="K119" s="331" t="s">
        <v>294</v>
      </c>
    </row>
    <row r="120" spans="1:18" x14ac:dyDescent="0.45">
      <c r="A120" s="1">
        <v>1</v>
      </c>
      <c r="B120" s="1" t="s">
        <v>12</v>
      </c>
      <c r="C120" s="1">
        <v>7500</v>
      </c>
      <c r="D120" s="30">
        <f>C120*1/2</f>
        <v>3750</v>
      </c>
      <c r="E120" s="390">
        <v>2</v>
      </c>
      <c r="F120" s="390">
        <v>1.1000000000000001</v>
      </c>
      <c r="G120" s="390">
        <f t="shared" ref="G120:G135" si="64">D120/1000/F120/E120</f>
        <v>1.7045454545454544</v>
      </c>
      <c r="H120" s="390">
        <f>F120*110%</f>
        <v>1.2100000000000002</v>
      </c>
      <c r="I120" s="16">
        <f>E120*G120*2+2*(G120+E120)*H120</f>
        <v>15.783181818181816</v>
      </c>
      <c r="J120" s="447">
        <f>E120*F120*G120</f>
        <v>3.75</v>
      </c>
      <c r="K120" s="390">
        <f>H120+0.3+0.3</f>
        <v>1.8100000000000003</v>
      </c>
      <c r="M120">
        <f t="shared" ref="M120:M135" si="65">2*(E120+G120)*H120</f>
        <v>8.9649999999999999</v>
      </c>
      <c r="N120">
        <f t="shared" ref="N120:N135" si="66">M120*0.23</f>
        <v>2.0619499999999999</v>
      </c>
      <c r="O120">
        <f t="shared" ref="O120:O135" si="67">0.19*0.09*0.09</f>
        <v>1.539E-3</v>
      </c>
      <c r="P120" s="13">
        <f t="shared" ref="P120:P135" si="68">N120/O120</f>
        <v>1339.7985705003248</v>
      </c>
      <c r="Q120" s="467">
        <f>1/500</f>
        <v>2E-3</v>
      </c>
    </row>
    <row r="121" spans="1:18" x14ac:dyDescent="0.45">
      <c r="A121" s="1">
        <v>2</v>
      </c>
      <c r="B121" s="1" t="s">
        <v>14</v>
      </c>
      <c r="C121" s="1">
        <v>22800</v>
      </c>
      <c r="D121" s="30">
        <f t="shared" ref="D121:D135" si="69">C121*1/2</f>
        <v>11400</v>
      </c>
      <c r="E121" s="390">
        <v>3</v>
      </c>
      <c r="F121" s="390">
        <v>1.1000000000000001</v>
      </c>
      <c r="G121" s="390">
        <f t="shared" si="64"/>
        <v>3.4545454545454546</v>
      </c>
      <c r="H121" s="390">
        <f>H120</f>
        <v>1.2100000000000002</v>
      </c>
      <c r="I121" s="16">
        <f t="shared" ref="I121:I135" si="70">E121*G121*2+2*(G121+E121)*H121</f>
        <v>36.347272727272731</v>
      </c>
      <c r="J121" s="447">
        <f t="shared" ref="J121:J135" si="71">E121*F121*G121</f>
        <v>11.4</v>
      </c>
      <c r="K121" s="390">
        <f t="shared" ref="K121:K135" si="72">H121+0.3+0.3</f>
        <v>1.8100000000000003</v>
      </c>
      <c r="M121">
        <f t="shared" si="65"/>
        <v>15.620000000000003</v>
      </c>
      <c r="N121">
        <f t="shared" si="66"/>
        <v>3.5926000000000009</v>
      </c>
      <c r="O121">
        <f t="shared" si="67"/>
        <v>1.539E-3</v>
      </c>
      <c r="P121" s="13">
        <f t="shared" si="68"/>
        <v>2334.3729694606895</v>
      </c>
    </row>
    <row r="122" spans="1:18" x14ac:dyDescent="0.45">
      <c r="A122" s="1">
        <v>3</v>
      </c>
      <c r="B122" s="1" t="s">
        <v>16</v>
      </c>
      <c r="C122" s="1">
        <v>11700</v>
      </c>
      <c r="D122" s="30">
        <f t="shared" si="69"/>
        <v>5850</v>
      </c>
      <c r="E122" s="390">
        <v>2</v>
      </c>
      <c r="F122" s="390">
        <v>1.1000000000000001</v>
      </c>
      <c r="G122" s="390">
        <f t="shared" si="64"/>
        <v>2.6590909090909087</v>
      </c>
      <c r="H122" s="390">
        <f>H121</f>
        <v>1.2100000000000002</v>
      </c>
      <c r="I122" s="16">
        <f t="shared" si="70"/>
        <v>21.911363636363635</v>
      </c>
      <c r="J122" s="447">
        <f t="shared" si="71"/>
        <v>5.85</v>
      </c>
      <c r="K122" s="390">
        <f t="shared" si="72"/>
        <v>1.8100000000000003</v>
      </c>
      <c r="M122">
        <f t="shared" si="65"/>
        <v>11.275</v>
      </c>
      <c r="N122">
        <f t="shared" si="66"/>
        <v>2.5932500000000003</v>
      </c>
      <c r="O122">
        <f t="shared" si="67"/>
        <v>1.539E-3</v>
      </c>
      <c r="P122" s="13">
        <f t="shared" si="68"/>
        <v>1685.0227420402862</v>
      </c>
    </row>
    <row r="123" spans="1:18" x14ac:dyDescent="0.45">
      <c r="A123" s="1">
        <v>4</v>
      </c>
      <c r="B123" s="1" t="s">
        <v>18</v>
      </c>
      <c r="C123" s="1">
        <v>23000</v>
      </c>
      <c r="D123" s="30">
        <f t="shared" si="69"/>
        <v>11500</v>
      </c>
      <c r="E123" s="390">
        <v>3</v>
      </c>
      <c r="F123" s="390">
        <v>1.1000000000000001</v>
      </c>
      <c r="G123" s="390">
        <f t="shared" si="64"/>
        <v>3.4848484848484844</v>
      </c>
      <c r="H123" s="390">
        <f t="shared" ref="H123:H135" si="73">H122</f>
        <v>1.2100000000000002</v>
      </c>
      <c r="I123" s="16">
        <f t="shared" si="70"/>
        <v>36.602424242424242</v>
      </c>
      <c r="J123" s="447">
        <f t="shared" si="71"/>
        <v>11.5</v>
      </c>
      <c r="K123" s="390">
        <f t="shared" si="72"/>
        <v>1.8100000000000003</v>
      </c>
      <c r="M123">
        <f t="shared" si="65"/>
        <v>15.693333333333335</v>
      </c>
      <c r="N123">
        <f t="shared" si="66"/>
        <v>3.609466666666667</v>
      </c>
      <c r="O123">
        <f t="shared" si="67"/>
        <v>1.539E-3</v>
      </c>
      <c r="P123" s="13">
        <f t="shared" si="68"/>
        <v>2345.3324669698941</v>
      </c>
    </row>
    <row r="124" spans="1:18" x14ac:dyDescent="0.45">
      <c r="A124" s="1">
        <v>5</v>
      </c>
      <c r="B124" s="1" t="s">
        <v>20</v>
      </c>
      <c r="C124" s="1">
        <v>17000</v>
      </c>
      <c r="D124" s="30">
        <f t="shared" si="69"/>
        <v>8500</v>
      </c>
      <c r="E124" s="390">
        <v>2.5</v>
      </c>
      <c r="F124" s="390">
        <v>1.1000000000000001</v>
      </c>
      <c r="G124" s="390">
        <f t="shared" si="64"/>
        <v>3.0909090909090908</v>
      </c>
      <c r="H124" s="390">
        <f t="shared" si="73"/>
        <v>1.2100000000000002</v>
      </c>
      <c r="I124" s="16">
        <f t="shared" si="70"/>
        <v>28.984545454545454</v>
      </c>
      <c r="J124" s="447">
        <f t="shared" si="71"/>
        <v>8.5</v>
      </c>
      <c r="K124" s="390">
        <f t="shared" si="72"/>
        <v>1.8100000000000003</v>
      </c>
      <c r="M124">
        <f t="shared" si="65"/>
        <v>13.530000000000001</v>
      </c>
      <c r="N124">
        <f t="shared" si="66"/>
        <v>3.1119000000000003</v>
      </c>
      <c r="O124">
        <f t="shared" si="67"/>
        <v>1.539E-3</v>
      </c>
      <c r="P124" s="13">
        <f t="shared" si="68"/>
        <v>2022.0272904483434</v>
      </c>
    </row>
    <row r="125" spans="1:18" x14ac:dyDescent="0.45">
      <c r="A125" s="1">
        <v>6</v>
      </c>
      <c r="B125" s="1" t="s">
        <v>22</v>
      </c>
      <c r="C125" s="1">
        <v>15400</v>
      </c>
      <c r="D125" s="30">
        <f t="shared" si="69"/>
        <v>7700</v>
      </c>
      <c r="E125" s="390">
        <v>2.5</v>
      </c>
      <c r="F125" s="390">
        <v>1.1000000000000001</v>
      </c>
      <c r="G125" s="390">
        <f t="shared" si="64"/>
        <v>2.8</v>
      </c>
      <c r="H125" s="390">
        <f t="shared" si="73"/>
        <v>1.2100000000000002</v>
      </c>
      <c r="I125" s="16">
        <f t="shared" si="70"/>
        <v>26.826000000000001</v>
      </c>
      <c r="J125" s="447">
        <f t="shared" si="71"/>
        <v>7.6999999999999993</v>
      </c>
      <c r="K125" s="390">
        <f t="shared" si="72"/>
        <v>1.8100000000000003</v>
      </c>
      <c r="M125">
        <f t="shared" si="65"/>
        <v>12.826000000000002</v>
      </c>
      <c r="N125">
        <f t="shared" si="66"/>
        <v>2.9499800000000005</v>
      </c>
      <c r="O125">
        <f t="shared" si="67"/>
        <v>1.539E-3</v>
      </c>
      <c r="P125" s="13">
        <f t="shared" si="68"/>
        <v>1916.8161143599743</v>
      </c>
    </row>
    <row r="126" spans="1:18" x14ac:dyDescent="0.45">
      <c r="A126" s="1">
        <v>7</v>
      </c>
      <c r="B126" s="1" t="s">
        <v>24</v>
      </c>
      <c r="C126" s="1">
        <v>17600</v>
      </c>
      <c r="D126" s="30">
        <f t="shared" si="69"/>
        <v>8800</v>
      </c>
      <c r="E126" s="390">
        <v>3</v>
      </c>
      <c r="F126" s="390">
        <v>1.1000000000000001</v>
      </c>
      <c r="G126" s="390">
        <f t="shared" si="64"/>
        <v>2.6666666666666665</v>
      </c>
      <c r="H126" s="390">
        <f t="shared" si="73"/>
        <v>1.2100000000000002</v>
      </c>
      <c r="I126" s="16">
        <f t="shared" si="70"/>
        <v>29.713333333333335</v>
      </c>
      <c r="J126" s="447">
        <f t="shared" si="71"/>
        <v>8.8000000000000007</v>
      </c>
      <c r="K126" s="390">
        <f t="shared" si="72"/>
        <v>1.8100000000000003</v>
      </c>
      <c r="M126">
        <f t="shared" si="65"/>
        <v>13.713333333333335</v>
      </c>
      <c r="N126">
        <f t="shared" si="66"/>
        <v>3.154066666666667</v>
      </c>
      <c r="O126">
        <f t="shared" si="67"/>
        <v>1.539E-3</v>
      </c>
      <c r="P126" s="13">
        <f t="shared" si="68"/>
        <v>2049.4260342213561</v>
      </c>
    </row>
    <row r="127" spans="1:18" x14ac:dyDescent="0.45">
      <c r="A127" s="1">
        <v>8</v>
      </c>
      <c r="B127" s="1" t="s">
        <v>27</v>
      </c>
      <c r="C127" s="1">
        <v>27600</v>
      </c>
      <c r="D127" s="30">
        <f t="shared" si="69"/>
        <v>13800</v>
      </c>
      <c r="E127" s="390">
        <v>3</v>
      </c>
      <c r="F127" s="390">
        <v>1.1000000000000001</v>
      </c>
      <c r="G127" s="390">
        <f t="shared" si="64"/>
        <v>4.1818181818181817</v>
      </c>
      <c r="H127" s="390">
        <f t="shared" si="73"/>
        <v>1.2100000000000002</v>
      </c>
      <c r="I127" s="16">
        <f t="shared" si="70"/>
        <v>42.470909090909089</v>
      </c>
      <c r="J127" s="447">
        <f>E127*F127*G127</f>
        <v>13.8</v>
      </c>
      <c r="K127" s="390">
        <f t="shared" si="72"/>
        <v>1.8100000000000003</v>
      </c>
      <c r="M127">
        <f t="shared" si="65"/>
        <v>17.380000000000003</v>
      </c>
      <c r="N127">
        <f t="shared" si="66"/>
        <v>3.9974000000000007</v>
      </c>
      <c r="O127">
        <f t="shared" si="67"/>
        <v>1.539E-3</v>
      </c>
      <c r="P127" s="13">
        <f t="shared" si="68"/>
        <v>2597.4009096816121</v>
      </c>
    </row>
    <row r="128" spans="1:18" x14ac:dyDescent="0.45">
      <c r="A128" s="1">
        <v>9</v>
      </c>
      <c r="B128" s="1" t="s">
        <v>29</v>
      </c>
      <c r="C128" s="1">
        <v>27600</v>
      </c>
      <c r="D128" s="30">
        <f t="shared" si="69"/>
        <v>13800</v>
      </c>
      <c r="E128" s="390">
        <v>3</v>
      </c>
      <c r="F128" s="390">
        <v>1.1000000000000001</v>
      </c>
      <c r="G128" s="390">
        <f t="shared" si="64"/>
        <v>4.1818181818181817</v>
      </c>
      <c r="H128" s="390">
        <f t="shared" si="73"/>
        <v>1.2100000000000002</v>
      </c>
      <c r="I128" s="16">
        <f t="shared" si="70"/>
        <v>42.470909090909089</v>
      </c>
      <c r="J128" s="447">
        <f t="shared" si="71"/>
        <v>13.8</v>
      </c>
      <c r="K128" s="390">
        <f t="shared" si="72"/>
        <v>1.8100000000000003</v>
      </c>
      <c r="M128">
        <f t="shared" si="65"/>
        <v>17.380000000000003</v>
      </c>
      <c r="N128">
        <f t="shared" si="66"/>
        <v>3.9974000000000007</v>
      </c>
      <c r="O128">
        <f t="shared" si="67"/>
        <v>1.539E-3</v>
      </c>
      <c r="P128" s="13">
        <f t="shared" si="68"/>
        <v>2597.4009096816121</v>
      </c>
    </row>
    <row r="129" spans="1:16" x14ac:dyDescent="0.45">
      <c r="A129" s="1">
        <v>10</v>
      </c>
      <c r="B129" s="1" t="s">
        <v>31</v>
      </c>
      <c r="C129" s="1">
        <v>19200</v>
      </c>
      <c r="D129" s="30">
        <f t="shared" si="69"/>
        <v>9600</v>
      </c>
      <c r="E129" s="390">
        <v>3</v>
      </c>
      <c r="F129" s="390">
        <v>1.1000000000000001</v>
      </c>
      <c r="G129" s="390">
        <f t="shared" si="64"/>
        <v>2.9090909090909087</v>
      </c>
      <c r="H129" s="390">
        <f t="shared" si="73"/>
        <v>1.2100000000000002</v>
      </c>
      <c r="I129" s="16">
        <f t="shared" si="70"/>
        <v>31.754545454545454</v>
      </c>
      <c r="J129" s="447">
        <f t="shared" si="71"/>
        <v>9.6</v>
      </c>
      <c r="K129" s="390">
        <f t="shared" si="72"/>
        <v>1.8100000000000003</v>
      </c>
      <c r="M129">
        <f t="shared" si="65"/>
        <v>14.3</v>
      </c>
      <c r="N129">
        <f t="shared" si="66"/>
        <v>3.2890000000000001</v>
      </c>
      <c r="O129">
        <f t="shared" si="67"/>
        <v>1.539E-3</v>
      </c>
      <c r="P129" s="13">
        <f t="shared" si="68"/>
        <v>2137.1020142949969</v>
      </c>
    </row>
    <row r="130" spans="1:16" x14ac:dyDescent="0.45">
      <c r="A130" s="1">
        <v>11</v>
      </c>
      <c r="B130" s="1" t="s">
        <v>33</v>
      </c>
      <c r="C130" s="1">
        <v>10500</v>
      </c>
      <c r="D130" s="30">
        <f t="shared" si="69"/>
        <v>5250</v>
      </c>
      <c r="E130" s="390">
        <v>2</v>
      </c>
      <c r="F130" s="390">
        <v>1.1000000000000001</v>
      </c>
      <c r="G130" s="390">
        <f t="shared" si="64"/>
        <v>2.3863636363636362</v>
      </c>
      <c r="H130" s="390">
        <f t="shared" si="73"/>
        <v>1.2100000000000002</v>
      </c>
      <c r="I130" s="16">
        <f t="shared" si="70"/>
        <v>20.160454545454549</v>
      </c>
      <c r="J130" s="447">
        <f t="shared" si="71"/>
        <v>5.25</v>
      </c>
      <c r="K130" s="390">
        <f t="shared" si="72"/>
        <v>1.8100000000000003</v>
      </c>
      <c r="M130">
        <f t="shared" si="65"/>
        <v>10.615000000000002</v>
      </c>
      <c r="N130">
        <f t="shared" si="66"/>
        <v>2.4414500000000006</v>
      </c>
      <c r="O130">
        <f t="shared" si="67"/>
        <v>1.539E-3</v>
      </c>
      <c r="P130" s="13">
        <f t="shared" si="68"/>
        <v>1586.3872644574403</v>
      </c>
    </row>
    <row r="131" spans="1:16" x14ac:dyDescent="0.45">
      <c r="A131" s="1">
        <v>12</v>
      </c>
      <c r="B131" s="1" t="s">
        <v>35</v>
      </c>
      <c r="C131" s="1">
        <v>10800</v>
      </c>
      <c r="D131" s="30">
        <f t="shared" si="69"/>
        <v>5400</v>
      </c>
      <c r="E131" s="390">
        <v>2</v>
      </c>
      <c r="F131" s="390">
        <v>1.1000000000000001</v>
      </c>
      <c r="G131" s="390">
        <f t="shared" si="64"/>
        <v>2.4545454545454546</v>
      </c>
      <c r="H131" s="390">
        <f t="shared" si="73"/>
        <v>1.2100000000000002</v>
      </c>
      <c r="I131" s="16">
        <f t="shared" si="70"/>
        <v>20.598181818181821</v>
      </c>
      <c r="J131" s="447">
        <f t="shared" si="71"/>
        <v>5.4</v>
      </c>
      <c r="K131" s="390">
        <f t="shared" si="72"/>
        <v>1.8100000000000003</v>
      </c>
      <c r="M131">
        <f t="shared" si="65"/>
        <v>10.780000000000003</v>
      </c>
      <c r="N131">
        <f t="shared" si="66"/>
        <v>2.4794000000000009</v>
      </c>
      <c r="O131">
        <f t="shared" si="67"/>
        <v>1.539E-3</v>
      </c>
      <c r="P131" s="13">
        <f t="shared" si="68"/>
        <v>1611.046133853152</v>
      </c>
    </row>
    <row r="132" spans="1:16" x14ac:dyDescent="0.45">
      <c r="A132" s="1">
        <v>13</v>
      </c>
      <c r="B132" s="1" t="s">
        <v>37</v>
      </c>
      <c r="C132" s="1">
        <v>15600</v>
      </c>
      <c r="D132" s="30">
        <f t="shared" si="69"/>
        <v>7800</v>
      </c>
      <c r="E132" s="390">
        <v>2.5</v>
      </c>
      <c r="F132" s="390">
        <v>1.1000000000000001</v>
      </c>
      <c r="G132" s="390">
        <f t="shared" si="64"/>
        <v>2.836363636363636</v>
      </c>
      <c r="H132" s="390">
        <f t="shared" si="73"/>
        <v>1.2100000000000002</v>
      </c>
      <c r="I132" s="16">
        <f t="shared" si="70"/>
        <v>27.095818181818181</v>
      </c>
      <c r="J132" s="447">
        <f t="shared" si="71"/>
        <v>7.7999999999999989</v>
      </c>
      <c r="K132" s="390">
        <f t="shared" si="72"/>
        <v>1.8100000000000003</v>
      </c>
      <c r="M132">
        <f t="shared" si="65"/>
        <v>12.914000000000001</v>
      </c>
      <c r="N132">
        <f t="shared" si="66"/>
        <v>2.9702200000000003</v>
      </c>
      <c r="O132">
        <f t="shared" si="67"/>
        <v>1.539E-3</v>
      </c>
      <c r="P132" s="13">
        <f t="shared" si="68"/>
        <v>1929.9675113710202</v>
      </c>
    </row>
    <row r="133" spans="1:16" x14ac:dyDescent="0.45">
      <c r="A133" s="1">
        <v>14</v>
      </c>
      <c r="B133" s="1" t="s">
        <v>39</v>
      </c>
      <c r="C133" s="1">
        <v>20400</v>
      </c>
      <c r="D133" s="30">
        <f t="shared" si="69"/>
        <v>10200</v>
      </c>
      <c r="E133" s="390">
        <v>3</v>
      </c>
      <c r="F133" s="390">
        <v>1.1000000000000001</v>
      </c>
      <c r="G133" s="390">
        <f t="shared" si="64"/>
        <v>3.0909090909090904</v>
      </c>
      <c r="H133" s="390">
        <f t="shared" si="73"/>
        <v>1.2100000000000002</v>
      </c>
      <c r="I133" s="16">
        <f t="shared" si="70"/>
        <v>33.285454545454542</v>
      </c>
      <c r="J133" s="447">
        <f t="shared" si="71"/>
        <v>10.199999999999999</v>
      </c>
      <c r="K133" s="390">
        <f t="shared" si="72"/>
        <v>1.8100000000000003</v>
      </c>
      <c r="M133">
        <f t="shared" si="65"/>
        <v>14.74</v>
      </c>
      <c r="N133">
        <f t="shared" si="66"/>
        <v>3.3902000000000001</v>
      </c>
      <c r="O133">
        <f t="shared" si="67"/>
        <v>1.539E-3</v>
      </c>
      <c r="P133" s="13">
        <f t="shared" si="68"/>
        <v>2202.8589993502274</v>
      </c>
    </row>
    <row r="134" spans="1:16" x14ac:dyDescent="0.45">
      <c r="A134" s="1">
        <v>15</v>
      </c>
      <c r="B134" s="1" t="s">
        <v>42</v>
      </c>
      <c r="C134" s="1">
        <v>20800</v>
      </c>
      <c r="D134" s="30">
        <f t="shared" si="69"/>
        <v>10400</v>
      </c>
      <c r="E134" s="390">
        <v>3</v>
      </c>
      <c r="F134" s="390">
        <v>1.1000000000000001</v>
      </c>
      <c r="G134" s="390">
        <f t="shared" si="64"/>
        <v>3.1515151515151509</v>
      </c>
      <c r="H134" s="390">
        <f t="shared" si="73"/>
        <v>1.2100000000000002</v>
      </c>
      <c r="I134" s="16">
        <f t="shared" si="70"/>
        <v>33.795757575757577</v>
      </c>
      <c r="J134" s="447">
        <f t="shared" si="71"/>
        <v>10.399999999999999</v>
      </c>
      <c r="K134" s="390">
        <f t="shared" si="72"/>
        <v>1.8100000000000003</v>
      </c>
      <c r="M134">
        <f t="shared" si="65"/>
        <v>14.886666666666667</v>
      </c>
      <c r="N134">
        <f t="shared" si="66"/>
        <v>3.4239333333333333</v>
      </c>
      <c r="O134">
        <f t="shared" si="67"/>
        <v>1.539E-3</v>
      </c>
      <c r="P134" s="13">
        <f t="shared" si="68"/>
        <v>2224.7779943686378</v>
      </c>
    </row>
    <row r="135" spans="1:16" x14ac:dyDescent="0.45">
      <c r="A135" s="1">
        <v>16</v>
      </c>
      <c r="B135" s="1" t="s">
        <v>295</v>
      </c>
      <c r="C135" s="1">
        <v>23000</v>
      </c>
      <c r="D135" s="30">
        <f t="shared" si="69"/>
        <v>11500</v>
      </c>
      <c r="E135" s="390">
        <v>3</v>
      </c>
      <c r="F135" s="390">
        <v>1.1000000000000001</v>
      </c>
      <c r="G135" s="390">
        <f t="shared" si="64"/>
        <v>3.4848484848484844</v>
      </c>
      <c r="H135" s="390">
        <f t="shared" si="73"/>
        <v>1.2100000000000002</v>
      </c>
      <c r="I135" s="16">
        <f t="shared" si="70"/>
        <v>36.602424242424242</v>
      </c>
      <c r="J135" s="447">
        <f t="shared" si="71"/>
        <v>11.5</v>
      </c>
      <c r="K135" s="390">
        <f t="shared" si="72"/>
        <v>1.8100000000000003</v>
      </c>
      <c r="M135">
        <f t="shared" si="65"/>
        <v>15.693333333333335</v>
      </c>
      <c r="N135">
        <f t="shared" si="66"/>
        <v>3.609466666666667</v>
      </c>
      <c r="O135">
        <f t="shared" si="67"/>
        <v>1.539E-3</v>
      </c>
      <c r="P135" s="13">
        <f t="shared" si="68"/>
        <v>2345.3324669698941</v>
      </c>
    </row>
    <row r="137" spans="1:16" x14ac:dyDescent="0.45">
      <c r="I137" s="16"/>
    </row>
    <row r="138" spans="1:16" x14ac:dyDescent="0.45">
      <c r="I138" s="448"/>
    </row>
    <row r="144" spans="1:16" x14ac:dyDescent="0.45">
      <c r="A144" s="331" t="s">
        <v>112</v>
      </c>
      <c r="B144" s="331" t="s">
        <v>85</v>
      </c>
      <c r="C144" s="331" t="s">
        <v>296</v>
      </c>
      <c r="D144" s="331" t="s">
        <v>297</v>
      </c>
      <c r="E144" s="331" t="s">
        <v>298</v>
      </c>
      <c r="F144" s="331" t="s">
        <v>299</v>
      </c>
      <c r="G144" s="331" t="s">
        <v>300</v>
      </c>
      <c r="H144" s="331" t="s">
        <v>301</v>
      </c>
      <c r="I144" s="331" t="s">
        <v>302</v>
      </c>
    </row>
    <row r="145" spans="1:9" x14ac:dyDescent="0.45">
      <c r="A145" s="1">
        <v>1</v>
      </c>
      <c r="B145" s="1" t="s">
        <v>12</v>
      </c>
      <c r="C145" s="31">
        <f>SUMIF($B$21:$B$48,B145,$V$21:$V$48)</f>
        <v>18187.5</v>
      </c>
      <c r="D145" s="285">
        <f>SUMIF($B$21:$B$48,B145,$Z$21:$Z$48)</f>
        <v>2139.705882352941</v>
      </c>
      <c r="E145" s="285">
        <v>2000</v>
      </c>
      <c r="F145" s="31">
        <f>SUMIF($B$21:$B$48,B145,$V$21:$V$48)</f>
        <v>18187.5</v>
      </c>
      <c r="G145" s="13">
        <f>F145/3600</f>
        <v>5.052083333333333</v>
      </c>
      <c r="H145" s="1" t="s">
        <v>303</v>
      </c>
      <c r="I145" s="383">
        <v>10</v>
      </c>
    </row>
    <row r="146" spans="1:9" x14ac:dyDescent="0.45">
      <c r="A146" s="1">
        <v>2</v>
      </c>
      <c r="B146" s="1" t="s">
        <v>14</v>
      </c>
      <c r="C146" s="31">
        <f t="shared" ref="C146:C158" si="74">SUMIF($B$21:$B$48,B146,$V$21:$V$48)</f>
        <v>55289.999999999993</v>
      </c>
      <c r="D146" s="285">
        <f t="shared" ref="D146:D158" si="75">SUMIF($B$21:$B$48,B146,$Z$21:$Z$48)</f>
        <v>6504.7058823529396</v>
      </c>
      <c r="E146" s="285">
        <v>5000</v>
      </c>
      <c r="F146" s="31">
        <f t="shared" ref="F146:F158" si="76">SUMIF($B$21:$B$48,B146,$V$21:$V$48)</f>
        <v>55289.999999999993</v>
      </c>
      <c r="G146" s="13">
        <f t="shared" ref="G146:G161" si="77">F146/3600</f>
        <v>15.358333333333331</v>
      </c>
      <c r="H146" s="1" t="s">
        <v>304</v>
      </c>
      <c r="I146" s="383">
        <v>30</v>
      </c>
    </row>
    <row r="147" spans="1:9" x14ac:dyDescent="0.45">
      <c r="A147" s="1">
        <v>3</v>
      </c>
      <c r="B147" s="1" t="s">
        <v>16</v>
      </c>
      <c r="C147" s="31">
        <f t="shared" si="74"/>
        <v>28372.499999999996</v>
      </c>
      <c r="D147" s="285">
        <f t="shared" si="75"/>
        <v>3337.9411764705874</v>
      </c>
      <c r="E147" s="285">
        <v>3000</v>
      </c>
      <c r="F147" s="31">
        <f t="shared" si="76"/>
        <v>28372.499999999996</v>
      </c>
      <c r="G147" s="13">
        <f t="shared" si="77"/>
        <v>7.8812499999999988</v>
      </c>
      <c r="H147" s="1" t="s">
        <v>305</v>
      </c>
      <c r="I147" s="383">
        <v>12.5</v>
      </c>
    </row>
    <row r="148" spans="1:9" x14ac:dyDescent="0.45">
      <c r="A148" s="1">
        <v>4</v>
      </c>
      <c r="B148" s="1" t="s">
        <v>18</v>
      </c>
      <c r="C148" s="31">
        <f t="shared" si="74"/>
        <v>55774.999999999993</v>
      </c>
      <c r="D148" s="285">
        <f t="shared" si="75"/>
        <v>6561.7647058823513</v>
      </c>
      <c r="E148" s="285">
        <v>5000</v>
      </c>
      <c r="F148" s="31">
        <f t="shared" si="76"/>
        <v>55774.999999999993</v>
      </c>
      <c r="G148" s="13">
        <f t="shared" si="77"/>
        <v>15.493055555555554</v>
      </c>
      <c r="H148" s="1" t="s">
        <v>304</v>
      </c>
      <c r="I148" s="383">
        <v>30</v>
      </c>
    </row>
    <row r="149" spans="1:9" x14ac:dyDescent="0.45">
      <c r="A149" s="1">
        <v>5</v>
      </c>
      <c r="B149" s="1" t="s">
        <v>20</v>
      </c>
      <c r="C149" s="31">
        <f t="shared" si="74"/>
        <v>41225</v>
      </c>
      <c r="D149" s="285">
        <f t="shared" si="75"/>
        <v>4850</v>
      </c>
      <c r="E149" s="285">
        <v>4000</v>
      </c>
      <c r="F149" s="31">
        <f t="shared" si="76"/>
        <v>41225</v>
      </c>
      <c r="G149" s="13">
        <f t="shared" si="77"/>
        <v>11.451388888888889</v>
      </c>
      <c r="H149" s="1" t="s">
        <v>306</v>
      </c>
      <c r="I149" s="383">
        <v>25</v>
      </c>
    </row>
    <row r="150" spans="1:9" x14ac:dyDescent="0.45">
      <c r="A150" s="1">
        <v>6</v>
      </c>
      <c r="B150" s="1" t="s">
        <v>22</v>
      </c>
      <c r="C150" s="31">
        <f t="shared" si="74"/>
        <v>37345</v>
      </c>
      <c r="D150" s="285">
        <f t="shared" si="75"/>
        <v>4393.5294117647063</v>
      </c>
      <c r="E150" s="285">
        <v>4000</v>
      </c>
      <c r="F150" s="31">
        <f t="shared" si="76"/>
        <v>37345</v>
      </c>
      <c r="G150" s="13">
        <f t="shared" si="77"/>
        <v>10.373611111111112</v>
      </c>
      <c r="H150" s="1" t="s">
        <v>307</v>
      </c>
      <c r="I150" s="383">
        <v>15</v>
      </c>
    </row>
    <row r="151" spans="1:9" x14ac:dyDescent="0.45">
      <c r="A151" s="1">
        <v>7</v>
      </c>
      <c r="B151" s="1" t="s">
        <v>24</v>
      </c>
      <c r="C151" s="31">
        <f t="shared" si="74"/>
        <v>42680</v>
      </c>
      <c r="D151" s="285">
        <f t="shared" si="75"/>
        <v>5021.1764705882351</v>
      </c>
      <c r="E151" s="285">
        <v>4000</v>
      </c>
      <c r="F151" s="31">
        <f t="shared" si="76"/>
        <v>42680</v>
      </c>
      <c r="G151" s="13">
        <f t="shared" si="77"/>
        <v>11.855555555555556</v>
      </c>
      <c r="H151" s="1" t="s">
        <v>306</v>
      </c>
      <c r="I151" s="383">
        <v>25</v>
      </c>
    </row>
    <row r="152" spans="1:9" x14ac:dyDescent="0.45">
      <c r="A152" s="1">
        <v>8</v>
      </c>
      <c r="B152" s="1" t="s">
        <v>27</v>
      </c>
      <c r="C152" s="31">
        <f t="shared" si="74"/>
        <v>66930</v>
      </c>
      <c r="D152" s="285">
        <f t="shared" si="75"/>
        <v>7874.1176470588225</v>
      </c>
      <c r="E152" s="285">
        <v>5000</v>
      </c>
      <c r="F152" s="31">
        <f t="shared" si="76"/>
        <v>66930</v>
      </c>
      <c r="G152" s="13">
        <f t="shared" si="77"/>
        <v>18.591666666666665</v>
      </c>
      <c r="H152" s="1" t="s">
        <v>304</v>
      </c>
      <c r="I152" s="383">
        <v>30</v>
      </c>
    </row>
    <row r="153" spans="1:9" x14ac:dyDescent="0.45">
      <c r="A153" s="1">
        <v>9</v>
      </c>
      <c r="B153" s="1" t="s">
        <v>29</v>
      </c>
      <c r="C153" s="31">
        <f t="shared" si="74"/>
        <v>66930</v>
      </c>
      <c r="D153" s="285">
        <f t="shared" si="75"/>
        <v>7874.1176470588225</v>
      </c>
      <c r="E153" s="285">
        <v>5000</v>
      </c>
      <c r="F153" s="31">
        <f t="shared" si="76"/>
        <v>66930</v>
      </c>
      <c r="G153" s="13">
        <f t="shared" si="77"/>
        <v>18.591666666666665</v>
      </c>
      <c r="H153" s="1" t="s">
        <v>304</v>
      </c>
      <c r="I153" s="383">
        <v>30</v>
      </c>
    </row>
    <row r="154" spans="1:9" x14ac:dyDescent="0.45">
      <c r="A154" s="1">
        <v>10</v>
      </c>
      <c r="B154" s="1" t="s">
        <v>31</v>
      </c>
      <c r="C154" s="31">
        <f t="shared" si="74"/>
        <v>46560</v>
      </c>
      <c r="D154" s="285">
        <f t="shared" si="75"/>
        <v>5477.6470588235297</v>
      </c>
      <c r="E154" s="285">
        <v>5000</v>
      </c>
      <c r="F154" s="31">
        <f t="shared" si="76"/>
        <v>46560</v>
      </c>
      <c r="G154" s="13">
        <f t="shared" si="77"/>
        <v>12.933333333333334</v>
      </c>
      <c r="H154" s="1" t="s">
        <v>306</v>
      </c>
      <c r="I154" s="383">
        <v>25</v>
      </c>
    </row>
    <row r="155" spans="1:9" x14ac:dyDescent="0.45">
      <c r="A155" s="1">
        <v>11</v>
      </c>
      <c r="B155" s="1" t="s">
        <v>33</v>
      </c>
      <c r="C155" s="31">
        <f t="shared" si="74"/>
        <v>26189.999999999996</v>
      </c>
      <c r="D155" s="285">
        <f t="shared" si="75"/>
        <v>3081.1764705882347</v>
      </c>
      <c r="E155" s="285">
        <v>3000</v>
      </c>
      <c r="F155" s="31">
        <f t="shared" si="76"/>
        <v>26189.999999999996</v>
      </c>
      <c r="G155" s="13">
        <f t="shared" si="77"/>
        <v>7.2749999999999986</v>
      </c>
      <c r="H155" s="1" t="s">
        <v>305</v>
      </c>
      <c r="I155" s="383">
        <v>12.5</v>
      </c>
    </row>
    <row r="156" spans="1:9" x14ac:dyDescent="0.45">
      <c r="A156" s="1">
        <v>12</v>
      </c>
      <c r="B156" s="1" t="s">
        <v>35</v>
      </c>
      <c r="C156" s="31">
        <f t="shared" si="74"/>
        <v>26189.999999999996</v>
      </c>
      <c r="D156" s="285">
        <f t="shared" si="75"/>
        <v>3081.1764705882347</v>
      </c>
      <c r="E156" s="285">
        <v>3000</v>
      </c>
      <c r="F156" s="31">
        <f t="shared" si="76"/>
        <v>26189.999999999996</v>
      </c>
      <c r="G156" s="13">
        <f t="shared" si="77"/>
        <v>7.2749999999999986</v>
      </c>
      <c r="H156" s="1" t="s">
        <v>305</v>
      </c>
      <c r="I156" s="383">
        <v>12.5</v>
      </c>
    </row>
    <row r="157" spans="1:9" x14ac:dyDescent="0.45">
      <c r="A157" s="1">
        <v>13</v>
      </c>
      <c r="B157" s="1" t="s">
        <v>37</v>
      </c>
      <c r="C157" s="31">
        <f t="shared" si="74"/>
        <v>37830</v>
      </c>
      <c r="D157" s="285">
        <f t="shared" si="75"/>
        <v>4450.5882352941171</v>
      </c>
      <c r="E157" s="285">
        <v>4000</v>
      </c>
      <c r="F157" s="31">
        <f t="shared" si="76"/>
        <v>37830</v>
      </c>
      <c r="G157" s="13">
        <f t="shared" si="77"/>
        <v>10.508333333333333</v>
      </c>
      <c r="H157" s="1" t="s">
        <v>307</v>
      </c>
      <c r="I157" s="383">
        <v>15</v>
      </c>
    </row>
    <row r="158" spans="1:9" x14ac:dyDescent="0.45">
      <c r="A158" s="1">
        <v>14</v>
      </c>
      <c r="B158" s="1" t="s">
        <v>39</v>
      </c>
      <c r="C158" s="31">
        <f t="shared" si="74"/>
        <v>49470</v>
      </c>
      <c r="D158" s="285">
        <f t="shared" si="75"/>
        <v>5819.9999999999991</v>
      </c>
      <c r="E158" s="285">
        <v>5000</v>
      </c>
      <c r="F158" s="31">
        <f t="shared" si="76"/>
        <v>49470</v>
      </c>
      <c r="G158" s="13">
        <f t="shared" si="77"/>
        <v>13.741666666666667</v>
      </c>
      <c r="H158" s="1" t="s">
        <v>306</v>
      </c>
      <c r="I158" s="383">
        <v>25</v>
      </c>
    </row>
    <row r="159" spans="1:9" x14ac:dyDescent="0.45">
      <c r="A159" s="1"/>
      <c r="B159" s="1"/>
      <c r="C159" s="31"/>
      <c r="D159" s="342">
        <f>SUM(D145:D158)</f>
        <v>70467.647058823539</v>
      </c>
      <c r="E159" s="285"/>
      <c r="F159" s="31"/>
    </row>
    <row r="160" spans="1:9" x14ac:dyDescent="0.45">
      <c r="A160" s="1"/>
      <c r="C160" s="31"/>
      <c r="D160" s="1" t="s">
        <v>308</v>
      </c>
      <c r="E160" s="285"/>
      <c r="F160" s="31">
        <v>75000</v>
      </c>
      <c r="G160" s="13">
        <f t="shared" si="77"/>
        <v>20.833333333333332</v>
      </c>
      <c r="H160" s="1" t="s">
        <v>309</v>
      </c>
      <c r="I160" s="383">
        <v>20</v>
      </c>
    </row>
    <row r="161" spans="4:9" x14ac:dyDescent="0.45">
      <c r="D161" s="1" t="s">
        <v>310</v>
      </c>
      <c r="F161" s="31">
        <v>60000</v>
      </c>
      <c r="G161" s="13">
        <f t="shared" si="77"/>
        <v>16.666666666666668</v>
      </c>
      <c r="H161" s="1" t="s">
        <v>311</v>
      </c>
      <c r="I161" s="383">
        <v>7.5</v>
      </c>
    </row>
  </sheetData>
  <autoFilter ref="A144:I161" xr:uid="{D64379EA-5591-423A-8B39-F1B92287E847}"/>
  <mergeCells count="55">
    <mergeCell ref="B14:E14"/>
    <mergeCell ref="K19:K20"/>
    <mergeCell ref="L19:L20"/>
    <mergeCell ref="B15:E15"/>
    <mergeCell ref="A1:F1"/>
    <mergeCell ref="B2:E2"/>
    <mergeCell ref="B3:E3"/>
    <mergeCell ref="B4:E4"/>
    <mergeCell ref="B5:E5"/>
    <mergeCell ref="B6:E6"/>
    <mergeCell ref="B8:E8"/>
    <mergeCell ref="B9:E9"/>
    <mergeCell ref="B10:E10"/>
    <mergeCell ref="B7:E7"/>
    <mergeCell ref="B11:E11"/>
    <mergeCell ref="B12:E12"/>
    <mergeCell ref="B13:E13"/>
    <mergeCell ref="J97:M97"/>
    <mergeCell ref="O97:R97"/>
    <mergeCell ref="B16:E16"/>
    <mergeCell ref="A19:A20"/>
    <mergeCell ref="B19:B20"/>
    <mergeCell ref="C19:C20"/>
    <mergeCell ref="D19:D20"/>
    <mergeCell ref="E19:E20"/>
    <mergeCell ref="A18:Z18"/>
    <mergeCell ref="O19:O20"/>
    <mergeCell ref="P19:P20"/>
    <mergeCell ref="Q19:Q20"/>
    <mergeCell ref="R19:R20"/>
    <mergeCell ref="S19:S20"/>
    <mergeCell ref="I19:I20"/>
    <mergeCell ref="W19:W20"/>
    <mergeCell ref="X19:X20"/>
    <mergeCell ref="F19:F20"/>
    <mergeCell ref="G19:G20"/>
    <mergeCell ref="H19:H20"/>
    <mergeCell ref="M19:M20"/>
    <mergeCell ref="N19:N20"/>
    <mergeCell ref="A52:N52"/>
    <mergeCell ref="AA19:AC19"/>
    <mergeCell ref="AE19:AJ19"/>
    <mergeCell ref="E92:G92"/>
    <mergeCell ref="T19:T20"/>
    <mergeCell ref="E88:G88"/>
    <mergeCell ref="E89:G89"/>
    <mergeCell ref="E90:G90"/>
    <mergeCell ref="E91:G91"/>
    <mergeCell ref="J19:J20"/>
    <mergeCell ref="Y19:Z19"/>
    <mergeCell ref="C83:F83"/>
    <mergeCell ref="E87:G87"/>
    <mergeCell ref="A86:P86"/>
    <mergeCell ref="U19:U20"/>
    <mergeCell ref="V19:V20"/>
  </mergeCells>
  <phoneticPr fontId="2" type="noConversion"/>
  <conditionalFormatting sqref="C145:C160">
    <cfRule type="dataBar" priority="2">
      <dataBar>
        <cfvo type="min"/>
        <cfvo type="max"/>
        <color theme="7" tint="0.59999389629810485"/>
      </dataBar>
      <extLst>
        <ext xmlns:x14="http://schemas.microsoft.com/office/spreadsheetml/2009/9/main" uri="{B025F937-C7B1-47D3-B67F-A62EFF666E3E}">
          <x14:id>{745ECCD7-6B91-4737-9192-3E4BA7038890}</x14:id>
        </ext>
      </extLst>
    </cfRule>
  </conditionalFormatting>
  <conditionalFormatting sqref="D99:D114">
    <cfRule type="dataBar" priority="13">
      <dataBar>
        <cfvo type="min"/>
        <cfvo type="max"/>
        <color theme="7" tint="0.59999389629810485"/>
      </dataBar>
      <extLst>
        <ext xmlns:x14="http://schemas.microsoft.com/office/spreadsheetml/2009/9/main" uri="{B025F937-C7B1-47D3-B67F-A62EFF666E3E}">
          <x14:id>{5C86AC3A-405F-4AC2-8D6B-FF184F790F29}</x14:id>
        </ext>
      </extLst>
    </cfRule>
  </conditionalFormatting>
  <conditionalFormatting sqref="F145:F161">
    <cfRule type="dataBar" priority="1">
      <dataBar>
        <cfvo type="min"/>
        <cfvo type="max"/>
        <color theme="7" tint="0.59999389629810485"/>
      </dataBar>
      <extLst>
        <ext xmlns:x14="http://schemas.microsoft.com/office/spreadsheetml/2009/9/main" uri="{B025F937-C7B1-47D3-B67F-A62EFF666E3E}">
          <x14:id>{88B179E3-2CF8-499D-8BDB-0F64CBCF660E}</x14:id>
        </ext>
      </extLst>
    </cfRule>
  </conditionalFormatting>
  <conditionalFormatting sqref="I88:J90">
    <cfRule type="dataBar" priority="19">
      <dataBar>
        <cfvo type="min"/>
        <cfvo type="max"/>
        <color theme="7" tint="0.59999389629810485"/>
      </dataBar>
      <extLst>
        <ext xmlns:x14="http://schemas.microsoft.com/office/spreadsheetml/2009/9/main" uri="{B025F937-C7B1-47D3-B67F-A62EFF666E3E}">
          <x14:id>{9D38A988-11C3-41C7-821B-CCFBDAD0A43B}</x14:id>
        </ext>
      </extLst>
    </cfRule>
  </conditionalFormatting>
  <conditionalFormatting sqref="I91:J91">
    <cfRule type="dataBar" priority="18">
      <dataBar>
        <cfvo type="min"/>
        <cfvo type="max"/>
        <color theme="7" tint="0.59999389629810485"/>
      </dataBar>
      <extLst>
        <ext xmlns:x14="http://schemas.microsoft.com/office/spreadsheetml/2009/9/main" uri="{B025F937-C7B1-47D3-B67F-A62EFF666E3E}">
          <x14:id>{688ABF2D-E331-4812-A6C5-C260925CBD0D}</x14:id>
        </ext>
      </extLst>
    </cfRule>
  </conditionalFormatting>
  <conditionalFormatting sqref="I92:J92">
    <cfRule type="dataBar" priority="14">
      <dataBar>
        <cfvo type="min"/>
        <cfvo type="max"/>
        <color theme="7" tint="0.59999389629810485"/>
      </dataBar>
      <extLst>
        <ext xmlns:x14="http://schemas.microsoft.com/office/spreadsheetml/2009/9/main" uri="{B025F937-C7B1-47D3-B67F-A62EFF666E3E}">
          <x14:id>{1A955052-4DA3-46DE-8318-F9208569FE93}</x14:id>
        </ext>
      </extLst>
    </cfRule>
  </conditionalFormatting>
  <conditionalFormatting sqref="L54:L82">
    <cfRule type="dataBar" priority="20">
      <dataBar>
        <cfvo type="min"/>
        <cfvo type="max"/>
        <color theme="7" tint="0.59999389629810485"/>
      </dataBar>
      <extLst>
        <ext xmlns:x14="http://schemas.microsoft.com/office/spreadsheetml/2009/9/main" uri="{B025F937-C7B1-47D3-B67F-A62EFF666E3E}">
          <x14:id>{37540119-24DB-496E-944C-E792858E3B43}</x14:id>
        </ext>
      </extLst>
    </cfRule>
  </conditionalFormatting>
  <conditionalFormatting sqref="M99:M114">
    <cfRule type="dataBar" priority="11">
      <dataBar>
        <cfvo type="min"/>
        <cfvo type="max"/>
        <color rgb="FF638EC6"/>
      </dataBar>
      <extLst>
        <ext xmlns:x14="http://schemas.microsoft.com/office/spreadsheetml/2009/9/main" uri="{B025F937-C7B1-47D3-B67F-A62EFF666E3E}">
          <x14:id>{39249000-83B4-43A6-8AD4-7D91F58DC0B6}</x14:id>
        </ext>
      </extLst>
    </cfRule>
  </conditionalFormatting>
  <conditionalFormatting sqref="O88:O92">
    <cfRule type="cellIs" dxfId="6" priority="15" operator="between">
      <formula>50</formula>
      <formula>60</formula>
    </cfRule>
    <cfRule type="cellIs" dxfId="5" priority="16" operator="lessThan">
      <formula>50</formula>
    </cfRule>
    <cfRule type="cellIs" dxfId="4" priority="17" operator="greaterThan">
      <formula>60</formula>
    </cfRule>
  </conditionalFormatting>
  <conditionalFormatting sqref="P88:P92">
    <cfRule type="cellIs" dxfId="3" priority="5" operator="lessThanOrEqual">
      <formula>0</formula>
    </cfRule>
    <cfRule type="cellIs" dxfId="2" priority="6" operator="greaterThan">
      <formula>10</formula>
    </cfRule>
    <cfRule type="cellIs" dxfId="1" priority="7" operator="between">
      <formula>1</formula>
      <formula>10</formula>
    </cfRule>
  </conditionalFormatting>
  <conditionalFormatting sqref="R99:R114">
    <cfRule type="dataBar" priority="12">
      <dataBar>
        <cfvo type="min"/>
        <cfvo type="max"/>
        <color rgb="FF638EC6"/>
      </dataBar>
      <extLst>
        <ext xmlns:x14="http://schemas.microsoft.com/office/spreadsheetml/2009/9/main" uri="{B025F937-C7B1-47D3-B67F-A62EFF666E3E}">
          <x14:id>{5152BA5F-0407-4309-A421-831890B3356D}</x14:id>
        </ext>
      </extLst>
    </cfRule>
  </conditionalFormatting>
  <conditionalFormatting sqref="V21:V48">
    <cfRule type="dataBar" priority="21">
      <dataBar>
        <cfvo type="min"/>
        <cfvo type="max"/>
        <color theme="7" tint="0.59999389629810485"/>
      </dataBar>
      <extLst>
        <ext xmlns:x14="http://schemas.microsoft.com/office/spreadsheetml/2009/9/main" uri="{B025F937-C7B1-47D3-B67F-A62EFF666E3E}">
          <x14:id>{340F58E5-09F4-48DA-A2C9-3BC6741E2B99}</x14:id>
        </ext>
      </extLst>
    </cfRule>
  </conditionalFormatting>
  <conditionalFormatting sqref="Y21:Y48">
    <cfRule type="dataBar" priority="3">
      <dataBar>
        <cfvo type="min"/>
        <cfvo type="max"/>
        <color rgb="FF63C384"/>
      </dataBar>
      <extLst>
        <ext xmlns:x14="http://schemas.microsoft.com/office/spreadsheetml/2009/9/main" uri="{B025F937-C7B1-47D3-B67F-A62EFF666E3E}">
          <x14:id>{C1FB37EB-01C5-480F-9CE8-217B09996CB7}</x14:id>
        </ext>
      </extLst>
    </cfRule>
  </conditionalFormatting>
  <conditionalFormatting sqref="AB21:AB48">
    <cfRule type="dataBar" priority="4">
      <dataBar>
        <cfvo type="min"/>
        <cfvo type="max"/>
        <color rgb="FF63C384"/>
      </dataBar>
      <extLst>
        <ext xmlns:x14="http://schemas.microsoft.com/office/spreadsheetml/2009/9/main" uri="{B025F937-C7B1-47D3-B67F-A62EFF666E3E}">
          <x14:id>{40827042-4461-4B53-AECA-5F5F1F9BEBFB}</x14:id>
        </ext>
      </extLst>
    </cfRule>
  </conditionalFormatting>
  <dataValidations disablePrompts="1" count="2">
    <dataValidation type="list" allowBlank="1" showInputMessage="1" showErrorMessage="1" sqref="K99:K114 P99:P114 F99:F114" xr:uid="{4B19667B-44CE-44D9-8700-1B3B26E67C36}">
      <formula1>$BB$2:$BB$16</formula1>
    </dataValidation>
    <dataValidation type="list" showErrorMessage="1" sqref="C54:F82" xr:uid="{794049A5-CCBF-4531-99AC-A5701B68D236}">
      <formula1>$C$21:$C$48</formula1>
    </dataValidation>
  </dataValidations>
  <printOptions horizontalCentered="1"/>
  <pageMargins left="0.11811023622047245" right="0.11811023622047245" top="0.11811023622047245" bottom="0.11811023622047245" header="0.11811023622047245" footer="0.11811023622047245"/>
  <pageSetup paperSize="9" scale="29" orientation="landscape" horizontalDpi="300" verticalDpi="300" r:id="rId1"/>
  <headerFooter>
    <oddFooter>Page &amp;P of &amp;N</oddFooter>
  </headerFooter>
  <legacyDrawing r:id="rId2"/>
  <extLst>
    <ext xmlns:x14="http://schemas.microsoft.com/office/spreadsheetml/2009/9/main" uri="{78C0D931-6437-407d-A8EE-F0AAD7539E65}">
      <x14:conditionalFormattings>
        <x14:conditionalFormatting xmlns:xm="http://schemas.microsoft.com/office/excel/2006/main">
          <x14:cfRule type="dataBar" id="{745ECCD7-6B91-4737-9192-3E4BA7038890}">
            <x14:dataBar minLength="0" maxLength="100" border="1" negativeBarBorderColorSameAsPositive="0">
              <x14:cfvo type="autoMin"/>
              <x14:cfvo type="autoMax"/>
              <x14:borderColor rgb="FF92D050"/>
              <x14:negativeFillColor rgb="FFFF0000"/>
              <x14:negativeBorderColor rgb="FFFF0000"/>
              <x14:axisColor rgb="FF000000"/>
            </x14:dataBar>
          </x14:cfRule>
          <xm:sqref>C145:C160</xm:sqref>
        </x14:conditionalFormatting>
        <x14:conditionalFormatting xmlns:xm="http://schemas.microsoft.com/office/excel/2006/main">
          <x14:cfRule type="dataBar" id="{5C86AC3A-405F-4AC2-8D6B-FF184F790F29}">
            <x14:dataBar minLength="0" maxLength="100" border="1" negativeBarBorderColorSameAsPositive="0">
              <x14:cfvo type="autoMin"/>
              <x14:cfvo type="autoMax"/>
              <x14:borderColor rgb="FF92D050"/>
              <x14:negativeFillColor rgb="FFFF0000"/>
              <x14:negativeBorderColor rgb="FFFF0000"/>
              <x14:axisColor rgb="FF000000"/>
            </x14:dataBar>
          </x14:cfRule>
          <xm:sqref>D99:D114</xm:sqref>
        </x14:conditionalFormatting>
        <x14:conditionalFormatting xmlns:xm="http://schemas.microsoft.com/office/excel/2006/main">
          <x14:cfRule type="dataBar" id="{88B179E3-2CF8-499D-8BDB-0F64CBCF660E}">
            <x14:dataBar minLength="0" maxLength="100" border="1" negativeBarBorderColorSameAsPositive="0">
              <x14:cfvo type="autoMin"/>
              <x14:cfvo type="autoMax"/>
              <x14:borderColor rgb="FF92D050"/>
              <x14:negativeFillColor rgb="FFFF0000"/>
              <x14:negativeBorderColor rgb="FFFF0000"/>
              <x14:axisColor rgb="FF000000"/>
            </x14:dataBar>
          </x14:cfRule>
          <xm:sqref>F145:F161</xm:sqref>
        </x14:conditionalFormatting>
        <x14:conditionalFormatting xmlns:xm="http://schemas.microsoft.com/office/excel/2006/main">
          <x14:cfRule type="dataBar" id="{9D38A988-11C3-41C7-821B-CCFBDAD0A43B}">
            <x14:dataBar minLength="0" maxLength="100" border="1" negativeBarBorderColorSameAsPositive="0">
              <x14:cfvo type="autoMin"/>
              <x14:cfvo type="autoMax"/>
              <x14:borderColor rgb="FF92D050"/>
              <x14:negativeFillColor rgb="FFFF0000"/>
              <x14:negativeBorderColor rgb="FFFF0000"/>
              <x14:axisColor rgb="FF000000"/>
            </x14:dataBar>
          </x14:cfRule>
          <xm:sqref>I88:J90</xm:sqref>
        </x14:conditionalFormatting>
        <x14:conditionalFormatting xmlns:xm="http://schemas.microsoft.com/office/excel/2006/main">
          <x14:cfRule type="dataBar" id="{688ABF2D-E331-4812-A6C5-C260925CBD0D}">
            <x14:dataBar minLength="0" maxLength="100" border="1" negativeBarBorderColorSameAsPositive="0">
              <x14:cfvo type="autoMin"/>
              <x14:cfvo type="autoMax"/>
              <x14:borderColor rgb="FF92D050"/>
              <x14:negativeFillColor rgb="FFFF0000"/>
              <x14:negativeBorderColor rgb="FFFF0000"/>
              <x14:axisColor rgb="FF000000"/>
            </x14:dataBar>
          </x14:cfRule>
          <xm:sqref>I91:J91</xm:sqref>
        </x14:conditionalFormatting>
        <x14:conditionalFormatting xmlns:xm="http://schemas.microsoft.com/office/excel/2006/main">
          <x14:cfRule type="dataBar" id="{1A955052-4DA3-46DE-8318-F9208569FE93}">
            <x14:dataBar minLength="0" maxLength="100" border="1" negativeBarBorderColorSameAsPositive="0">
              <x14:cfvo type="autoMin"/>
              <x14:cfvo type="autoMax"/>
              <x14:borderColor rgb="FF92D050"/>
              <x14:negativeFillColor rgb="FFFF0000"/>
              <x14:negativeBorderColor rgb="FFFF0000"/>
              <x14:axisColor rgb="FF000000"/>
            </x14:dataBar>
          </x14:cfRule>
          <xm:sqref>I92:J92</xm:sqref>
        </x14:conditionalFormatting>
        <x14:conditionalFormatting xmlns:xm="http://schemas.microsoft.com/office/excel/2006/main">
          <x14:cfRule type="dataBar" id="{37540119-24DB-496E-944C-E792858E3B43}">
            <x14:dataBar minLength="0" maxLength="100" border="1" negativeBarBorderColorSameAsPositive="0">
              <x14:cfvo type="autoMin"/>
              <x14:cfvo type="autoMax"/>
              <x14:borderColor rgb="FF92D050"/>
              <x14:negativeFillColor rgb="FFFF0000"/>
              <x14:negativeBorderColor rgb="FFFF0000"/>
              <x14:axisColor rgb="FF000000"/>
            </x14:dataBar>
          </x14:cfRule>
          <xm:sqref>L54:L82</xm:sqref>
        </x14:conditionalFormatting>
        <x14:conditionalFormatting xmlns:xm="http://schemas.microsoft.com/office/excel/2006/main">
          <x14:cfRule type="dataBar" id="{39249000-83B4-43A6-8AD4-7D91F58DC0B6}">
            <x14:dataBar minLength="0" maxLength="100" border="1" negativeBarBorderColorSameAsPositive="0">
              <x14:cfvo type="autoMin"/>
              <x14:cfvo type="autoMax"/>
              <x14:borderColor rgb="FF638EC6"/>
              <x14:negativeFillColor rgb="FFFF0000"/>
              <x14:negativeBorderColor rgb="FFFF0000"/>
              <x14:axisColor rgb="FF000000"/>
            </x14:dataBar>
          </x14:cfRule>
          <xm:sqref>M99:M114</xm:sqref>
        </x14:conditionalFormatting>
        <x14:conditionalFormatting xmlns:xm="http://schemas.microsoft.com/office/excel/2006/main">
          <x14:cfRule type="dataBar" id="{5152BA5F-0407-4309-A421-831890B3356D}">
            <x14:dataBar minLength="0" maxLength="100" border="1" negativeBarBorderColorSameAsPositive="0">
              <x14:cfvo type="autoMin"/>
              <x14:cfvo type="autoMax"/>
              <x14:borderColor rgb="FF638EC6"/>
              <x14:negativeFillColor rgb="FFFF0000"/>
              <x14:negativeBorderColor rgb="FFFF0000"/>
              <x14:axisColor rgb="FF000000"/>
            </x14:dataBar>
          </x14:cfRule>
          <xm:sqref>R99:R114</xm:sqref>
        </x14:conditionalFormatting>
        <x14:conditionalFormatting xmlns:xm="http://schemas.microsoft.com/office/excel/2006/main">
          <x14:cfRule type="dataBar" id="{340F58E5-09F4-48DA-A2C9-3BC6741E2B99}">
            <x14:dataBar minLength="0" maxLength="100" border="1" negativeBarBorderColorSameAsPositive="0">
              <x14:cfvo type="autoMin"/>
              <x14:cfvo type="autoMax"/>
              <x14:borderColor rgb="FF92D050"/>
              <x14:negativeFillColor rgb="FFFF0000"/>
              <x14:negativeBorderColor rgb="FFFF0000"/>
              <x14:axisColor rgb="FF000000"/>
            </x14:dataBar>
          </x14:cfRule>
          <xm:sqref>V21:V48</xm:sqref>
        </x14:conditionalFormatting>
        <x14:conditionalFormatting xmlns:xm="http://schemas.microsoft.com/office/excel/2006/main">
          <x14:cfRule type="dataBar" id="{C1FB37EB-01C5-480F-9CE8-217B09996CB7}">
            <x14:dataBar minLength="0" maxLength="100" border="1" negativeBarBorderColorSameAsPositive="0">
              <x14:cfvo type="autoMin"/>
              <x14:cfvo type="autoMax"/>
              <x14:borderColor rgb="FF63C384"/>
              <x14:negativeFillColor rgb="FFFF0000"/>
              <x14:negativeBorderColor rgb="FFFF0000"/>
              <x14:axisColor rgb="FF000000"/>
            </x14:dataBar>
          </x14:cfRule>
          <xm:sqref>Y21:Y48</xm:sqref>
        </x14:conditionalFormatting>
        <x14:conditionalFormatting xmlns:xm="http://schemas.microsoft.com/office/excel/2006/main">
          <x14:cfRule type="dataBar" id="{40827042-4461-4B53-AECA-5F5F1F9BEBFB}">
            <x14:dataBar minLength="0" maxLength="100" border="1" negativeBarBorderColorSameAsPositive="0">
              <x14:cfvo type="autoMin"/>
              <x14:cfvo type="autoMax"/>
              <x14:borderColor rgb="FF63C384"/>
              <x14:negativeFillColor rgb="FFFF0000"/>
              <x14:negativeBorderColor rgb="FFFF0000"/>
              <x14:axisColor rgb="FF000000"/>
            </x14:dataBar>
          </x14:cfRule>
          <xm:sqref>AB21:AB48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7511C-FB67-4F80-AD52-26094EEBAF0B}">
  <dimension ref="A1:AD41"/>
  <sheetViews>
    <sheetView zoomScale="60" workbookViewId="0">
      <selection activeCell="J3" sqref="J3"/>
    </sheetView>
  </sheetViews>
  <sheetFormatPr defaultRowHeight="14.25" x14ac:dyDescent="0.45"/>
  <cols>
    <col min="1" max="1" width="13.1328125" style="1" bestFit="1" customWidth="1"/>
    <col min="2" max="2" width="15" bestFit="1" customWidth="1"/>
    <col min="3" max="3" width="14.59765625" bestFit="1" customWidth="1"/>
    <col min="4" max="4" width="15.265625" bestFit="1" customWidth="1"/>
    <col min="5" max="5" width="17.1328125" bestFit="1" customWidth="1"/>
    <col min="6" max="6" width="16.3984375" bestFit="1" customWidth="1"/>
    <col min="7" max="7" width="17.59765625" customWidth="1"/>
    <col min="8" max="8" width="17.86328125" customWidth="1"/>
    <col min="9" max="9" width="11.3984375" bestFit="1" customWidth="1"/>
    <col min="10" max="10" width="11.3984375" customWidth="1"/>
    <col min="11" max="11" width="15.59765625" bestFit="1" customWidth="1"/>
    <col min="12" max="12" width="12.73046875" bestFit="1" customWidth="1"/>
    <col min="13" max="13" width="13.1328125" style="1" bestFit="1" customWidth="1"/>
    <col min="14" max="14" width="13.73046875" style="1" bestFit="1" customWidth="1"/>
    <col min="15" max="15" width="9" style="1"/>
    <col min="16" max="16" width="15.86328125" style="1" bestFit="1" customWidth="1"/>
    <col min="17" max="17" width="13.59765625" style="1" bestFit="1" customWidth="1"/>
    <col min="18" max="18" width="18.3984375" style="1" bestFit="1" customWidth="1"/>
    <col min="19" max="19" width="15.86328125" style="1" bestFit="1" customWidth="1"/>
    <col min="20" max="20" width="20" style="1" bestFit="1" customWidth="1"/>
    <col min="21" max="21" width="18.1328125" style="1" bestFit="1" customWidth="1"/>
    <col min="22" max="22" width="28.73046875" style="1" bestFit="1" customWidth="1"/>
    <col min="23" max="23" width="20.3984375" style="1" bestFit="1" customWidth="1"/>
    <col min="24" max="24" width="11.265625" bestFit="1" customWidth="1"/>
    <col min="26" max="26" width="6.265625" customWidth="1"/>
    <col min="27" max="27" width="20.86328125" bestFit="1" customWidth="1"/>
    <col min="29" max="29" width="33.86328125" bestFit="1" customWidth="1"/>
    <col min="30" max="30" width="11.59765625" bestFit="1" customWidth="1"/>
  </cols>
  <sheetData>
    <row r="1" spans="1:21" ht="18" x14ac:dyDescent="0.55000000000000004">
      <c r="A1" s="570" t="s">
        <v>312</v>
      </c>
      <c r="B1" s="570"/>
      <c r="C1" s="570"/>
      <c r="D1" s="570"/>
      <c r="E1" s="570"/>
      <c r="F1" s="570"/>
      <c r="G1" s="570"/>
      <c r="H1" s="570"/>
      <c r="I1" s="570"/>
      <c r="J1" s="483"/>
    </row>
    <row r="2" spans="1:21" s="1" customFormat="1" x14ac:dyDescent="0.45">
      <c r="A2" s="435" t="s">
        <v>313</v>
      </c>
      <c r="B2" s="435" t="s">
        <v>314</v>
      </c>
      <c r="C2" s="435" t="s">
        <v>9</v>
      </c>
      <c r="D2" s="435" t="s">
        <v>315</v>
      </c>
      <c r="E2" s="435" t="s">
        <v>316</v>
      </c>
      <c r="F2" s="435" t="s">
        <v>317</v>
      </c>
      <c r="G2" s="435" t="s">
        <v>318</v>
      </c>
      <c r="H2" s="435" t="s">
        <v>319</v>
      </c>
      <c r="I2" s="435" t="s">
        <v>320</v>
      </c>
      <c r="J2" s="42"/>
    </row>
    <row r="3" spans="1:21" x14ac:dyDescent="0.45">
      <c r="A3" s="1">
        <v>1</v>
      </c>
      <c r="B3" s="1" t="s">
        <v>321</v>
      </c>
      <c r="C3" s="16">
        <f>'Mangal AeroponicsV6'!J49</f>
        <v>100612</v>
      </c>
      <c r="D3" s="11">
        <f>'Mangal AeroponicsV6'!N49</f>
        <v>257400</v>
      </c>
      <c r="E3" s="436">
        <v>4.5</v>
      </c>
      <c r="F3" s="437">
        <f>E3*D3</f>
        <v>1158300</v>
      </c>
      <c r="G3" s="437">
        <f>C3*6</f>
        <v>603672</v>
      </c>
      <c r="H3" s="437">
        <f>3.65*C3</f>
        <v>367233.8</v>
      </c>
      <c r="I3" s="1" t="s">
        <v>322</v>
      </c>
      <c r="J3" s="1"/>
      <c r="S3" s="42"/>
      <c r="T3" s="42"/>
      <c r="U3" s="220" t="s">
        <v>323</v>
      </c>
    </row>
    <row r="4" spans="1:21" x14ac:dyDescent="0.45">
      <c r="B4" s="1"/>
      <c r="C4" s="1"/>
      <c r="D4" s="1"/>
      <c r="E4" s="1"/>
      <c r="F4" s="22">
        <f>SUM(F3:F3)</f>
        <v>1158300</v>
      </c>
      <c r="G4" s="22">
        <f>SUM(G3:G3)</f>
        <v>603672</v>
      </c>
      <c r="H4" s="22">
        <f>SUM(H3:H3)</f>
        <v>367233.8</v>
      </c>
      <c r="I4" s="22">
        <f>SUM(I3:I3)</f>
        <v>0</v>
      </c>
      <c r="J4" s="437"/>
      <c r="S4" s="21"/>
      <c r="T4" s="21"/>
      <c r="U4" s="21">
        <f>F3</f>
        <v>1158300</v>
      </c>
    </row>
    <row r="5" spans="1:21" x14ac:dyDescent="0.45">
      <c r="C5" s="1"/>
      <c r="D5" s="1"/>
      <c r="J5" s="437"/>
    </row>
    <row r="6" spans="1:21" x14ac:dyDescent="0.45">
      <c r="J6" s="1"/>
    </row>
    <row r="7" spans="1:21" x14ac:dyDescent="0.45">
      <c r="J7" s="1"/>
      <c r="S7" s="42"/>
      <c r="T7" s="218"/>
      <c r="U7" s="438" t="s">
        <v>324</v>
      </c>
    </row>
    <row r="8" spans="1:21" x14ac:dyDescent="0.45">
      <c r="F8">
        <f>2000000/C3</f>
        <v>19.87834453146742</v>
      </c>
      <c r="J8" s="437"/>
    </row>
    <row r="9" spans="1:21" x14ac:dyDescent="0.45">
      <c r="J9" s="437"/>
    </row>
    <row r="10" spans="1:21" x14ac:dyDescent="0.45">
      <c r="J10" s="1"/>
    </row>
    <row r="11" spans="1:21" s="1" customFormat="1" x14ac:dyDescent="0.45">
      <c r="B11"/>
      <c r="C11"/>
      <c r="D11"/>
      <c r="E11"/>
      <c r="H11"/>
      <c r="I11"/>
      <c r="J11" s="22"/>
    </row>
    <row r="12" spans="1:21" x14ac:dyDescent="0.45">
      <c r="F12" s="1"/>
      <c r="G12" s="1"/>
    </row>
    <row r="13" spans="1:21" x14ac:dyDescent="0.45">
      <c r="F13" s="1"/>
      <c r="G13" s="1"/>
    </row>
    <row r="14" spans="1:21" x14ac:dyDescent="0.45">
      <c r="U14" s="439" t="s">
        <v>325</v>
      </c>
    </row>
    <row r="15" spans="1:21" x14ac:dyDescent="0.45">
      <c r="U15" s="440">
        <f>P20/2+U20/2</f>
        <v>1600000</v>
      </c>
    </row>
    <row r="17" spans="1:30" x14ac:dyDescent="0.45">
      <c r="K17" s="438" t="s">
        <v>326</v>
      </c>
      <c r="L17" s="438" t="s">
        <v>327</v>
      </c>
      <c r="Y17" s="1"/>
      <c r="Z17" s="1"/>
    </row>
    <row r="18" spans="1:30" x14ac:dyDescent="0.45">
      <c r="K18" s="441">
        <v>20000</v>
      </c>
      <c r="L18" s="442">
        <v>20</v>
      </c>
      <c r="P18" s="443">
        <v>2</v>
      </c>
      <c r="U18" s="346">
        <v>2</v>
      </c>
      <c r="Y18" s="1"/>
      <c r="Z18" s="1"/>
    </row>
    <row r="19" spans="1:30" x14ac:dyDescent="0.45">
      <c r="N19" s="1" t="s">
        <v>328</v>
      </c>
      <c r="P19" s="435" t="s">
        <v>329</v>
      </c>
      <c r="R19" s="1" t="s">
        <v>330</v>
      </c>
      <c r="S19" s="440">
        <f>P20/2</f>
        <v>800000</v>
      </c>
      <c r="U19" s="438" t="s">
        <v>331</v>
      </c>
      <c r="W19" s="1" t="s">
        <v>330</v>
      </c>
      <c r="X19" s="440">
        <f>U20/2</f>
        <v>800000</v>
      </c>
      <c r="Y19" s="1"/>
      <c r="Z19" s="1"/>
    </row>
    <row r="20" spans="1:30" x14ac:dyDescent="0.45">
      <c r="K20" s="444" t="s">
        <v>332</v>
      </c>
      <c r="L20" s="444" t="s">
        <v>333</v>
      </c>
      <c r="N20" s="439" t="s">
        <v>334</v>
      </c>
      <c r="P20" s="440">
        <f>N21*P18/(P18+P22)</f>
        <v>1600000</v>
      </c>
      <c r="U20" s="440">
        <f>S21*U18/(U18+U22)</f>
        <v>1600000</v>
      </c>
      <c r="X20" s="1"/>
      <c r="Y20" s="1"/>
      <c r="AD20" s="1"/>
    </row>
    <row r="21" spans="1:30" x14ac:dyDescent="0.45">
      <c r="K21" s="479" t="s">
        <v>335</v>
      </c>
      <c r="L21" s="479">
        <f>P18</f>
        <v>2</v>
      </c>
      <c r="N21" s="445">
        <f>(P18+P22)*K18*2*L18</f>
        <v>3200000</v>
      </c>
      <c r="Q21" t="s">
        <v>336</v>
      </c>
      <c r="R21" s="446" t="s">
        <v>337</v>
      </c>
      <c r="S21" s="445">
        <f>SUM(S19,S23)</f>
        <v>1600000</v>
      </c>
      <c r="W21" s="446" t="s">
        <v>338</v>
      </c>
      <c r="X21" s="445">
        <f>SUM(X19,X23)</f>
        <v>800000</v>
      </c>
      <c r="Y21" s="1"/>
      <c r="Z21" s="1"/>
      <c r="AA21" s="438" t="s">
        <v>339</v>
      </c>
      <c r="AC21" s="220" t="s">
        <v>340</v>
      </c>
      <c r="AD21" s="21">
        <f>H3</f>
        <v>367233.8</v>
      </c>
    </row>
    <row r="22" spans="1:30" x14ac:dyDescent="0.45">
      <c r="K22" s="479" t="s">
        <v>341</v>
      </c>
      <c r="L22" s="479">
        <f>U18</f>
        <v>2</v>
      </c>
      <c r="P22" s="443">
        <v>2</v>
      </c>
      <c r="U22" s="346">
        <v>0</v>
      </c>
      <c r="X22" s="1"/>
      <c r="Y22" s="1"/>
      <c r="Z22" s="1"/>
    </row>
    <row r="23" spans="1:30" x14ac:dyDescent="0.45">
      <c r="K23" s="479" t="s">
        <v>342</v>
      </c>
      <c r="L23" s="479">
        <f>P22</f>
        <v>2</v>
      </c>
      <c r="P23" s="435" t="s">
        <v>343</v>
      </c>
      <c r="R23" s="1" t="s">
        <v>344</v>
      </c>
      <c r="S23" s="440">
        <f>P24/2</f>
        <v>800000</v>
      </c>
      <c r="U23" s="438" t="s">
        <v>345</v>
      </c>
      <c r="W23" s="1" t="s">
        <v>344</v>
      </c>
      <c r="X23" s="440">
        <f>U24/2</f>
        <v>0</v>
      </c>
      <c r="Y23" s="1"/>
      <c r="Z23" s="1"/>
    </row>
    <row r="24" spans="1:30" x14ac:dyDescent="0.45">
      <c r="K24" s="479" t="s">
        <v>346</v>
      </c>
      <c r="L24" s="479">
        <f>U22</f>
        <v>0</v>
      </c>
      <c r="P24" s="440">
        <f>N21*P22/(P18+P22)</f>
        <v>1600000</v>
      </c>
      <c r="U24" s="440">
        <f>S21*U22/(U18+U22)</f>
        <v>0</v>
      </c>
      <c r="Y24" s="1"/>
      <c r="Z24" s="1"/>
    </row>
    <row r="25" spans="1:30" x14ac:dyDescent="0.45">
      <c r="Y25" s="1"/>
      <c r="Z25" s="1"/>
    </row>
    <row r="26" spans="1:30" x14ac:dyDescent="0.45">
      <c r="Y26" s="1"/>
      <c r="Z26" s="1"/>
    </row>
    <row r="27" spans="1:30" x14ac:dyDescent="0.45">
      <c r="A27" s="334" t="s">
        <v>347</v>
      </c>
      <c r="Y27" s="1"/>
      <c r="Z27" s="1"/>
    </row>
    <row r="28" spans="1:30" x14ac:dyDescent="0.45">
      <c r="U28" s="439" t="s">
        <v>348</v>
      </c>
      <c r="X28" s="1"/>
      <c r="Y28" s="1"/>
      <c r="Z28" s="1"/>
    </row>
    <row r="29" spans="1:30" x14ac:dyDescent="0.45">
      <c r="U29" s="440">
        <f>U24/2+P24/2</f>
        <v>800000</v>
      </c>
      <c r="X29" s="1"/>
      <c r="Y29" s="1"/>
      <c r="Z29" s="1"/>
    </row>
    <row r="34" spans="21:21" x14ac:dyDescent="0.45">
      <c r="U34" s="438" t="s">
        <v>349</v>
      </c>
    </row>
    <row r="40" spans="21:21" x14ac:dyDescent="0.45">
      <c r="U40" s="220" t="s">
        <v>350</v>
      </c>
    </row>
    <row r="41" spans="21:21" x14ac:dyDescent="0.45">
      <c r="U41" s="21">
        <f>G3</f>
        <v>603672</v>
      </c>
    </row>
  </sheetData>
  <mergeCells count="1">
    <mergeCell ref="A1:I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E7154-7B75-4163-9D2E-46C095421487}">
  <sheetPr>
    <tabColor theme="8" tint="0.79998168889431442"/>
    <pageSetUpPr fitToPage="1"/>
  </sheetPr>
  <dimension ref="A1:G46"/>
  <sheetViews>
    <sheetView topLeftCell="B12" zoomScale="75" workbookViewId="0">
      <selection activeCell="E13" sqref="E13"/>
    </sheetView>
  </sheetViews>
  <sheetFormatPr defaultColWidth="9" defaultRowHeight="14.25" x14ac:dyDescent="0.45"/>
  <cols>
    <col min="1" max="1" width="6.86328125" style="103" bestFit="1" customWidth="1"/>
    <col min="2" max="2" width="19.86328125" style="103" customWidth="1"/>
    <col min="3" max="3" width="6" style="79" bestFit="1" customWidth="1"/>
    <col min="4" max="4" width="8.59765625" style="79" bestFit="1" customWidth="1"/>
    <col min="5" max="5" width="138.73046875" style="103" customWidth="1"/>
    <col min="6" max="6" width="108.1328125" style="104" customWidth="1"/>
    <col min="7" max="7" width="39.73046875" style="103" bestFit="1" customWidth="1"/>
    <col min="8" max="16384" width="9" style="103"/>
  </cols>
  <sheetData>
    <row r="1" spans="1:7" s="451" customFormat="1" ht="15.75" x14ac:dyDescent="0.45">
      <c r="A1" s="450" t="s">
        <v>351</v>
      </c>
      <c r="B1" s="450" t="s">
        <v>352</v>
      </c>
      <c r="C1" s="450" t="s">
        <v>353</v>
      </c>
      <c r="D1" s="450" t="s">
        <v>354</v>
      </c>
      <c r="E1" s="450" t="s">
        <v>355</v>
      </c>
      <c r="F1" s="450" t="s">
        <v>356</v>
      </c>
      <c r="G1" s="450" t="s">
        <v>357</v>
      </c>
    </row>
    <row r="2" spans="1:7" s="105" customFormat="1" ht="57" x14ac:dyDescent="0.45">
      <c r="A2" s="79">
        <v>1</v>
      </c>
      <c r="B2" s="79" t="s">
        <v>358</v>
      </c>
      <c r="C2" s="79" t="s">
        <v>322</v>
      </c>
      <c r="D2" s="79" t="s">
        <v>322</v>
      </c>
      <c r="E2" s="102" t="s">
        <v>359</v>
      </c>
      <c r="F2" s="102" t="s">
        <v>360</v>
      </c>
      <c r="G2" s="103"/>
    </row>
    <row r="3" spans="1:7" ht="114" x14ac:dyDescent="0.45">
      <c r="A3" s="79">
        <f>A2+1</f>
        <v>2</v>
      </c>
      <c r="B3" s="79" t="s">
        <v>361</v>
      </c>
      <c r="C3" s="79" t="s">
        <v>362</v>
      </c>
      <c r="D3" s="79">
        <v>16</v>
      </c>
      <c r="E3" s="102" t="s">
        <v>363</v>
      </c>
      <c r="F3" s="102" t="s">
        <v>364</v>
      </c>
      <c r="G3" s="79"/>
    </row>
    <row r="4" spans="1:7" ht="28.5" x14ac:dyDescent="0.45">
      <c r="A4" s="79">
        <f>A3+1</f>
        <v>3</v>
      </c>
      <c r="B4" s="79" t="s">
        <v>365</v>
      </c>
      <c r="C4" s="79" t="s">
        <v>322</v>
      </c>
      <c r="D4" s="79" t="s">
        <v>322</v>
      </c>
      <c r="E4" s="102" t="s">
        <v>366</v>
      </c>
      <c r="F4" s="102" t="s">
        <v>367</v>
      </c>
      <c r="G4" s="79"/>
    </row>
    <row r="5" spans="1:7" ht="85.5" x14ac:dyDescent="0.45">
      <c r="A5" s="79">
        <f t="shared" ref="A5:A32" si="0">A4+1</f>
        <v>4</v>
      </c>
      <c r="B5" s="79" t="s">
        <v>56</v>
      </c>
      <c r="C5" s="79" t="s">
        <v>368</v>
      </c>
      <c r="D5" s="79">
        <v>6</v>
      </c>
      <c r="E5" s="102" t="s">
        <v>369</v>
      </c>
      <c r="F5" s="102" t="s">
        <v>370</v>
      </c>
      <c r="G5" s="79"/>
    </row>
    <row r="6" spans="1:7" ht="71.25" x14ac:dyDescent="0.45">
      <c r="A6" s="79">
        <f t="shared" si="0"/>
        <v>5</v>
      </c>
      <c r="B6" s="79" t="s">
        <v>371</v>
      </c>
      <c r="C6" s="79" t="s">
        <v>322</v>
      </c>
      <c r="D6" s="79" t="s">
        <v>322</v>
      </c>
      <c r="E6" s="102" t="s">
        <v>372</v>
      </c>
      <c r="F6" s="102" t="s">
        <v>373</v>
      </c>
      <c r="G6" s="79"/>
    </row>
    <row r="7" spans="1:7" ht="42.75" x14ac:dyDescent="0.45">
      <c r="A7" s="79">
        <f t="shared" si="0"/>
        <v>6</v>
      </c>
      <c r="B7" s="79" t="s">
        <v>374</v>
      </c>
      <c r="C7" s="79" t="s">
        <v>375</v>
      </c>
      <c r="D7" s="79">
        <v>1</v>
      </c>
      <c r="E7" s="102" t="s">
        <v>376</v>
      </c>
      <c r="F7" s="102" t="s">
        <v>377</v>
      </c>
      <c r="G7" s="79" t="s">
        <v>378</v>
      </c>
    </row>
    <row r="8" spans="1:7" ht="71.25" x14ac:dyDescent="0.45">
      <c r="A8" s="79">
        <f t="shared" si="0"/>
        <v>7</v>
      </c>
      <c r="B8" s="79" t="s">
        <v>379</v>
      </c>
      <c r="C8" s="79" t="s">
        <v>375</v>
      </c>
      <c r="D8" s="79">
        <v>3</v>
      </c>
      <c r="E8" s="102" t="s">
        <v>380</v>
      </c>
      <c r="F8" s="102" t="s">
        <v>381</v>
      </c>
      <c r="G8" s="79" t="s">
        <v>382</v>
      </c>
    </row>
    <row r="9" spans="1:7" ht="57" x14ac:dyDescent="0.45">
      <c r="A9" s="79">
        <f t="shared" si="0"/>
        <v>8</v>
      </c>
      <c r="B9" s="79" t="s">
        <v>337</v>
      </c>
      <c r="C9" s="79" t="s">
        <v>383</v>
      </c>
      <c r="D9" s="79">
        <v>1</v>
      </c>
      <c r="E9" s="102" t="s">
        <v>384</v>
      </c>
      <c r="F9" s="102" t="s">
        <v>385</v>
      </c>
      <c r="G9" s="79" t="s">
        <v>386</v>
      </c>
    </row>
    <row r="10" spans="1:7" ht="42.75" x14ac:dyDescent="0.45">
      <c r="A10" s="79">
        <f t="shared" si="0"/>
        <v>9</v>
      </c>
      <c r="B10" s="79" t="s">
        <v>338</v>
      </c>
      <c r="C10" s="79" t="s">
        <v>383</v>
      </c>
      <c r="D10" s="79">
        <v>1</v>
      </c>
      <c r="E10" s="102" t="s">
        <v>387</v>
      </c>
      <c r="F10" s="102" t="s">
        <v>385</v>
      </c>
      <c r="G10" s="14" t="s">
        <v>388</v>
      </c>
    </row>
    <row r="11" spans="1:7" ht="57" x14ac:dyDescent="0.45">
      <c r="A11" s="79">
        <f t="shared" si="0"/>
        <v>10</v>
      </c>
      <c r="B11" s="79" t="s">
        <v>389</v>
      </c>
      <c r="C11" s="79" t="s">
        <v>362</v>
      </c>
      <c r="D11" s="79">
        <v>16</v>
      </c>
      <c r="E11" s="102" t="s">
        <v>390</v>
      </c>
      <c r="F11" s="102" t="s">
        <v>391</v>
      </c>
      <c r="G11" s="79"/>
    </row>
    <row r="12" spans="1:7" ht="275.25" customHeight="1" x14ac:dyDescent="0.45">
      <c r="A12" s="79">
        <f t="shared" si="0"/>
        <v>11</v>
      </c>
      <c r="B12" s="79" t="s">
        <v>392</v>
      </c>
      <c r="C12" s="79" t="s">
        <v>362</v>
      </c>
      <c r="D12" s="79">
        <v>4</v>
      </c>
      <c r="E12" s="102" t="s">
        <v>393</v>
      </c>
      <c r="F12" s="102" t="s">
        <v>394</v>
      </c>
      <c r="G12" s="79"/>
    </row>
    <row r="13" spans="1:7" ht="142.5" x14ac:dyDescent="0.45">
      <c r="A13" s="79">
        <f t="shared" si="0"/>
        <v>12</v>
      </c>
      <c r="B13" s="79" t="s">
        <v>395</v>
      </c>
      <c r="C13" s="79" t="s">
        <v>322</v>
      </c>
      <c r="D13" s="79" t="s">
        <v>322</v>
      </c>
      <c r="E13" s="102" t="s">
        <v>396</v>
      </c>
      <c r="F13" s="102" t="s">
        <v>397</v>
      </c>
    </row>
    <row r="14" spans="1:7" x14ac:dyDescent="0.45">
      <c r="A14" s="79">
        <f t="shared" si="0"/>
        <v>13</v>
      </c>
      <c r="B14" s="79" t="s">
        <v>398</v>
      </c>
      <c r="C14" s="79" t="s">
        <v>322</v>
      </c>
      <c r="D14" s="79" t="s">
        <v>322</v>
      </c>
      <c r="E14" s="102" t="s">
        <v>399</v>
      </c>
      <c r="F14" s="104" t="s">
        <v>400</v>
      </c>
      <c r="G14" s="79"/>
    </row>
    <row r="15" spans="1:7" x14ac:dyDescent="0.45">
      <c r="A15" s="79">
        <f t="shared" si="0"/>
        <v>14</v>
      </c>
      <c r="B15" s="79" t="s">
        <v>401</v>
      </c>
      <c r="C15" s="79" t="s">
        <v>322</v>
      </c>
      <c r="D15" s="79" t="s">
        <v>322</v>
      </c>
      <c r="E15" s="449" t="s">
        <v>399</v>
      </c>
      <c r="F15" s="104" t="s">
        <v>400</v>
      </c>
      <c r="G15" s="79"/>
    </row>
    <row r="16" spans="1:7" ht="85.5" x14ac:dyDescent="0.45">
      <c r="A16" s="79">
        <f t="shared" si="0"/>
        <v>15</v>
      </c>
      <c r="B16" s="79" t="s">
        <v>402</v>
      </c>
      <c r="C16" s="79" t="s">
        <v>322</v>
      </c>
      <c r="D16" s="79" t="s">
        <v>322</v>
      </c>
      <c r="E16" s="102" t="s">
        <v>403</v>
      </c>
      <c r="F16" s="102" t="s">
        <v>404</v>
      </c>
    </row>
    <row r="17" spans="1:6" ht="114" x14ac:dyDescent="0.45">
      <c r="A17" s="79">
        <f t="shared" si="0"/>
        <v>16</v>
      </c>
      <c r="B17" s="79" t="s">
        <v>50</v>
      </c>
      <c r="C17" s="79" t="s">
        <v>322</v>
      </c>
      <c r="D17" s="79" t="s">
        <v>322</v>
      </c>
      <c r="E17" s="102" t="s">
        <v>405</v>
      </c>
      <c r="F17" s="102" t="s">
        <v>406</v>
      </c>
    </row>
    <row r="18" spans="1:6" ht="28.5" x14ac:dyDescent="0.45">
      <c r="A18" s="79">
        <f t="shared" si="0"/>
        <v>17</v>
      </c>
      <c r="B18" s="79" t="s">
        <v>407</v>
      </c>
      <c r="C18" s="79" t="s">
        <v>322</v>
      </c>
      <c r="D18" s="79" t="s">
        <v>322</v>
      </c>
      <c r="E18" s="449" t="s">
        <v>408</v>
      </c>
      <c r="F18" s="102" t="s">
        <v>409</v>
      </c>
    </row>
    <row r="19" spans="1:6" ht="57" x14ac:dyDescent="0.45">
      <c r="A19" s="79">
        <f t="shared" si="0"/>
        <v>18</v>
      </c>
      <c r="B19" s="79" t="s">
        <v>410</v>
      </c>
      <c r="C19" s="79" t="s">
        <v>322</v>
      </c>
      <c r="D19" s="79" t="s">
        <v>322</v>
      </c>
      <c r="E19" s="449" t="s">
        <v>408</v>
      </c>
      <c r="F19" s="102" t="s">
        <v>411</v>
      </c>
    </row>
    <row r="20" spans="1:6" x14ac:dyDescent="0.45">
      <c r="A20" s="79">
        <f t="shared" si="0"/>
        <v>19</v>
      </c>
      <c r="B20" s="79" t="s">
        <v>412</v>
      </c>
      <c r="C20" s="79" t="s">
        <v>322</v>
      </c>
      <c r="D20" s="79" t="s">
        <v>322</v>
      </c>
      <c r="E20" s="449" t="s">
        <v>413</v>
      </c>
      <c r="F20" s="104" t="s">
        <v>322</v>
      </c>
    </row>
    <row r="21" spans="1:6" x14ac:dyDescent="0.45">
      <c r="A21" s="79">
        <f t="shared" si="0"/>
        <v>20</v>
      </c>
      <c r="B21" s="79" t="s">
        <v>414</v>
      </c>
      <c r="C21" s="79" t="s">
        <v>322</v>
      </c>
      <c r="D21" s="79" t="s">
        <v>322</v>
      </c>
      <c r="E21" s="449" t="s">
        <v>415</v>
      </c>
      <c r="F21" s="104" t="s">
        <v>416</v>
      </c>
    </row>
    <row r="22" spans="1:6" ht="57" x14ac:dyDescent="0.45">
      <c r="A22" s="79">
        <f t="shared" si="0"/>
        <v>21</v>
      </c>
      <c r="B22" s="79" t="s">
        <v>417</v>
      </c>
      <c r="C22" s="79" t="s">
        <v>322</v>
      </c>
      <c r="D22" s="79" t="s">
        <v>322</v>
      </c>
      <c r="E22" s="102" t="s">
        <v>418</v>
      </c>
      <c r="F22" s="102" t="s">
        <v>419</v>
      </c>
    </row>
    <row r="23" spans="1:6" x14ac:dyDescent="0.45">
      <c r="A23" s="79">
        <f t="shared" si="0"/>
        <v>22</v>
      </c>
      <c r="B23" s="79" t="s">
        <v>68</v>
      </c>
      <c r="C23" s="79" t="s">
        <v>322</v>
      </c>
      <c r="D23" s="79" t="s">
        <v>322</v>
      </c>
      <c r="E23" s="449" t="s">
        <v>408</v>
      </c>
      <c r="F23" s="104" t="s">
        <v>420</v>
      </c>
    </row>
    <row r="24" spans="1:6" ht="185.25" x14ac:dyDescent="0.45">
      <c r="A24" s="79">
        <f t="shared" si="0"/>
        <v>23</v>
      </c>
      <c r="B24" s="79" t="s">
        <v>240</v>
      </c>
      <c r="C24" s="79" t="s">
        <v>322</v>
      </c>
      <c r="D24" s="79" t="s">
        <v>322</v>
      </c>
      <c r="E24" s="102" t="s">
        <v>421</v>
      </c>
      <c r="F24" s="102" t="s">
        <v>422</v>
      </c>
    </row>
    <row r="25" spans="1:6" x14ac:dyDescent="0.45">
      <c r="A25" s="79">
        <f t="shared" si="0"/>
        <v>24</v>
      </c>
      <c r="B25" s="79" t="s">
        <v>423</v>
      </c>
      <c r="C25" s="79" t="s">
        <v>322</v>
      </c>
      <c r="D25" s="79" t="s">
        <v>322</v>
      </c>
      <c r="E25" s="449" t="s">
        <v>415</v>
      </c>
      <c r="F25" s="104" t="s">
        <v>424</v>
      </c>
    </row>
    <row r="26" spans="1:6" x14ac:dyDescent="0.45">
      <c r="A26" s="79">
        <f t="shared" si="0"/>
        <v>25</v>
      </c>
      <c r="B26" s="79" t="s">
        <v>425</v>
      </c>
      <c r="C26" s="79" t="s">
        <v>322</v>
      </c>
      <c r="D26" s="79" t="s">
        <v>322</v>
      </c>
      <c r="E26" s="449" t="s">
        <v>415</v>
      </c>
      <c r="F26" s="104" t="s">
        <v>424</v>
      </c>
    </row>
    <row r="27" spans="1:6" x14ac:dyDescent="0.45">
      <c r="A27" s="79">
        <f t="shared" si="0"/>
        <v>26</v>
      </c>
      <c r="B27" s="79" t="s">
        <v>426</v>
      </c>
      <c r="C27" s="79" t="s">
        <v>322</v>
      </c>
      <c r="D27" s="79" t="s">
        <v>322</v>
      </c>
      <c r="E27" s="102" t="s">
        <v>427</v>
      </c>
      <c r="F27" s="104" t="s">
        <v>428</v>
      </c>
    </row>
    <row r="28" spans="1:6" ht="185.25" x14ac:dyDescent="0.45">
      <c r="A28" s="79">
        <f t="shared" si="0"/>
        <v>27</v>
      </c>
      <c r="B28" s="79" t="s">
        <v>429</v>
      </c>
      <c r="C28" s="79" t="s">
        <v>322</v>
      </c>
      <c r="D28" s="79" t="s">
        <v>322</v>
      </c>
      <c r="E28" s="102" t="s">
        <v>430</v>
      </c>
      <c r="F28" s="102" t="s">
        <v>431</v>
      </c>
    </row>
    <row r="29" spans="1:6" ht="85.5" x14ac:dyDescent="0.45">
      <c r="A29" s="79">
        <f t="shared" si="0"/>
        <v>28</v>
      </c>
      <c r="B29" s="79" t="s">
        <v>432</v>
      </c>
      <c r="C29" s="79" t="s">
        <v>322</v>
      </c>
      <c r="D29" s="79" t="s">
        <v>322</v>
      </c>
      <c r="E29" s="102" t="s">
        <v>433</v>
      </c>
      <c r="F29" s="102" t="s">
        <v>434</v>
      </c>
    </row>
    <row r="30" spans="1:6" ht="28.5" x14ac:dyDescent="0.45">
      <c r="A30" s="79">
        <f t="shared" si="0"/>
        <v>29</v>
      </c>
      <c r="B30" s="79" t="s">
        <v>435</v>
      </c>
      <c r="C30" s="79" t="s">
        <v>322</v>
      </c>
      <c r="D30" s="79" t="s">
        <v>322</v>
      </c>
      <c r="E30" s="106" t="s">
        <v>436</v>
      </c>
      <c r="F30" s="102" t="s">
        <v>437</v>
      </c>
    </row>
    <row r="31" spans="1:6" ht="156.75" x14ac:dyDescent="0.45">
      <c r="A31" s="79">
        <f t="shared" si="0"/>
        <v>30</v>
      </c>
      <c r="B31" s="79" t="s">
        <v>438</v>
      </c>
      <c r="C31" s="79" t="s">
        <v>322</v>
      </c>
      <c r="D31" s="79" t="s">
        <v>322</v>
      </c>
      <c r="E31" s="102" t="s">
        <v>439</v>
      </c>
      <c r="F31" s="102" t="s">
        <v>440</v>
      </c>
    </row>
    <row r="32" spans="1:6" ht="57" x14ac:dyDescent="0.45">
      <c r="A32" s="79">
        <f t="shared" si="0"/>
        <v>31</v>
      </c>
      <c r="B32" s="79" t="s">
        <v>441</v>
      </c>
      <c r="C32" s="79" t="s">
        <v>322</v>
      </c>
      <c r="D32" s="79" t="s">
        <v>322</v>
      </c>
      <c r="E32" s="102" t="s">
        <v>442</v>
      </c>
      <c r="F32" s="102" t="s">
        <v>443</v>
      </c>
    </row>
    <row r="33" spans="1:6" ht="42.75" x14ac:dyDescent="0.45">
      <c r="A33" s="79">
        <v>32</v>
      </c>
      <c r="B33" s="79" t="s">
        <v>444</v>
      </c>
      <c r="C33" s="79" t="s">
        <v>322</v>
      </c>
      <c r="D33" s="79" t="s">
        <v>322</v>
      </c>
      <c r="E33" s="102" t="s">
        <v>445</v>
      </c>
      <c r="F33" s="102" t="s">
        <v>446</v>
      </c>
    </row>
    <row r="34" spans="1:6" x14ac:dyDescent="0.45">
      <c r="A34" s="79"/>
      <c r="B34" s="79" t="s">
        <v>447</v>
      </c>
      <c r="E34" s="102" t="s">
        <v>448</v>
      </c>
    </row>
    <row r="46" spans="1:6" x14ac:dyDescent="0.45">
      <c r="C46" s="79" t="s">
        <v>288</v>
      </c>
    </row>
  </sheetData>
  <printOptions horizontalCentered="1" verticalCentered="1"/>
  <pageMargins left="0.11811023622047245" right="0.11811023622047245" top="0.15748031496062992" bottom="0.15748031496062992" header="0" footer="0.11811023622047245"/>
  <pageSetup paperSize="8" scale="44" orientation="portrait" r:id="rId1"/>
  <legacy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CEF9C-5EB8-4FE8-9F97-69589522374A}">
  <sheetPr>
    <tabColor theme="1" tint="0.499984740745262"/>
  </sheetPr>
  <dimension ref="A1:F12"/>
  <sheetViews>
    <sheetView zoomScaleNormal="100" workbookViewId="0">
      <selection activeCell="F5" sqref="F5"/>
    </sheetView>
  </sheetViews>
  <sheetFormatPr defaultColWidth="8.86328125" defaultRowHeight="14.25" x14ac:dyDescent="0.45"/>
  <cols>
    <col min="1" max="1" width="6.265625" style="79" bestFit="1" customWidth="1"/>
    <col min="2" max="2" width="8.86328125" style="79"/>
    <col min="3" max="3" width="41.265625" style="103" customWidth="1"/>
    <col min="4" max="4" width="55.1328125" style="106" customWidth="1"/>
    <col min="5" max="5" width="15.265625" style="103" bestFit="1" customWidth="1"/>
    <col min="6" max="6" width="34.59765625" style="103" bestFit="1" customWidth="1"/>
    <col min="7" max="16384" width="8.86328125" style="103"/>
  </cols>
  <sheetData>
    <row r="1" spans="1:6" x14ac:dyDescent="0.45">
      <c r="A1" s="571" t="s">
        <v>449</v>
      </c>
      <c r="B1" s="571"/>
      <c r="C1" s="571"/>
      <c r="D1" s="571"/>
    </row>
    <row r="2" spans="1:6" s="79" customFormat="1" ht="28.5" x14ac:dyDescent="0.45">
      <c r="A2" s="473" t="s">
        <v>450</v>
      </c>
      <c r="B2" s="473" t="s">
        <v>451</v>
      </c>
      <c r="C2" s="473" t="s">
        <v>452</v>
      </c>
      <c r="D2" s="177" t="s">
        <v>453</v>
      </c>
      <c r="E2" s="177" t="s">
        <v>454</v>
      </c>
      <c r="F2" s="490" t="s">
        <v>357</v>
      </c>
    </row>
    <row r="3" spans="1:6" ht="42.75" x14ac:dyDescent="0.45">
      <c r="A3" s="490">
        <v>1</v>
      </c>
      <c r="B3" s="490" t="s">
        <v>455</v>
      </c>
      <c r="C3" s="178" t="s">
        <v>456</v>
      </c>
      <c r="D3" s="178" t="s">
        <v>457</v>
      </c>
      <c r="E3" s="83" t="s">
        <v>458</v>
      </c>
      <c r="F3" s="83" t="s">
        <v>459</v>
      </c>
    </row>
    <row r="4" spans="1:6" ht="85.5" x14ac:dyDescent="0.45">
      <c r="A4" s="490">
        <f t="shared" ref="A4:A12" si="0">A3+1</f>
        <v>2</v>
      </c>
      <c r="B4" s="490" t="s">
        <v>460</v>
      </c>
      <c r="C4" s="178" t="s">
        <v>461</v>
      </c>
      <c r="D4" s="178" t="s">
        <v>462</v>
      </c>
      <c r="E4" s="83" t="s">
        <v>458</v>
      </c>
      <c r="F4" s="83"/>
    </row>
    <row r="5" spans="1:6" ht="85.5" x14ac:dyDescent="0.45">
      <c r="A5" s="490">
        <f t="shared" si="0"/>
        <v>3</v>
      </c>
      <c r="B5" s="490" t="s">
        <v>463</v>
      </c>
      <c r="C5" s="83" t="s">
        <v>464</v>
      </c>
      <c r="D5" s="178" t="s">
        <v>465</v>
      </c>
      <c r="E5" s="83" t="s">
        <v>458</v>
      </c>
      <c r="F5" s="83" t="s">
        <v>466</v>
      </c>
    </row>
    <row r="6" spans="1:6" ht="71.25" x14ac:dyDescent="0.45">
      <c r="A6" s="490">
        <f t="shared" si="0"/>
        <v>4</v>
      </c>
      <c r="B6" s="490" t="s">
        <v>467</v>
      </c>
      <c r="C6" s="83" t="s">
        <v>468</v>
      </c>
      <c r="D6" s="178" t="s">
        <v>469</v>
      </c>
      <c r="E6" s="178" t="s">
        <v>470</v>
      </c>
      <c r="F6" s="83" t="s">
        <v>471</v>
      </c>
    </row>
    <row r="7" spans="1:6" ht="85.5" x14ac:dyDescent="0.45">
      <c r="A7" s="490">
        <f t="shared" si="0"/>
        <v>5</v>
      </c>
      <c r="B7" s="490" t="s">
        <v>472</v>
      </c>
      <c r="C7" s="83" t="s">
        <v>473</v>
      </c>
      <c r="D7" s="178" t="s">
        <v>474</v>
      </c>
      <c r="E7" s="83" t="s">
        <v>475</v>
      </c>
      <c r="F7" s="83" t="s">
        <v>476</v>
      </c>
    </row>
    <row r="8" spans="1:6" ht="57" x14ac:dyDescent="0.45">
      <c r="A8" s="490">
        <f t="shared" si="0"/>
        <v>6</v>
      </c>
      <c r="B8" s="490" t="s">
        <v>477</v>
      </c>
      <c r="C8" s="83" t="s">
        <v>478</v>
      </c>
      <c r="D8" s="178" t="s">
        <v>479</v>
      </c>
      <c r="E8" s="178" t="s">
        <v>480</v>
      </c>
      <c r="F8" s="83"/>
    </row>
    <row r="9" spans="1:6" ht="71.25" x14ac:dyDescent="0.45">
      <c r="A9" s="490">
        <f t="shared" si="0"/>
        <v>7</v>
      </c>
      <c r="B9" s="490" t="s">
        <v>481</v>
      </c>
      <c r="C9" s="83" t="s">
        <v>482</v>
      </c>
      <c r="D9" s="178" t="s">
        <v>483</v>
      </c>
      <c r="E9" s="83"/>
      <c r="F9" s="83"/>
    </row>
    <row r="10" spans="1:6" ht="71.25" x14ac:dyDescent="0.45">
      <c r="A10" s="490">
        <f t="shared" si="0"/>
        <v>8</v>
      </c>
      <c r="B10" s="490" t="s">
        <v>484</v>
      </c>
      <c r="C10" s="83" t="s">
        <v>485</v>
      </c>
      <c r="D10" s="178" t="s">
        <v>486</v>
      </c>
      <c r="E10" s="83"/>
      <c r="F10" s="83"/>
    </row>
    <row r="11" spans="1:6" ht="42.75" x14ac:dyDescent="0.45">
      <c r="A11" s="490">
        <f t="shared" si="0"/>
        <v>9</v>
      </c>
      <c r="B11" s="490" t="s">
        <v>487</v>
      </c>
      <c r="C11" s="83" t="s">
        <v>488</v>
      </c>
      <c r="D11" s="178" t="s">
        <v>489</v>
      </c>
      <c r="E11" s="83"/>
      <c r="F11" s="83"/>
    </row>
    <row r="12" spans="1:6" ht="28.5" x14ac:dyDescent="0.45">
      <c r="A12" s="490">
        <f t="shared" si="0"/>
        <v>10</v>
      </c>
      <c r="B12" s="490" t="s">
        <v>490</v>
      </c>
      <c r="C12" s="83" t="s">
        <v>491</v>
      </c>
      <c r="D12" s="178" t="s">
        <v>492</v>
      </c>
      <c r="E12" s="83"/>
      <c r="F12" s="83"/>
    </row>
  </sheetData>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2EE5C-B048-48FE-9391-AA6106C27047}">
  <sheetPr>
    <tabColor rgb="FFFFC000"/>
  </sheetPr>
  <dimension ref="A1:V101"/>
  <sheetViews>
    <sheetView zoomScale="64" zoomScaleNormal="72" workbookViewId="0">
      <selection activeCell="M33" sqref="M33"/>
    </sheetView>
  </sheetViews>
  <sheetFormatPr defaultRowHeight="14.25" x14ac:dyDescent="0.45"/>
  <cols>
    <col min="1" max="1" width="6.265625" bestFit="1" customWidth="1"/>
    <col min="2" max="2" width="28.59765625" bestFit="1" customWidth="1"/>
    <col min="3" max="3" width="44.3984375" bestFit="1" customWidth="1"/>
    <col min="4" max="4" width="8.1328125" bestFit="1" customWidth="1"/>
    <col min="5" max="5" width="7" bestFit="1" customWidth="1"/>
    <col min="6" max="6" width="17.59765625" customWidth="1"/>
    <col min="7" max="8" width="8" bestFit="1" customWidth="1"/>
    <col min="9" max="10" width="9.86328125" bestFit="1" customWidth="1"/>
    <col min="11" max="11" width="12.265625" bestFit="1" customWidth="1"/>
    <col min="12" max="12" width="11.265625" bestFit="1" customWidth="1"/>
    <col min="13" max="13" width="11" bestFit="1" customWidth="1"/>
    <col min="14" max="15" width="12.59765625" bestFit="1" customWidth="1"/>
    <col min="16" max="16" width="7.3984375" bestFit="1" customWidth="1"/>
    <col min="17" max="18" width="6.86328125" bestFit="1" customWidth="1"/>
    <col min="19" max="19" width="8.265625" bestFit="1" customWidth="1"/>
    <col min="20" max="20" width="13" bestFit="1" customWidth="1"/>
    <col min="21" max="21" width="11.3984375" bestFit="1" customWidth="1"/>
    <col min="22" max="22" width="7" bestFit="1" customWidth="1"/>
  </cols>
  <sheetData>
    <row r="1" spans="1:22" ht="21" x14ac:dyDescent="0.65">
      <c r="A1" s="524" t="str">
        <f>"Mangal - "&amp;ROUND(K31/4047,2)&amp;" Acres"</f>
        <v>Mangal - 27.92 Acres</v>
      </c>
      <c r="B1" s="525"/>
      <c r="C1" s="525"/>
      <c r="D1" s="525"/>
      <c r="E1" s="525"/>
      <c r="F1" s="525"/>
      <c r="G1" s="525"/>
      <c r="H1" s="525"/>
      <c r="I1" s="525"/>
      <c r="J1" s="525"/>
      <c r="K1" s="525"/>
      <c r="L1" s="525"/>
      <c r="M1" s="525"/>
      <c r="N1" s="525"/>
      <c r="O1" s="525"/>
      <c r="P1" s="525"/>
      <c r="Q1" s="196"/>
      <c r="R1" s="196"/>
      <c r="S1" s="196"/>
      <c r="T1" s="196"/>
      <c r="U1" s="196"/>
      <c r="V1" s="196"/>
    </row>
    <row r="2" spans="1:22" ht="57" x14ac:dyDescent="0.45">
      <c r="A2" s="481" t="s">
        <v>84</v>
      </c>
      <c r="B2" s="481" t="s">
        <v>85</v>
      </c>
      <c r="C2" s="481" t="s">
        <v>493</v>
      </c>
      <c r="D2" s="481" t="s">
        <v>86</v>
      </c>
      <c r="E2" s="481" t="s">
        <v>87</v>
      </c>
      <c r="F2" s="481" t="s">
        <v>88</v>
      </c>
      <c r="G2" s="481" t="s">
        <v>89</v>
      </c>
      <c r="H2" s="481" t="s">
        <v>90</v>
      </c>
      <c r="I2" s="481" t="s">
        <v>91</v>
      </c>
      <c r="J2" s="481" t="s">
        <v>92</v>
      </c>
      <c r="K2" s="481" t="s">
        <v>93</v>
      </c>
      <c r="L2" s="481" t="s">
        <v>94</v>
      </c>
      <c r="M2" s="481" t="s">
        <v>134</v>
      </c>
      <c r="N2" s="481" t="s">
        <v>135</v>
      </c>
      <c r="O2" s="481" t="s">
        <v>136</v>
      </c>
      <c r="P2" s="481" t="s">
        <v>494</v>
      </c>
      <c r="Q2" s="481" t="s">
        <v>495</v>
      </c>
      <c r="R2" s="481" t="s">
        <v>496</v>
      </c>
      <c r="S2" s="481" t="s">
        <v>497</v>
      </c>
      <c r="T2" s="481" t="s">
        <v>498</v>
      </c>
      <c r="U2" s="481" t="s">
        <v>499</v>
      </c>
      <c r="V2" s="481" t="s">
        <v>500</v>
      </c>
    </row>
    <row r="3" spans="1:22" x14ac:dyDescent="0.45">
      <c r="A3" s="1">
        <v>1</v>
      </c>
      <c r="B3" s="1" t="s">
        <v>12</v>
      </c>
      <c r="C3" s="1" t="s">
        <v>151</v>
      </c>
      <c r="D3" s="1">
        <v>9</v>
      </c>
      <c r="E3" s="1">
        <v>3</v>
      </c>
      <c r="F3" s="1">
        <f>D3*8+3*2</f>
        <v>78</v>
      </c>
      <c r="G3" s="49">
        <v>6</v>
      </c>
      <c r="H3" s="49">
        <v>3</v>
      </c>
      <c r="I3" s="1">
        <v>46</v>
      </c>
      <c r="J3" s="1">
        <v>26</v>
      </c>
      <c r="K3" s="4">
        <f>8*(G3*I3+H3*J3)+2*E3*I3</f>
        <v>3108</v>
      </c>
      <c r="L3" s="127">
        <f>IF(COUNTIFS($B$3:$B$30,B3)&lt;2,((I3-E3*2)*G3+(J3-E3*2)*H3)*8,((I3-2-E3)*G3+(J3-E3-2)*H3)*8)</f>
        <v>2400</v>
      </c>
      <c r="M3" s="49">
        <v>5</v>
      </c>
      <c r="N3" s="49">
        <v>1</v>
      </c>
      <c r="O3" s="49">
        <v>1</v>
      </c>
      <c r="P3" s="11">
        <f>IF(COUNTIFS($B$3:$B$30,B3)=1,5*M3*G3*(I3-2*E3)+5*M3*H3*(J3-2*E3),5*M3*G3*(I3-E3-2)+5*M3*H3*(J3-2-E3))+IF(COUNTIFS($B$3:$B$30,B3)=1,2*N3*(I3-2*E3),2*N3*(I3-2-E3))+IF(COUNTIFS($B$3:$B$30,B3)=1,2*((5*D3-2)*O3),((5*D3-2)*O3))</f>
        <v>7666</v>
      </c>
      <c r="Q3" s="1">
        <f>IF(COUNTIFS($B$3:$B$30,B3)=1,I3-2*E3,I3-2-E3)</f>
        <v>40</v>
      </c>
      <c r="R3" s="11">
        <f>IF(COUNTIFS($B$3:$B$30,B3)=1, IF(J3&gt;0,J3-2*E3,I3-2*E3), IF(J3&gt;0,J3-2-E3,I3-2-E3))</f>
        <v>20</v>
      </c>
      <c r="S3" s="11">
        <f>P3</f>
        <v>7666</v>
      </c>
      <c r="T3" s="194">
        <f>P3*0.5</f>
        <v>3833</v>
      </c>
      <c r="U3" s="194">
        <f>IF(COUNTIFS($B$3:$B$30,B3)=1,5*(I3*G3+H3*J3),5*((I3-2)*G3+(J3-2)*H3))</f>
        <v>1770</v>
      </c>
      <c r="V3" s="1">
        <f>D3*5*2</f>
        <v>90</v>
      </c>
    </row>
    <row r="4" spans="1:22" x14ac:dyDescent="0.45">
      <c r="A4" s="1">
        <v>2</v>
      </c>
      <c r="B4" s="1" t="s">
        <v>14</v>
      </c>
      <c r="C4" s="1" t="s">
        <v>152</v>
      </c>
      <c r="D4" s="1">
        <v>10</v>
      </c>
      <c r="E4" s="1">
        <v>3</v>
      </c>
      <c r="F4" s="1">
        <f t="shared" ref="F4:F30" si="0">D4*8+3*2</f>
        <v>86</v>
      </c>
      <c r="G4" s="49">
        <v>8</v>
      </c>
      <c r="H4" s="49">
        <v>2</v>
      </c>
      <c r="I4" s="1">
        <v>51</v>
      </c>
      <c r="J4" s="1">
        <v>47</v>
      </c>
      <c r="K4" s="4">
        <f t="shared" ref="K4:K30" si="1">8*(G4*I4+H4*J4)+2*E4*I4</f>
        <v>4322</v>
      </c>
      <c r="L4" s="127">
        <f t="shared" ref="L4:L30" si="2">IF(COUNTIFS($B$3:$B$30,B4)&lt;2,((I4-E4*2)*G4+(J4-E4*2)*H4)*8,((I4-2-E4)*G4+(J4-E4-2)*H4)*8)</f>
        <v>3616</v>
      </c>
      <c r="M4" s="49">
        <v>5</v>
      </c>
      <c r="N4" s="49">
        <v>1</v>
      </c>
      <c r="O4" s="49">
        <v>1</v>
      </c>
      <c r="P4" s="11">
        <f t="shared" ref="P4:P30" si="3">IF(COUNTIFS($B$3:$B$30,B4)=1,5*M4*G4*(I4-2*E4)+5*M4*H4*(J4-2*E4),5*M4*G4*(I4-E4-2)+5*M4*H4*(J4-2-E4))+IF(COUNTIFS($B$3:$B$30,B4)=1,2*N4*(I4-2*E4),2*N4*(I4-2-E4))+IF(COUNTIFS($B$3:$B$30,B4)=1,2*((5*D4-2)*O4),((5*D4-2)*O4))</f>
        <v>11440</v>
      </c>
      <c r="Q4" s="1">
        <f t="shared" ref="Q4:Q30" si="4">IF(COUNTIFS($B$3:$B$30,B4)=1,I4-2*E4,I4-2-E4)</f>
        <v>46</v>
      </c>
      <c r="R4" s="11">
        <f t="shared" ref="R4:R30" si="5">IF(COUNTIFS($B$3:$B$30,B4)=1, IF(J4&gt;0,J4-2*E4,I4-2*E4), IF(J4&gt;0,J4-2-E4,I4-2-E4))</f>
        <v>42</v>
      </c>
      <c r="S4" s="11">
        <f t="shared" ref="S4:S30" si="6">P4</f>
        <v>11440</v>
      </c>
      <c r="T4" s="194">
        <f t="shared" ref="T4:T30" si="7">P4*0.5</f>
        <v>5720</v>
      </c>
      <c r="U4" s="194">
        <f t="shared" ref="U4:U30" si="8">IF(COUNTIFS($B$3:$B$30,B4)=1,5*(I4*G4+H4*J4),5*((I4-2)*G4+(J4-2)*H4))</f>
        <v>2410</v>
      </c>
      <c r="V4" s="1">
        <f t="shared" ref="V4:V30" si="9">D4*5*2</f>
        <v>100</v>
      </c>
    </row>
    <row r="5" spans="1:22" x14ac:dyDescent="0.45">
      <c r="A5" s="1">
        <v>3</v>
      </c>
      <c r="B5" s="1" t="s">
        <v>14</v>
      </c>
      <c r="C5" s="1" t="s">
        <v>153</v>
      </c>
      <c r="D5" s="1">
        <v>10</v>
      </c>
      <c r="E5" s="1">
        <v>3</v>
      </c>
      <c r="F5" s="1">
        <f t="shared" si="0"/>
        <v>86</v>
      </c>
      <c r="G5" s="49">
        <v>8</v>
      </c>
      <c r="H5" s="49">
        <v>2</v>
      </c>
      <c r="I5" s="1">
        <v>51</v>
      </c>
      <c r="J5" s="1">
        <v>51</v>
      </c>
      <c r="K5" s="4">
        <f t="shared" si="1"/>
        <v>4386</v>
      </c>
      <c r="L5" s="127">
        <f t="shared" si="2"/>
        <v>3680</v>
      </c>
      <c r="M5" s="49">
        <v>5</v>
      </c>
      <c r="N5" s="49">
        <v>1</v>
      </c>
      <c r="O5" s="49">
        <v>1</v>
      </c>
      <c r="P5" s="11">
        <f t="shared" si="3"/>
        <v>11640</v>
      </c>
      <c r="Q5" s="1">
        <f t="shared" si="4"/>
        <v>46</v>
      </c>
      <c r="R5" s="11">
        <f t="shared" si="5"/>
        <v>46</v>
      </c>
      <c r="S5" s="11">
        <f t="shared" si="6"/>
        <v>11640</v>
      </c>
      <c r="T5" s="194">
        <f t="shared" si="7"/>
        <v>5820</v>
      </c>
      <c r="U5" s="194">
        <f t="shared" si="8"/>
        <v>2450</v>
      </c>
      <c r="V5" s="1">
        <f t="shared" si="9"/>
        <v>100</v>
      </c>
    </row>
    <row r="6" spans="1:22" x14ac:dyDescent="0.45">
      <c r="A6" s="1">
        <v>4</v>
      </c>
      <c r="B6" s="1" t="s">
        <v>16</v>
      </c>
      <c r="C6" s="1" t="s">
        <v>154</v>
      </c>
      <c r="D6" s="1">
        <v>9</v>
      </c>
      <c r="E6" s="1">
        <v>3</v>
      </c>
      <c r="F6" s="1">
        <f t="shared" si="0"/>
        <v>78</v>
      </c>
      <c r="G6" s="49">
        <v>9</v>
      </c>
      <c r="H6" s="49">
        <v>0</v>
      </c>
      <c r="I6" s="1">
        <v>58</v>
      </c>
      <c r="J6" s="1">
        <v>0</v>
      </c>
      <c r="K6" s="4">
        <f t="shared" si="1"/>
        <v>4524</v>
      </c>
      <c r="L6" s="127">
        <f t="shared" si="2"/>
        <v>3744</v>
      </c>
      <c r="M6" s="49">
        <v>5</v>
      </c>
      <c r="N6" s="49">
        <v>1</v>
      </c>
      <c r="O6" s="49">
        <v>1</v>
      </c>
      <c r="P6" s="11">
        <f t="shared" si="3"/>
        <v>11890</v>
      </c>
      <c r="Q6" s="1">
        <f t="shared" si="4"/>
        <v>52</v>
      </c>
      <c r="R6" s="11">
        <f t="shared" si="5"/>
        <v>52</v>
      </c>
      <c r="S6" s="11">
        <f t="shared" si="6"/>
        <v>11890</v>
      </c>
      <c r="T6" s="194">
        <f t="shared" si="7"/>
        <v>5945</v>
      </c>
      <c r="U6" s="194">
        <f t="shared" si="8"/>
        <v>2610</v>
      </c>
      <c r="V6" s="1">
        <f t="shared" si="9"/>
        <v>90</v>
      </c>
    </row>
    <row r="7" spans="1:22" x14ac:dyDescent="0.45">
      <c r="A7" s="1">
        <v>5</v>
      </c>
      <c r="B7" s="1" t="s">
        <v>18</v>
      </c>
      <c r="C7" s="1" t="s">
        <v>155</v>
      </c>
      <c r="D7" s="1">
        <v>10</v>
      </c>
      <c r="E7" s="1">
        <v>3</v>
      </c>
      <c r="F7" s="1">
        <f t="shared" si="0"/>
        <v>86</v>
      </c>
      <c r="G7" s="49">
        <v>10</v>
      </c>
      <c r="H7" s="49">
        <v>0</v>
      </c>
      <c r="I7" s="1">
        <v>51</v>
      </c>
      <c r="J7" s="1">
        <v>0</v>
      </c>
      <c r="K7" s="4">
        <f t="shared" si="1"/>
        <v>4386</v>
      </c>
      <c r="L7" s="127">
        <f t="shared" si="2"/>
        <v>3680</v>
      </c>
      <c r="M7" s="49">
        <v>5</v>
      </c>
      <c r="N7" s="49">
        <v>1</v>
      </c>
      <c r="O7" s="49">
        <v>1</v>
      </c>
      <c r="P7" s="11">
        <f t="shared" si="3"/>
        <v>11640</v>
      </c>
      <c r="Q7" s="1">
        <f t="shared" si="4"/>
        <v>46</v>
      </c>
      <c r="R7" s="11">
        <f t="shared" si="5"/>
        <v>46</v>
      </c>
      <c r="S7" s="11">
        <f t="shared" si="6"/>
        <v>11640</v>
      </c>
      <c r="T7" s="194">
        <f t="shared" si="7"/>
        <v>5820</v>
      </c>
      <c r="U7" s="194">
        <f t="shared" si="8"/>
        <v>2450</v>
      </c>
      <c r="V7" s="1">
        <f t="shared" si="9"/>
        <v>100</v>
      </c>
    </row>
    <row r="8" spans="1:22" x14ac:dyDescent="0.45">
      <c r="A8" s="1">
        <v>6</v>
      </c>
      <c r="B8" s="1" t="s">
        <v>18</v>
      </c>
      <c r="C8" s="1" t="s">
        <v>156</v>
      </c>
      <c r="D8" s="1">
        <v>10</v>
      </c>
      <c r="E8" s="1">
        <v>3</v>
      </c>
      <c r="F8" s="1">
        <f t="shared" si="0"/>
        <v>86</v>
      </c>
      <c r="G8" s="49">
        <v>10</v>
      </c>
      <c r="H8" s="49">
        <v>0</v>
      </c>
      <c r="I8" s="1">
        <v>51</v>
      </c>
      <c r="J8" s="1">
        <v>0</v>
      </c>
      <c r="K8" s="4">
        <f t="shared" si="1"/>
        <v>4386</v>
      </c>
      <c r="L8" s="127">
        <f t="shared" si="2"/>
        <v>3680</v>
      </c>
      <c r="M8" s="49">
        <v>5</v>
      </c>
      <c r="N8" s="49">
        <v>1</v>
      </c>
      <c r="O8" s="49">
        <v>1</v>
      </c>
      <c r="P8" s="11">
        <f t="shared" si="3"/>
        <v>11640</v>
      </c>
      <c r="Q8" s="1">
        <f t="shared" si="4"/>
        <v>46</v>
      </c>
      <c r="R8" s="11">
        <f t="shared" si="5"/>
        <v>46</v>
      </c>
      <c r="S8" s="11">
        <f t="shared" si="6"/>
        <v>11640</v>
      </c>
      <c r="T8" s="194">
        <f t="shared" si="7"/>
        <v>5820</v>
      </c>
      <c r="U8" s="194">
        <f t="shared" si="8"/>
        <v>2450</v>
      </c>
      <c r="V8" s="1">
        <f t="shared" si="9"/>
        <v>100</v>
      </c>
    </row>
    <row r="9" spans="1:22" x14ac:dyDescent="0.45">
      <c r="A9" s="1">
        <v>7</v>
      </c>
      <c r="B9" s="1" t="s">
        <v>20</v>
      </c>
      <c r="C9" s="1" t="s">
        <v>157</v>
      </c>
      <c r="D9" s="1">
        <v>10</v>
      </c>
      <c r="E9" s="1">
        <v>3</v>
      </c>
      <c r="F9" s="1">
        <f t="shared" si="0"/>
        <v>86</v>
      </c>
      <c r="G9" s="49">
        <v>10</v>
      </c>
      <c r="H9" s="49">
        <v>0</v>
      </c>
      <c r="I9" s="1">
        <v>39</v>
      </c>
      <c r="J9" s="1">
        <v>0</v>
      </c>
      <c r="K9" s="4">
        <f t="shared" si="1"/>
        <v>3354</v>
      </c>
      <c r="L9" s="127">
        <f t="shared" si="2"/>
        <v>2720</v>
      </c>
      <c r="M9" s="49">
        <v>5</v>
      </c>
      <c r="N9" s="49">
        <v>1</v>
      </c>
      <c r="O9" s="49">
        <v>1</v>
      </c>
      <c r="P9" s="11">
        <f t="shared" si="3"/>
        <v>8616</v>
      </c>
      <c r="Q9" s="1">
        <f t="shared" si="4"/>
        <v>34</v>
      </c>
      <c r="R9" s="11">
        <f t="shared" si="5"/>
        <v>34</v>
      </c>
      <c r="S9" s="11">
        <f t="shared" si="6"/>
        <v>8616</v>
      </c>
      <c r="T9" s="194">
        <f t="shared" si="7"/>
        <v>4308</v>
      </c>
      <c r="U9" s="194">
        <f t="shared" si="8"/>
        <v>1850</v>
      </c>
      <c r="V9" s="1">
        <f t="shared" si="9"/>
        <v>100</v>
      </c>
    </row>
    <row r="10" spans="1:22" x14ac:dyDescent="0.45">
      <c r="A10" s="1">
        <v>8</v>
      </c>
      <c r="B10" s="1" t="s">
        <v>20</v>
      </c>
      <c r="C10" s="1" t="s">
        <v>158</v>
      </c>
      <c r="D10" s="1">
        <v>10</v>
      </c>
      <c r="E10" s="1">
        <v>3</v>
      </c>
      <c r="F10" s="1">
        <f t="shared" si="0"/>
        <v>86</v>
      </c>
      <c r="G10" s="49">
        <v>10</v>
      </c>
      <c r="H10" s="49">
        <v>0</v>
      </c>
      <c r="I10" s="1">
        <v>39</v>
      </c>
      <c r="J10" s="1">
        <v>0</v>
      </c>
      <c r="K10" s="4">
        <f t="shared" si="1"/>
        <v>3354</v>
      </c>
      <c r="L10" s="127">
        <f t="shared" si="2"/>
        <v>2720</v>
      </c>
      <c r="M10" s="49">
        <v>5</v>
      </c>
      <c r="N10" s="49">
        <v>1</v>
      </c>
      <c r="O10" s="49">
        <v>1</v>
      </c>
      <c r="P10" s="11">
        <f t="shared" si="3"/>
        <v>8616</v>
      </c>
      <c r="Q10" s="1">
        <f t="shared" si="4"/>
        <v>34</v>
      </c>
      <c r="R10" s="11">
        <f t="shared" si="5"/>
        <v>34</v>
      </c>
      <c r="S10" s="11">
        <f t="shared" si="6"/>
        <v>8616</v>
      </c>
      <c r="T10" s="194">
        <f t="shared" si="7"/>
        <v>4308</v>
      </c>
      <c r="U10" s="194">
        <f t="shared" si="8"/>
        <v>1850</v>
      </c>
      <c r="V10" s="1">
        <f t="shared" si="9"/>
        <v>100</v>
      </c>
    </row>
    <row r="11" spans="1:22" x14ac:dyDescent="0.45">
      <c r="A11" s="1">
        <v>9</v>
      </c>
      <c r="B11" s="1" t="s">
        <v>22</v>
      </c>
      <c r="C11" s="1" t="s">
        <v>159</v>
      </c>
      <c r="D11" s="1">
        <v>10</v>
      </c>
      <c r="E11" s="1">
        <v>3</v>
      </c>
      <c r="F11" s="1">
        <f t="shared" si="0"/>
        <v>86</v>
      </c>
      <c r="G11" s="49">
        <v>4</v>
      </c>
      <c r="H11" s="49">
        <v>6</v>
      </c>
      <c r="I11" s="1">
        <v>43</v>
      </c>
      <c r="J11" s="1">
        <v>19</v>
      </c>
      <c r="K11" s="4">
        <f t="shared" si="1"/>
        <v>2546</v>
      </c>
      <c r="L11" s="127">
        <f t="shared" si="2"/>
        <v>1888</v>
      </c>
      <c r="M11" s="49">
        <v>5</v>
      </c>
      <c r="N11" s="49">
        <v>1</v>
      </c>
      <c r="O11" s="49">
        <v>1</v>
      </c>
      <c r="P11" s="11">
        <f t="shared" si="3"/>
        <v>6024</v>
      </c>
      <c r="Q11" s="1">
        <f t="shared" si="4"/>
        <v>38</v>
      </c>
      <c r="R11" s="11">
        <f t="shared" si="5"/>
        <v>14</v>
      </c>
      <c r="S11" s="11">
        <f t="shared" si="6"/>
        <v>6024</v>
      </c>
      <c r="T11" s="194">
        <f t="shared" si="7"/>
        <v>3012</v>
      </c>
      <c r="U11" s="194">
        <f t="shared" si="8"/>
        <v>1330</v>
      </c>
      <c r="V11" s="1">
        <f t="shared" si="9"/>
        <v>100</v>
      </c>
    </row>
    <row r="12" spans="1:22" x14ac:dyDescent="0.45">
      <c r="A12" s="1">
        <v>10</v>
      </c>
      <c r="B12" s="1" t="s">
        <v>22</v>
      </c>
      <c r="C12" s="1" t="s">
        <v>160</v>
      </c>
      <c r="D12" s="1">
        <v>10</v>
      </c>
      <c r="E12" s="1">
        <v>3</v>
      </c>
      <c r="F12" s="1">
        <f t="shared" si="0"/>
        <v>86</v>
      </c>
      <c r="G12" s="49">
        <v>4</v>
      </c>
      <c r="H12" s="49">
        <v>6</v>
      </c>
      <c r="I12" s="1">
        <v>43</v>
      </c>
      <c r="J12" s="1">
        <v>43</v>
      </c>
      <c r="K12" s="4">
        <f t="shared" si="1"/>
        <v>3698</v>
      </c>
      <c r="L12" s="127">
        <f t="shared" si="2"/>
        <v>3040</v>
      </c>
      <c r="M12" s="49">
        <v>5</v>
      </c>
      <c r="N12" s="49">
        <v>1</v>
      </c>
      <c r="O12" s="49">
        <v>1</v>
      </c>
      <c r="P12" s="11">
        <f t="shared" si="3"/>
        <v>9624</v>
      </c>
      <c r="Q12" s="1">
        <f t="shared" si="4"/>
        <v>38</v>
      </c>
      <c r="R12" s="11">
        <f t="shared" si="5"/>
        <v>38</v>
      </c>
      <c r="S12" s="11">
        <f t="shared" si="6"/>
        <v>9624</v>
      </c>
      <c r="T12" s="194">
        <f t="shared" si="7"/>
        <v>4812</v>
      </c>
      <c r="U12" s="194">
        <f t="shared" si="8"/>
        <v>2050</v>
      </c>
      <c r="V12" s="1">
        <f t="shared" si="9"/>
        <v>100</v>
      </c>
    </row>
    <row r="13" spans="1:22" x14ac:dyDescent="0.45">
      <c r="A13" s="1">
        <v>11</v>
      </c>
      <c r="B13" s="1" t="s">
        <v>24</v>
      </c>
      <c r="C13" s="1" t="s">
        <v>161</v>
      </c>
      <c r="D13" s="1">
        <v>11</v>
      </c>
      <c r="E13" s="1">
        <v>3</v>
      </c>
      <c r="F13" s="1">
        <f t="shared" si="0"/>
        <v>94</v>
      </c>
      <c r="G13" s="49">
        <v>11</v>
      </c>
      <c r="H13" s="49">
        <v>0</v>
      </c>
      <c r="I13" s="1">
        <v>37</v>
      </c>
      <c r="J13" s="1">
        <v>0</v>
      </c>
      <c r="K13" s="4">
        <f t="shared" si="1"/>
        <v>3478</v>
      </c>
      <c r="L13" s="127">
        <f t="shared" si="2"/>
        <v>2816</v>
      </c>
      <c r="M13" s="49">
        <v>5</v>
      </c>
      <c r="N13" s="49">
        <v>1</v>
      </c>
      <c r="O13" s="49">
        <v>1</v>
      </c>
      <c r="P13" s="11">
        <f t="shared" si="3"/>
        <v>8917</v>
      </c>
      <c r="Q13" s="1">
        <f t="shared" si="4"/>
        <v>32</v>
      </c>
      <c r="R13" s="11">
        <f t="shared" si="5"/>
        <v>32</v>
      </c>
      <c r="S13" s="11">
        <f t="shared" si="6"/>
        <v>8917</v>
      </c>
      <c r="T13" s="194">
        <f t="shared" si="7"/>
        <v>4458.5</v>
      </c>
      <c r="U13" s="194">
        <f t="shared" si="8"/>
        <v>1925</v>
      </c>
      <c r="V13" s="1">
        <f t="shared" si="9"/>
        <v>110</v>
      </c>
    </row>
    <row r="14" spans="1:22" x14ac:dyDescent="0.45">
      <c r="A14" s="1">
        <v>12</v>
      </c>
      <c r="B14" s="1" t="s">
        <v>24</v>
      </c>
      <c r="C14" s="1" t="s">
        <v>162</v>
      </c>
      <c r="D14" s="1">
        <v>11</v>
      </c>
      <c r="E14" s="1">
        <v>3</v>
      </c>
      <c r="F14" s="1">
        <f t="shared" si="0"/>
        <v>94</v>
      </c>
      <c r="G14" s="49">
        <v>11</v>
      </c>
      <c r="H14" s="49">
        <v>0</v>
      </c>
      <c r="I14" s="1">
        <v>37</v>
      </c>
      <c r="J14" s="1">
        <v>0</v>
      </c>
      <c r="K14" s="4">
        <f t="shared" si="1"/>
        <v>3478</v>
      </c>
      <c r="L14" s="127">
        <f t="shared" si="2"/>
        <v>2816</v>
      </c>
      <c r="M14" s="49">
        <v>5</v>
      </c>
      <c r="N14" s="49">
        <v>1</v>
      </c>
      <c r="O14" s="49">
        <v>1</v>
      </c>
      <c r="P14" s="11">
        <f t="shared" si="3"/>
        <v>8917</v>
      </c>
      <c r="Q14" s="1">
        <f t="shared" si="4"/>
        <v>32</v>
      </c>
      <c r="R14" s="11">
        <f t="shared" si="5"/>
        <v>32</v>
      </c>
      <c r="S14" s="11">
        <f t="shared" si="6"/>
        <v>8917</v>
      </c>
      <c r="T14" s="194">
        <f t="shared" si="7"/>
        <v>4458.5</v>
      </c>
      <c r="U14" s="194">
        <f t="shared" si="8"/>
        <v>1925</v>
      </c>
      <c r="V14" s="1">
        <f t="shared" si="9"/>
        <v>110</v>
      </c>
    </row>
    <row r="15" spans="1:22" x14ac:dyDescent="0.45">
      <c r="A15" s="1">
        <v>13</v>
      </c>
      <c r="B15" s="1" t="s">
        <v>27</v>
      </c>
      <c r="C15" s="1" t="s">
        <v>163</v>
      </c>
      <c r="D15" s="1">
        <v>12</v>
      </c>
      <c r="E15" s="1">
        <v>3</v>
      </c>
      <c r="F15" s="1">
        <f t="shared" si="0"/>
        <v>102</v>
      </c>
      <c r="G15" s="49">
        <v>12</v>
      </c>
      <c r="H15" s="49">
        <v>0</v>
      </c>
      <c r="I15" s="1">
        <v>51</v>
      </c>
      <c r="J15" s="1">
        <v>0</v>
      </c>
      <c r="K15" s="4">
        <f t="shared" si="1"/>
        <v>5202</v>
      </c>
      <c r="L15" s="127">
        <f t="shared" si="2"/>
        <v>4416</v>
      </c>
      <c r="M15" s="49">
        <v>5</v>
      </c>
      <c r="N15" s="49">
        <v>1</v>
      </c>
      <c r="O15" s="49">
        <v>1</v>
      </c>
      <c r="P15" s="11">
        <f t="shared" si="3"/>
        <v>13950</v>
      </c>
      <c r="Q15" s="1">
        <f t="shared" si="4"/>
        <v>46</v>
      </c>
      <c r="R15" s="11">
        <f t="shared" si="5"/>
        <v>46</v>
      </c>
      <c r="S15" s="11">
        <f t="shared" si="6"/>
        <v>13950</v>
      </c>
      <c r="T15" s="194">
        <f t="shared" si="7"/>
        <v>6975</v>
      </c>
      <c r="U15" s="194">
        <f t="shared" si="8"/>
        <v>2940</v>
      </c>
      <c r="V15" s="1">
        <f t="shared" si="9"/>
        <v>120</v>
      </c>
    </row>
    <row r="16" spans="1:22" x14ac:dyDescent="0.45">
      <c r="A16" s="1">
        <v>14</v>
      </c>
      <c r="B16" s="1" t="s">
        <v>27</v>
      </c>
      <c r="C16" s="1" t="s">
        <v>164</v>
      </c>
      <c r="D16" s="1">
        <v>12</v>
      </c>
      <c r="E16" s="1">
        <v>3</v>
      </c>
      <c r="F16" s="1">
        <f t="shared" si="0"/>
        <v>102</v>
      </c>
      <c r="G16" s="49">
        <v>12</v>
      </c>
      <c r="H16" s="49">
        <v>0</v>
      </c>
      <c r="I16" s="1">
        <v>51</v>
      </c>
      <c r="J16" s="1">
        <v>0</v>
      </c>
      <c r="K16" s="4">
        <f t="shared" si="1"/>
        <v>5202</v>
      </c>
      <c r="L16" s="127">
        <f t="shared" si="2"/>
        <v>4416</v>
      </c>
      <c r="M16" s="49">
        <v>5</v>
      </c>
      <c r="N16" s="49">
        <v>1</v>
      </c>
      <c r="O16" s="49">
        <v>1</v>
      </c>
      <c r="P16" s="11">
        <f t="shared" si="3"/>
        <v>13950</v>
      </c>
      <c r="Q16" s="1">
        <f t="shared" si="4"/>
        <v>46</v>
      </c>
      <c r="R16" s="11">
        <f t="shared" si="5"/>
        <v>46</v>
      </c>
      <c r="S16" s="11">
        <f t="shared" si="6"/>
        <v>13950</v>
      </c>
      <c r="T16" s="194">
        <f t="shared" si="7"/>
        <v>6975</v>
      </c>
      <c r="U16" s="194">
        <f t="shared" si="8"/>
        <v>2940</v>
      </c>
      <c r="V16" s="1">
        <f t="shared" si="9"/>
        <v>120</v>
      </c>
    </row>
    <row r="17" spans="1:22" x14ac:dyDescent="0.45">
      <c r="A17" s="1">
        <v>15</v>
      </c>
      <c r="B17" s="1" t="s">
        <v>29</v>
      </c>
      <c r="C17" s="1" t="s">
        <v>165</v>
      </c>
      <c r="D17" s="1">
        <v>12</v>
      </c>
      <c r="E17" s="1">
        <v>3</v>
      </c>
      <c r="F17" s="1">
        <f t="shared" si="0"/>
        <v>102</v>
      </c>
      <c r="G17" s="49">
        <v>12</v>
      </c>
      <c r="H17" s="49">
        <v>0</v>
      </c>
      <c r="I17" s="1">
        <v>51</v>
      </c>
      <c r="J17" s="1">
        <v>0</v>
      </c>
      <c r="K17" s="4">
        <f t="shared" si="1"/>
        <v>5202</v>
      </c>
      <c r="L17" s="127">
        <f t="shared" si="2"/>
        <v>4416</v>
      </c>
      <c r="M17" s="49">
        <v>5</v>
      </c>
      <c r="N17" s="49">
        <v>1</v>
      </c>
      <c r="O17" s="49">
        <v>1</v>
      </c>
      <c r="P17" s="11">
        <f t="shared" si="3"/>
        <v>13950</v>
      </c>
      <c r="Q17" s="1">
        <f t="shared" si="4"/>
        <v>46</v>
      </c>
      <c r="R17" s="11">
        <f t="shared" si="5"/>
        <v>46</v>
      </c>
      <c r="S17" s="11">
        <f t="shared" si="6"/>
        <v>13950</v>
      </c>
      <c r="T17" s="194">
        <f t="shared" si="7"/>
        <v>6975</v>
      </c>
      <c r="U17" s="194">
        <f t="shared" si="8"/>
        <v>2940</v>
      </c>
      <c r="V17" s="1">
        <f t="shared" si="9"/>
        <v>120</v>
      </c>
    </row>
    <row r="18" spans="1:22" x14ac:dyDescent="0.45">
      <c r="A18" s="1">
        <v>16</v>
      </c>
      <c r="B18" s="1" t="s">
        <v>29</v>
      </c>
      <c r="C18" s="1" t="s">
        <v>166</v>
      </c>
      <c r="D18" s="1">
        <v>12</v>
      </c>
      <c r="E18" s="1">
        <v>3</v>
      </c>
      <c r="F18" s="1">
        <f t="shared" si="0"/>
        <v>102</v>
      </c>
      <c r="G18" s="49">
        <v>12</v>
      </c>
      <c r="H18" s="49">
        <v>0</v>
      </c>
      <c r="I18" s="1">
        <v>51</v>
      </c>
      <c r="J18" s="1">
        <v>0</v>
      </c>
      <c r="K18" s="4">
        <f t="shared" si="1"/>
        <v>5202</v>
      </c>
      <c r="L18" s="127">
        <f t="shared" si="2"/>
        <v>4416</v>
      </c>
      <c r="M18" s="49">
        <v>5</v>
      </c>
      <c r="N18" s="49">
        <v>1</v>
      </c>
      <c r="O18" s="49">
        <v>1</v>
      </c>
      <c r="P18" s="11">
        <f t="shared" si="3"/>
        <v>13950</v>
      </c>
      <c r="Q18" s="1">
        <f t="shared" si="4"/>
        <v>46</v>
      </c>
      <c r="R18" s="11">
        <f t="shared" si="5"/>
        <v>46</v>
      </c>
      <c r="S18" s="11">
        <f t="shared" si="6"/>
        <v>13950</v>
      </c>
      <c r="T18" s="194">
        <f t="shared" si="7"/>
        <v>6975</v>
      </c>
      <c r="U18" s="194">
        <f t="shared" si="8"/>
        <v>2940</v>
      </c>
      <c r="V18" s="1">
        <f t="shared" si="9"/>
        <v>120</v>
      </c>
    </row>
    <row r="19" spans="1:22" x14ac:dyDescent="0.45">
      <c r="A19" s="1">
        <v>17</v>
      </c>
      <c r="B19" s="1" t="s">
        <v>31</v>
      </c>
      <c r="C19" s="1" t="s">
        <v>167</v>
      </c>
      <c r="D19" s="1">
        <v>12</v>
      </c>
      <c r="E19" s="1">
        <v>3</v>
      </c>
      <c r="F19" s="1">
        <f t="shared" si="0"/>
        <v>102</v>
      </c>
      <c r="G19" s="49">
        <v>12</v>
      </c>
      <c r="H19" s="49">
        <v>0</v>
      </c>
      <c r="I19" s="1">
        <v>37</v>
      </c>
      <c r="J19" s="1">
        <v>0</v>
      </c>
      <c r="K19" s="4">
        <f t="shared" si="1"/>
        <v>3774</v>
      </c>
      <c r="L19" s="127">
        <f t="shared" si="2"/>
        <v>3072</v>
      </c>
      <c r="M19" s="49">
        <v>5</v>
      </c>
      <c r="N19" s="49">
        <v>1</v>
      </c>
      <c r="O19" s="49">
        <v>1</v>
      </c>
      <c r="P19" s="11">
        <f t="shared" si="3"/>
        <v>9722</v>
      </c>
      <c r="Q19" s="1">
        <f t="shared" si="4"/>
        <v>32</v>
      </c>
      <c r="R19" s="11">
        <f t="shared" si="5"/>
        <v>32</v>
      </c>
      <c r="S19" s="11">
        <f t="shared" si="6"/>
        <v>9722</v>
      </c>
      <c r="T19" s="194">
        <f t="shared" si="7"/>
        <v>4861</v>
      </c>
      <c r="U19" s="194">
        <f t="shared" si="8"/>
        <v>2100</v>
      </c>
      <c r="V19" s="1">
        <f t="shared" si="9"/>
        <v>120</v>
      </c>
    </row>
    <row r="20" spans="1:22" x14ac:dyDescent="0.45">
      <c r="A20" s="1">
        <v>18</v>
      </c>
      <c r="B20" s="1" t="s">
        <v>31</v>
      </c>
      <c r="C20" s="1" t="s">
        <v>168</v>
      </c>
      <c r="D20" s="1">
        <v>12</v>
      </c>
      <c r="E20" s="1">
        <v>3</v>
      </c>
      <c r="F20" s="1">
        <f t="shared" si="0"/>
        <v>102</v>
      </c>
      <c r="G20" s="49">
        <v>12</v>
      </c>
      <c r="H20" s="49">
        <v>0</v>
      </c>
      <c r="I20" s="1">
        <v>37</v>
      </c>
      <c r="J20" s="1">
        <v>0</v>
      </c>
      <c r="K20" s="4">
        <f t="shared" si="1"/>
        <v>3774</v>
      </c>
      <c r="L20" s="127">
        <f t="shared" si="2"/>
        <v>3072</v>
      </c>
      <c r="M20" s="49">
        <v>5</v>
      </c>
      <c r="N20" s="49">
        <v>1</v>
      </c>
      <c r="O20" s="49">
        <v>1</v>
      </c>
      <c r="P20" s="11">
        <f t="shared" si="3"/>
        <v>9722</v>
      </c>
      <c r="Q20" s="1">
        <f t="shared" si="4"/>
        <v>32</v>
      </c>
      <c r="R20" s="11">
        <f t="shared" si="5"/>
        <v>32</v>
      </c>
      <c r="S20" s="11">
        <f t="shared" si="6"/>
        <v>9722</v>
      </c>
      <c r="T20" s="194">
        <f t="shared" si="7"/>
        <v>4861</v>
      </c>
      <c r="U20" s="194">
        <f t="shared" si="8"/>
        <v>2100</v>
      </c>
      <c r="V20" s="1">
        <f t="shared" si="9"/>
        <v>120</v>
      </c>
    </row>
    <row r="21" spans="1:22" x14ac:dyDescent="0.45">
      <c r="A21" s="1">
        <v>19</v>
      </c>
      <c r="B21" s="1" t="s">
        <v>33</v>
      </c>
      <c r="C21" s="1" t="s">
        <v>169</v>
      </c>
      <c r="D21" s="1">
        <v>12</v>
      </c>
      <c r="E21" s="1">
        <v>3</v>
      </c>
      <c r="F21" s="1">
        <f t="shared" si="0"/>
        <v>102</v>
      </c>
      <c r="G21" s="49">
        <v>9</v>
      </c>
      <c r="H21" s="49">
        <v>3</v>
      </c>
      <c r="I21" s="1">
        <v>42</v>
      </c>
      <c r="J21" s="1">
        <v>38</v>
      </c>
      <c r="K21" s="4">
        <f t="shared" si="1"/>
        <v>4188</v>
      </c>
      <c r="L21" s="127">
        <f t="shared" si="2"/>
        <v>3360</v>
      </c>
      <c r="M21" s="49">
        <v>5</v>
      </c>
      <c r="N21" s="49">
        <v>1</v>
      </c>
      <c r="O21" s="49">
        <v>1</v>
      </c>
      <c r="P21" s="11">
        <f t="shared" si="3"/>
        <v>10688</v>
      </c>
      <c r="Q21" s="1">
        <f t="shared" si="4"/>
        <v>36</v>
      </c>
      <c r="R21" s="11">
        <f t="shared" si="5"/>
        <v>32</v>
      </c>
      <c r="S21" s="11">
        <f t="shared" si="6"/>
        <v>10688</v>
      </c>
      <c r="T21" s="194">
        <f t="shared" si="7"/>
        <v>5344</v>
      </c>
      <c r="U21" s="194">
        <f t="shared" si="8"/>
        <v>2460</v>
      </c>
      <c r="V21" s="1">
        <f t="shared" si="9"/>
        <v>120</v>
      </c>
    </row>
    <row r="22" spans="1:22" x14ac:dyDescent="0.45">
      <c r="A22" s="1">
        <v>20</v>
      </c>
      <c r="B22" s="1" t="s">
        <v>35</v>
      </c>
      <c r="C22" s="1" t="s">
        <v>170</v>
      </c>
      <c r="D22" s="1">
        <v>12</v>
      </c>
      <c r="E22" s="1">
        <v>3</v>
      </c>
      <c r="F22" s="1">
        <f t="shared" si="0"/>
        <v>102</v>
      </c>
      <c r="G22" s="49">
        <v>12</v>
      </c>
      <c r="H22" s="49">
        <v>0</v>
      </c>
      <c r="I22" s="1">
        <v>42</v>
      </c>
      <c r="J22" s="1">
        <v>0</v>
      </c>
      <c r="K22" s="4">
        <f t="shared" si="1"/>
        <v>4284</v>
      </c>
      <c r="L22" s="127">
        <f t="shared" si="2"/>
        <v>3456</v>
      </c>
      <c r="M22" s="49">
        <v>5</v>
      </c>
      <c r="N22" s="49">
        <v>1</v>
      </c>
      <c r="O22" s="49">
        <v>1</v>
      </c>
      <c r="P22" s="11">
        <f t="shared" si="3"/>
        <v>10988</v>
      </c>
      <c r="Q22" s="1">
        <f t="shared" si="4"/>
        <v>36</v>
      </c>
      <c r="R22" s="11">
        <f t="shared" si="5"/>
        <v>36</v>
      </c>
      <c r="S22" s="11">
        <f t="shared" si="6"/>
        <v>10988</v>
      </c>
      <c r="T22" s="194">
        <f t="shared" si="7"/>
        <v>5494</v>
      </c>
      <c r="U22" s="194">
        <f t="shared" si="8"/>
        <v>2520</v>
      </c>
      <c r="V22" s="1">
        <f t="shared" si="9"/>
        <v>120</v>
      </c>
    </row>
    <row r="23" spans="1:22" x14ac:dyDescent="0.45">
      <c r="A23" s="1">
        <v>21</v>
      </c>
      <c r="B23" s="1" t="s">
        <v>37</v>
      </c>
      <c r="C23" s="1" t="s">
        <v>171</v>
      </c>
      <c r="D23" s="1">
        <v>12</v>
      </c>
      <c r="E23" s="1">
        <v>3</v>
      </c>
      <c r="F23" s="1">
        <f t="shared" si="0"/>
        <v>102</v>
      </c>
      <c r="G23" s="49">
        <v>12</v>
      </c>
      <c r="H23" s="49">
        <v>0</v>
      </c>
      <c r="I23" s="1">
        <v>31</v>
      </c>
      <c r="J23" s="1">
        <v>0</v>
      </c>
      <c r="K23" s="4">
        <f t="shared" si="1"/>
        <v>3162</v>
      </c>
      <c r="L23" s="127">
        <f t="shared" si="2"/>
        <v>2496</v>
      </c>
      <c r="M23" s="49">
        <v>5</v>
      </c>
      <c r="N23" s="49">
        <v>1</v>
      </c>
      <c r="O23" s="49">
        <v>1</v>
      </c>
      <c r="P23" s="11">
        <f t="shared" si="3"/>
        <v>7910</v>
      </c>
      <c r="Q23" s="1">
        <f t="shared" si="4"/>
        <v>26</v>
      </c>
      <c r="R23" s="11">
        <f t="shared" si="5"/>
        <v>26</v>
      </c>
      <c r="S23" s="11">
        <f t="shared" si="6"/>
        <v>7910</v>
      </c>
      <c r="T23" s="194">
        <f t="shared" si="7"/>
        <v>3955</v>
      </c>
      <c r="U23" s="194">
        <f t="shared" si="8"/>
        <v>1740</v>
      </c>
      <c r="V23" s="1">
        <f t="shared" si="9"/>
        <v>120</v>
      </c>
    </row>
    <row r="24" spans="1:22" x14ac:dyDescent="0.45">
      <c r="A24" s="1">
        <v>22</v>
      </c>
      <c r="B24" s="1" t="s">
        <v>37</v>
      </c>
      <c r="C24" s="1" t="s">
        <v>172</v>
      </c>
      <c r="D24" s="1">
        <v>12</v>
      </c>
      <c r="E24" s="1">
        <v>3</v>
      </c>
      <c r="F24" s="1">
        <f t="shared" si="0"/>
        <v>102</v>
      </c>
      <c r="G24" s="49">
        <v>12</v>
      </c>
      <c r="H24" s="49">
        <v>0</v>
      </c>
      <c r="I24" s="1">
        <v>31</v>
      </c>
      <c r="J24" s="1">
        <v>0</v>
      </c>
      <c r="K24" s="4">
        <f t="shared" si="1"/>
        <v>3162</v>
      </c>
      <c r="L24" s="127">
        <f t="shared" si="2"/>
        <v>2496</v>
      </c>
      <c r="M24" s="49">
        <v>5</v>
      </c>
      <c r="N24" s="49">
        <v>1</v>
      </c>
      <c r="O24" s="49">
        <v>1</v>
      </c>
      <c r="P24" s="11">
        <f t="shared" si="3"/>
        <v>7910</v>
      </c>
      <c r="Q24" s="1">
        <f t="shared" si="4"/>
        <v>26</v>
      </c>
      <c r="R24" s="11">
        <f t="shared" si="5"/>
        <v>26</v>
      </c>
      <c r="S24" s="11">
        <f t="shared" si="6"/>
        <v>7910</v>
      </c>
      <c r="T24" s="194">
        <f t="shared" si="7"/>
        <v>3955</v>
      </c>
      <c r="U24" s="194">
        <f t="shared" si="8"/>
        <v>1740</v>
      </c>
      <c r="V24" s="1">
        <f t="shared" si="9"/>
        <v>120</v>
      </c>
    </row>
    <row r="25" spans="1:22" x14ac:dyDescent="0.45">
      <c r="A25" s="1">
        <v>23</v>
      </c>
      <c r="B25" s="1" t="s">
        <v>39</v>
      </c>
      <c r="C25" s="1" t="s">
        <v>173</v>
      </c>
      <c r="D25" s="1">
        <v>12</v>
      </c>
      <c r="E25" s="1">
        <v>3</v>
      </c>
      <c r="F25" s="1">
        <f t="shared" si="0"/>
        <v>102</v>
      </c>
      <c r="G25" s="49">
        <v>12</v>
      </c>
      <c r="H25" s="49">
        <v>0</v>
      </c>
      <c r="I25" s="1">
        <v>39</v>
      </c>
      <c r="J25" s="1">
        <v>0</v>
      </c>
      <c r="K25" s="4">
        <f t="shared" si="1"/>
        <v>3978</v>
      </c>
      <c r="L25" s="127">
        <f t="shared" si="2"/>
        <v>3264</v>
      </c>
      <c r="M25" s="49">
        <v>5</v>
      </c>
      <c r="N25" s="49">
        <v>1</v>
      </c>
      <c r="O25" s="49">
        <v>1</v>
      </c>
      <c r="P25" s="11">
        <f t="shared" si="3"/>
        <v>10326</v>
      </c>
      <c r="Q25" s="1">
        <f t="shared" si="4"/>
        <v>34</v>
      </c>
      <c r="R25" s="11">
        <f t="shared" si="5"/>
        <v>34</v>
      </c>
      <c r="S25" s="11">
        <f t="shared" si="6"/>
        <v>10326</v>
      </c>
      <c r="T25" s="194">
        <f t="shared" si="7"/>
        <v>5163</v>
      </c>
      <c r="U25" s="194">
        <f t="shared" si="8"/>
        <v>2220</v>
      </c>
      <c r="V25" s="1">
        <f t="shared" si="9"/>
        <v>120</v>
      </c>
    </row>
    <row r="26" spans="1:22" x14ac:dyDescent="0.45">
      <c r="A26" s="1">
        <v>24</v>
      </c>
      <c r="B26" s="1" t="s">
        <v>39</v>
      </c>
      <c r="C26" s="1" t="s">
        <v>174</v>
      </c>
      <c r="D26" s="1">
        <v>12</v>
      </c>
      <c r="E26" s="1">
        <v>3</v>
      </c>
      <c r="F26" s="1">
        <f t="shared" si="0"/>
        <v>102</v>
      </c>
      <c r="G26" s="49">
        <v>12</v>
      </c>
      <c r="H26" s="49">
        <v>0</v>
      </c>
      <c r="I26" s="1">
        <v>39</v>
      </c>
      <c r="J26" s="1">
        <v>0</v>
      </c>
      <c r="K26" s="4">
        <f t="shared" si="1"/>
        <v>3978</v>
      </c>
      <c r="L26" s="127">
        <f t="shared" si="2"/>
        <v>3264</v>
      </c>
      <c r="M26" s="49">
        <v>5</v>
      </c>
      <c r="N26" s="49">
        <v>1</v>
      </c>
      <c r="O26" s="49">
        <v>1</v>
      </c>
      <c r="P26" s="11">
        <f t="shared" si="3"/>
        <v>10326</v>
      </c>
      <c r="Q26" s="1">
        <f t="shared" si="4"/>
        <v>34</v>
      </c>
      <c r="R26" s="11">
        <f t="shared" si="5"/>
        <v>34</v>
      </c>
      <c r="S26" s="11">
        <f t="shared" si="6"/>
        <v>10326</v>
      </c>
      <c r="T26" s="194">
        <f t="shared" si="7"/>
        <v>5163</v>
      </c>
      <c r="U26" s="194">
        <f t="shared" si="8"/>
        <v>2220</v>
      </c>
      <c r="V26" s="1">
        <f t="shared" si="9"/>
        <v>120</v>
      </c>
    </row>
    <row r="27" spans="1:22" x14ac:dyDescent="0.45">
      <c r="A27" s="1">
        <v>25</v>
      </c>
      <c r="B27" s="1" t="s">
        <v>42</v>
      </c>
      <c r="C27" s="1" t="s">
        <v>175</v>
      </c>
      <c r="D27" s="1">
        <v>11</v>
      </c>
      <c r="E27" s="1">
        <v>3</v>
      </c>
      <c r="F27" s="1">
        <f t="shared" si="0"/>
        <v>94</v>
      </c>
      <c r="G27" s="49">
        <v>9</v>
      </c>
      <c r="H27" s="49">
        <v>2</v>
      </c>
      <c r="I27" s="1">
        <v>45</v>
      </c>
      <c r="J27" s="1">
        <v>21</v>
      </c>
      <c r="K27" s="4">
        <f t="shared" si="1"/>
        <v>3846</v>
      </c>
      <c r="L27" s="127">
        <f t="shared" si="2"/>
        <v>3136</v>
      </c>
      <c r="M27" s="49">
        <v>5</v>
      </c>
      <c r="N27" s="49">
        <v>1</v>
      </c>
      <c r="O27" s="49">
        <v>1</v>
      </c>
      <c r="P27" s="11">
        <f t="shared" si="3"/>
        <v>9933</v>
      </c>
      <c r="Q27" s="1">
        <f t="shared" si="4"/>
        <v>40</v>
      </c>
      <c r="R27" s="11">
        <f t="shared" si="5"/>
        <v>16</v>
      </c>
      <c r="S27" s="11">
        <f t="shared" si="6"/>
        <v>9933</v>
      </c>
      <c r="T27" s="194">
        <f t="shared" si="7"/>
        <v>4966.5</v>
      </c>
      <c r="U27" s="194">
        <f t="shared" si="8"/>
        <v>2125</v>
      </c>
      <c r="V27" s="1">
        <f t="shared" si="9"/>
        <v>110</v>
      </c>
    </row>
    <row r="28" spans="1:22" x14ac:dyDescent="0.45">
      <c r="A28" s="1">
        <v>26</v>
      </c>
      <c r="B28" s="1" t="s">
        <v>42</v>
      </c>
      <c r="C28" s="1" t="s">
        <v>176</v>
      </c>
      <c r="D28" s="1">
        <v>11</v>
      </c>
      <c r="E28" s="1">
        <v>3</v>
      </c>
      <c r="F28" s="1">
        <f t="shared" si="0"/>
        <v>94</v>
      </c>
      <c r="G28" s="49">
        <v>9</v>
      </c>
      <c r="H28" s="49">
        <v>2</v>
      </c>
      <c r="I28" s="1">
        <v>45</v>
      </c>
      <c r="J28" s="1">
        <v>45</v>
      </c>
      <c r="K28" s="4">
        <f t="shared" si="1"/>
        <v>4230</v>
      </c>
      <c r="L28" s="127">
        <f t="shared" si="2"/>
        <v>3520</v>
      </c>
      <c r="M28" s="49">
        <v>5</v>
      </c>
      <c r="N28" s="49">
        <v>1</v>
      </c>
      <c r="O28" s="49">
        <v>1</v>
      </c>
      <c r="P28" s="11">
        <f t="shared" si="3"/>
        <v>11133</v>
      </c>
      <c r="Q28" s="1">
        <f t="shared" si="4"/>
        <v>40</v>
      </c>
      <c r="R28" s="11">
        <f t="shared" si="5"/>
        <v>40</v>
      </c>
      <c r="S28" s="11">
        <f t="shared" si="6"/>
        <v>11133</v>
      </c>
      <c r="T28" s="194">
        <f t="shared" si="7"/>
        <v>5566.5</v>
      </c>
      <c r="U28" s="194">
        <f t="shared" si="8"/>
        <v>2365</v>
      </c>
      <c r="V28" s="1">
        <f t="shared" si="9"/>
        <v>110</v>
      </c>
    </row>
    <row r="29" spans="1:22" x14ac:dyDescent="0.45">
      <c r="A29" s="1">
        <v>27</v>
      </c>
      <c r="B29" s="1" t="s">
        <v>295</v>
      </c>
      <c r="C29" s="1" t="s">
        <v>197</v>
      </c>
      <c r="D29" s="1">
        <v>10</v>
      </c>
      <c r="E29" s="1">
        <v>3</v>
      </c>
      <c r="F29" s="1">
        <f t="shared" si="0"/>
        <v>86</v>
      </c>
      <c r="G29" s="49">
        <v>10</v>
      </c>
      <c r="H29" s="49">
        <v>0</v>
      </c>
      <c r="I29" s="1">
        <v>51</v>
      </c>
      <c r="J29" s="1">
        <v>0</v>
      </c>
      <c r="K29" s="4">
        <f t="shared" si="1"/>
        <v>4386</v>
      </c>
      <c r="L29" s="127">
        <f t="shared" si="2"/>
        <v>3680</v>
      </c>
      <c r="M29" s="49">
        <v>5</v>
      </c>
      <c r="N29" s="49">
        <v>1</v>
      </c>
      <c r="O29" s="49">
        <v>1</v>
      </c>
      <c r="P29" s="11">
        <f t="shared" si="3"/>
        <v>11640</v>
      </c>
      <c r="Q29" s="1">
        <f t="shared" si="4"/>
        <v>46</v>
      </c>
      <c r="R29" s="11">
        <f t="shared" si="5"/>
        <v>46</v>
      </c>
      <c r="S29" s="11">
        <f t="shared" si="6"/>
        <v>11640</v>
      </c>
      <c r="T29" s="194">
        <f t="shared" si="7"/>
        <v>5820</v>
      </c>
      <c r="U29" s="194">
        <f t="shared" si="8"/>
        <v>2450</v>
      </c>
      <c r="V29" s="1">
        <f t="shared" si="9"/>
        <v>100</v>
      </c>
    </row>
    <row r="30" spans="1:22" ht="14.65" thickBot="1" x14ac:dyDescent="0.5">
      <c r="A30" s="34">
        <v>28</v>
      </c>
      <c r="B30" s="34" t="s">
        <v>295</v>
      </c>
      <c r="C30" s="34" t="s">
        <v>198</v>
      </c>
      <c r="D30" s="34">
        <v>10</v>
      </c>
      <c r="E30" s="34">
        <v>3</v>
      </c>
      <c r="F30" s="34">
        <f t="shared" si="0"/>
        <v>86</v>
      </c>
      <c r="G30" s="50">
        <v>10</v>
      </c>
      <c r="H30" s="50">
        <v>0</v>
      </c>
      <c r="I30" s="34">
        <v>51</v>
      </c>
      <c r="J30" s="34">
        <v>0</v>
      </c>
      <c r="K30" s="35">
        <f t="shared" si="1"/>
        <v>4386</v>
      </c>
      <c r="L30" s="128">
        <f t="shared" si="2"/>
        <v>3680</v>
      </c>
      <c r="M30" s="50">
        <v>5</v>
      </c>
      <c r="N30" s="50">
        <v>1</v>
      </c>
      <c r="O30" s="50">
        <v>1</v>
      </c>
      <c r="P30" s="38">
        <f t="shared" si="3"/>
        <v>11640</v>
      </c>
      <c r="Q30" s="34">
        <f t="shared" si="4"/>
        <v>46</v>
      </c>
      <c r="R30" s="38">
        <f t="shared" si="5"/>
        <v>46</v>
      </c>
      <c r="S30" s="38">
        <f t="shared" si="6"/>
        <v>11640</v>
      </c>
      <c r="T30" s="195">
        <f t="shared" si="7"/>
        <v>5820</v>
      </c>
      <c r="U30" s="195">
        <f t="shared" si="8"/>
        <v>2450</v>
      </c>
      <c r="V30" s="34">
        <f t="shared" si="9"/>
        <v>100</v>
      </c>
    </row>
    <row r="31" spans="1:22" ht="14.65" thickTop="1" x14ac:dyDescent="0.45">
      <c r="A31" s="42"/>
      <c r="B31" s="42"/>
      <c r="C31" s="42"/>
      <c r="D31" s="42"/>
      <c r="E31" s="42"/>
      <c r="F31" s="42"/>
      <c r="G31" s="42"/>
      <c r="H31" s="42"/>
      <c r="I31" s="42"/>
      <c r="J31" s="42"/>
      <c r="K31" s="8">
        <f>SUM(K3:K30)</f>
        <v>112976</v>
      </c>
      <c r="L31" s="8">
        <f>SUM(L3:L30)</f>
        <v>92960</v>
      </c>
      <c r="Q31" s="1">
        <f>MAX(Q3:Q30)</f>
        <v>52</v>
      </c>
      <c r="R31" s="11">
        <f>MIN(R3:R30)</f>
        <v>14</v>
      </c>
      <c r="S31" s="11">
        <f>SUM(S3:S30)</f>
        <v>294368</v>
      </c>
      <c r="T31" s="194">
        <f t="shared" ref="T31:V31" si="10">SUM(T3:T30)</f>
        <v>147184</v>
      </c>
      <c r="U31" s="194">
        <f t="shared" si="10"/>
        <v>63320</v>
      </c>
      <c r="V31" s="11">
        <f t="shared" si="10"/>
        <v>3060</v>
      </c>
    </row>
    <row r="32" spans="1:22" x14ac:dyDescent="0.45">
      <c r="L32" s="471" cm="1">
        <f t="array" ref="L32">SUM(L3:L26/SUM(K3:K26))</f>
        <v>0.8212383488681757</v>
      </c>
    </row>
    <row r="37" spans="1:6" s="42" customFormat="1" x14ac:dyDescent="0.45">
      <c r="A37" s="198" t="s">
        <v>501</v>
      </c>
      <c r="B37" s="198" t="s">
        <v>502</v>
      </c>
      <c r="C37" s="198" t="s">
        <v>503</v>
      </c>
      <c r="D37" s="198" t="s">
        <v>105</v>
      </c>
      <c r="E37" s="198" t="s">
        <v>504</v>
      </c>
      <c r="F37" s="198" t="s">
        <v>505</v>
      </c>
    </row>
    <row r="38" spans="1:6" ht="85.5" x14ac:dyDescent="0.45">
      <c r="A38" s="79">
        <v>1</v>
      </c>
      <c r="B38" s="79" t="s">
        <v>506</v>
      </c>
      <c r="C38" s="79" t="s">
        <v>507</v>
      </c>
      <c r="D38" s="79">
        <v>6</v>
      </c>
      <c r="E38" s="79" t="s">
        <v>508</v>
      </c>
      <c r="F38" s="197" t="s">
        <v>509</v>
      </c>
    </row>
    <row r="39" spans="1:6" ht="71.25" x14ac:dyDescent="0.45">
      <c r="A39" s="79">
        <v>2</v>
      </c>
      <c r="B39" s="79" t="s">
        <v>510</v>
      </c>
      <c r="C39" s="103" t="s">
        <v>511</v>
      </c>
      <c r="D39" s="79">
        <v>2</v>
      </c>
      <c r="E39" s="79" t="s">
        <v>508</v>
      </c>
      <c r="F39" s="197" t="s">
        <v>512</v>
      </c>
    </row>
    <row r="40" spans="1:6" ht="71.25" x14ac:dyDescent="0.45">
      <c r="A40" s="79">
        <v>3</v>
      </c>
      <c r="B40" s="79" t="s">
        <v>510</v>
      </c>
      <c r="C40" s="103" t="s">
        <v>513</v>
      </c>
      <c r="D40" s="79">
        <v>1</v>
      </c>
      <c r="E40" s="79" t="s">
        <v>508</v>
      </c>
      <c r="F40" s="197" t="s">
        <v>512</v>
      </c>
    </row>
    <row r="41" spans="1:6" ht="71.25" x14ac:dyDescent="0.45">
      <c r="A41" s="79">
        <v>4</v>
      </c>
      <c r="B41" s="79" t="s">
        <v>510</v>
      </c>
      <c r="C41" s="103" t="s">
        <v>514</v>
      </c>
      <c r="D41" s="79">
        <v>1</v>
      </c>
      <c r="E41" s="79" t="s">
        <v>508</v>
      </c>
      <c r="F41" s="197" t="s">
        <v>512</v>
      </c>
    </row>
    <row r="42" spans="1:6" ht="409.5" x14ac:dyDescent="0.45">
      <c r="A42" s="79">
        <v>5</v>
      </c>
      <c r="B42" s="79" t="s">
        <v>515</v>
      </c>
      <c r="C42" s="103" t="s">
        <v>516</v>
      </c>
      <c r="D42" s="79">
        <v>9</v>
      </c>
      <c r="E42" s="79" t="s">
        <v>508</v>
      </c>
      <c r="F42" s="197" t="s">
        <v>517</v>
      </c>
    </row>
    <row r="43" spans="1:6" ht="409.5" x14ac:dyDescent="0.45">
      <c r="A43" s="79">
        <v>6</v>
      </c>
      <c r="B43" s="79" t="s">
        <v>515</v>
      </c>
      <c r="C43" s="103" t="s">
        <v>518</v>
      </c>
      <c r="D43" s="79">
        <v>4</v>
      </c>
      <c r="E43" s="79" t="s">
        <v>508</v>
      </c>
      <c r="F43" s="197" t="s">
        <v>517</v>
      </c>
    </row>
    <row r="44" spans="1:6" x14ac:dyDescent="0.45">
      <c r="A44" s="79">
        <v>7</v>
      </c>
    </row>
    <row r="77" spans="1:6" ht="15.75" x14ac:dyDescent="0.5">
      <c r="A77" s="523" t="s">
        <v>519</v>
      </c>
      <c r="B77" s="523"/>
      <c r="C77" s="523"/>
      <c r="D77" s="523"/>
      <c r="E77" s="523"/>
      <c r="F77" s="523"/>
    </row>
    <row r="78" spans="1:6" x14ac:dyDescent="0.45">
      <c r="A78" s="198" t="s">
        <v>501</v>
      </c>
      <c r="B78" s="198" t="s">
        <v>502</v>
      </c>
      <c r="C78" s="198" t="s">
        <v>503</v>
      </c>
      <c r="D78" s="198" t="s">
        <v>105</v>
      </c>
      <c r="E78" s="198" t="s">
        <v>504</v>
      </c>
      <c r="F78" s="198" t="s">
        <v>505</v>
      </c>
    </row>
    <row r="79" spans="1:6" ht="128.25" x14ac:dyDescent="0.45">
      <c r="A79" s="79">
        <v>1</v>
      </c>
      <c r="B79" s="79" t="s">
        <v>520</v>
      </c>
      <c r="C79" s="79" t="s">
        <v>521</v>
      </c>
      <c r="D79" s="79">
        <v>1100</v>
      </c>
      <c r="E79" s="79" t="s">
        <v>522</v>
      </c>
      <c r="F79" s="282" t="s">
        <v>523</v>
      </c>
    </row>
    <row r="80" spans="1:6" x14ac:dyDescent="0.45">
      <c r="A80" s="79">
        <v>2</v>
      </c>
      <c r="B80" s="1" t="s">
        <v>524</v>
      </c>
      <c r="C80" s="1" t="s">
        <v>525</v>
      </c>
      <c r="D80" s="1">
        <v>15000</v>
      </c>
      <c r="E80" s="1" t="s">
        <v>526</v>
      </c>
      <c r="F80" t="s">
        <v>527</v>
      </c>
    </row>
    <row r="81" spans="1:6" x14ac:dyDescent="0.45">
      <c r="A81" s="79">
        <v>3</v>
      </c>
      <c r="B81" s="1" t="s">
        <v>528</v>
      </c>
      <c r="C81" s="1" t="s">
        <v>529</v>
      </c>
      <c r="D81" s="1">
        <v>2600</v>
      </c>
      <c r="E81" s="1" t="s">
        <v>530</v>
      </c>
      <c r="F81" t="s">
        <v>531</v>
      </c>
    </row>
    <row r="82" spans="1:6" x14ac:dyDescent="0.45">
      <c r="A82" s="79">
        <v>4</v>
      </c>
      <c r="B82" s="1" t="s">
        <v>532</v>
      </c>
      <c r="C82" s="1" t="s">
        <v>533</v>
      </c>
      <c r="D82" s="1">
        <v>200</v>
      </c>
      <c r="E82" s="1" t="s">
        <v>530</v>
      </c>
      <c r="F82" t="s">
        <v>534</v>
      </c>
    </row>
    <row r="83" spans="1:6" x14ac:dyDescent="0.45">
      <c r="A83" s="79">
        <v>5</v>
      </c>
      <c r="B83" s="1" t="s">
        <v>535</v>
      </c>
      <c r="C83" s="1" t="s">
        <v>536</v>
      </c>
      <c r="D83" s="1">
        <v>5500</v>
      </c>
      <c r="E83" s="1" t="s">
        <v>522</v>
      </c>
    </row>
    <row r="84" spans="1:6" x14ac:dyDescent="0.45">
      <c r="A84" s="1"/>
    </row>
    <row r="88" spans="1:6" ht="15.75" x14ac:dyDescent="0.5">
      <c r="A88" s="572" t="s">
        <v>537</v>
      </c>
      <c r="B88" s="572"/>
      <c r="C88" s="572"/>
      <c r="D88" s="572"/>
      <c r="E88" s="572"/>
      <c r="F88" s="572"/>
    </row>
    <row r="89" spans="1:6" x14ac:dyDescent="0.45">
      <c r="A89" s="488" t="s">
        <v>501</v>
      </c>
      <c r="B89" s="488" t="s">
        <v>502</v>
      </c>
      <c r="C89" s="488" t="s">
        <v>538</v>
      </c>
      <c r="D89" s="488" t="s">
        <v>105</v>
      </c>
      <c r="E89" s="488" t="s">
        <v>504</v>
      </c>
      <c r="F89" s="488" t="s">
        <v>539</v>
      </c>
    </row>
    <row r="90" spans="1:6" x14ac:dyDescent="0.45">
      <c r="A90" s="490">
        <v>1</v>
      </c>
      <c r="B90" s="490" t="s">
        <v>540</v>
      </c>
      <c r="C90" s="490" t="s">
        <v>541</v>
      </c>
      <c r="D90" s="490">
        <v>150000</v>
      </c>
      <c r="E90" s="490" t="s">
        <v>522</v>
      </c>
      <c r="F90" s="433" t="s">
        <v>542</v>
      </c>
    </row>
    <row r="91" spans="1:6" x14ac:dyDescent="0.45">
      <c r="A91" s="479">
        <v>2</v>
      </c>
      <c r="B91" s="479" t="s">
        <v>543</v>
      </c>
      <c r="C91" s="479" t="s">
        <v>544</v>
      </c>
      <c r="D91" s="479">
        <v>150000</v>
      </c>
      <c r="E91" s="479" t="s">
        <v>526</v>
      </c>
      <c r="F91" s="434" t="s">
        <v>545</v>
      </c>
    </row>
    <row r="92" spans="1:6" x14ac:dyDescent="0.45">
      <c r="A92" s="479">
        <v>3</v>
      </c>
      <c r="B92" s="479" t="s">
        <v>498</v>
      </c>
      <c r="C92" s="479" t="s">
        <v>546</v>
      </c>
      <c r="D92" s="479">
        <v>75000</v>
      </c>
      <c r="E92" s="479" t="s">
        <v>530</v>
      </c>
      <c r="F92" s="434" t="s">
        <v>547</v>
      </c>
    </row>
    <row r="93" spans="1:6" x14ac:dyDescent="0.45">
      <c r="A93" s="479">
        <v>4</v>
      </c>
      <c r="B93" s="479" t="s">
        <v>499</v>
      </c>
      <c r="C93" s="479" t="s">
        <v>548</v>
      </c>
      <c r="D93" s="479">
        <v>34000</v>
      </c>
      <c r="E93" s="479" t="s">
        <v>530</v>
      </c>
      <c r="F93" s="434" t="s">
        <v>547</v>
      </c>
    </row>
    <row r="94" spans="1:6" x14ac:dyDescent="0.45">
      <c r="A94" s="479">
        <v>5</v>
      </c>
      <c r="B94" s="479" t="s">
        <v>549</v>
      </c>
      <c r="C94" s="479" t="s">
        <v>550</v>
      </c>
      <c r="D94" s="479">
        <v>500</v>
      </c>
      <c r="E94" s="479" t="s">
        <v>522</v>
      </c>
      <c r="F94" s="434" t="s">
        <v>551</v>
      </c>
    </row>
    <row r="95" spans="1:6" x14ac:dyDescent="0.45">
      <c r="A95" s="479">
        <v>6</v>
      </c>
      <c r="B95" s="479" t="s">
        <v>552</v>
      </c>
      <c r="C95" s="479" t="s">
        <v>553</v>
      </c>
      <c r="D95" s="479">
        <v>1500</v>
      </c>
      <c r="E95" s="479" t="s">
        <v>522</v>
      </c>
      <c r="F95" s="434" t="s">
        <v>554</v>
      </c>
    </row>
    <row r="97" spans="1:4" ht="15.75" x14ac:dyDescent="0.5">
      <c r="A97" s="573" t="s">
        <v>555</v>
      </c>
      <c r="B97" s="574"/>
      <c r="C97" s="574"/>
      <c r="D97" s="575"/>
    </row>
    <row r="98" spans="1:4" ht="14.25" customHeight="1" x14ac:dyDescent="0.45">
      <c r="A98" s="488" t="s">
        <v>501</v>
      </c>
      <c r="B98" s="488" t="s">
        <v>502</v>
      </c>
      <c r="C98" s="488" t="s">
        <v>105</v>
      </c>
      <c r="D98" s="488" t="s">
        <v>504</v>
      </c>
    </row>
    <row r="99" spans="1:4" ht="14.25" customHeight="1" x14ac:dyDescent="0.45">
      <c r="A99" s="479">
        <v>1</v>
      </c>
      <c r="B99" s="479" t="s">
        <v>556</v>
      </c>
      <c r="C99" s="479">
        <v>2</v>
      </c>
      <c r="D99" s="479" t="s">
        <v>508</v>
      </c>
    </row>
    <row r="100" spans="1:4" ht="14.25" customHeight="1" x14ac:dyDescent="0.45">
      <c r="A100" s="479">
        <v>2</v>
      </c>
      <c r="B100" s="479" t="s">
        <v>557</v>
      </c>
      <c r="C100" s="479">
        <v>2</v>
      </c>
      <c r="D100" s="479" t="s">
        <v>508</v>
      </c>
    </row>
    <row r="101" spans="1:4" x14ac:dyDescent="0.45">
      <c r="A101" s="479">
        <v>3</v>
      </c>
      <c r="B101" s="479" t="s">
        <v>558</v>
      </c>
      <c r="C101" s="479">
        <v>2</v>
      </c>
      <c r="D101" s="479" t="s">
        <v>508</v>
      </c>
    </row>
  </sheetData>
  <mergeCells count="4">
    <mergeCell ref="A1:P1"/>
    <mergeCell ref="A77:F77"/>
    <mergeCell ref="A88:F88"/>
    <mergeCell ref="A97:D9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5A0A3-04F7-4E34-92F0-C0E39A90F254}">
  <sheetPr>
    <tabColor theme="5" tint="0.79998168889431442"/>
  </sheetPr>
  <dimension ref="A2:K13"/>
  <sheetViews>
    <sheetView topLeftCell="B21" workbookViewId="0">
      <selection activeCell="H21" sqref="H21"/>
    </sheetView>
  </sheetViews>
  <sheetFormatPr defaultRowHeight="14.25" x14ac:dyDescent="0.45"/>
  <cols>
    <col min="1" max="1" width="6.265625" bestFit="1" customWidth="1"/>
    <col min="2" max="2" width="4.265625" bestFit="1" customWidth="1"/>
    <col min="3" max="3" width="8" bestFit="1" customWidth="1"/>
    <col min="4" max="4" width="12" bestFit="1" customWidth="1"/>
    <col min="5" max="6" width="8.73046875" bestFit="1" customWidth="1"/>
    <col min="7" max="7" width="17.1328125" bestFit="1" customWidth="1"/>
    <col min="8" max="8" width="7.59765625" style="1" bestFit="1" customWidth="1"/>
    <col min="11" max="11" width="19.1328125" bestFit="1" customWidth="1"/>
  </cols>
  <sheetData>
    <row r="2" spans="1:11" x14ac:dyDescent="0.45">
      <c r="A2" s="1" t="s">
        <v>84</v>
      </c>
      <c r="B2" s="1" t="s">
        <v>559</v>
      </c>
      <c r="C2" s="1" t="s">
        <v>560</v>
      </c>
      <c r="D2" s="1" t="s">
        <v>561</v>
      </c>
      <c r="E2" s="1" t="s">
        <v>562</v>
      </c>
      <c r="F2" s="1" t="s">
        <v>563</v>
      </c>
      <c r="G2" s="1" t="s">
        <v>564</v>
      </c>
    </row>
    <row r="3" spans="1:11" x14ac:dyDescent="0.45">
      <c r="A3" s="1">
        <v>1</v>
      </c>
      <c r="B3" s="1" t="s">
        <v>565</v>
      </c>
      <c r="C3" s="1">
        <v>17.3</v>
      </c>
      <c r="D3" s="1">
        <v>150</v>
      </c>
      <c r="E3" s="1">
        <v>25.374420000000001</v>
      </c>
      <c r="F3" s="1">
        <v>75.544330000000002</v>
      </c>
      <c r="G3" s="1">
        <v>20</v>
      </c>
      <c r="K3" t="s">
        <v>566</v>
      </c>
    </row>
    <row r="4" spans="1:11" x14ac:dyDescent="0.45">
      <c r="A4" s="1">
        <v>2</v>
      </c>
      <c r="B4" s="1" t="s">
        <v>567</v>
      </c>
      <c r="C4" s="1">
        <v>15.9</v>
      </c>
      <c r="D4" s="1">
        <v>150</v>
      </c>
      <c r="E4" s="1">
        <v>25.375630000000001</v>
      </c>
      <c r="F4" s="1">
        <v>75.544330000000002</v>
      </c>
      <c r="G4" s="1">
        <v>20</v>
      </c>
      <c r="K4" t="s">
        <v>568</v>
      </c>
    </row>
    <row r="5" spans="1:11" x14ac:dyDescent="0.45">
      <c r="A5" s="1">
        <v>3</v>
      </c>
      <c r="B5" s="1" t="s">
        <v>569</v>
      </c>
      <c r="C5" s="1">
        <v>18.8</v>
      </c>
      <c r="D5" s="1">
        <v>150</v>
      </c>
      <c r="E5" s="1">
        <v>25.37585</v>
      </c>
      <c r="F5" s="1">
        <v>75.542910000000006</v>
      </c>
      <c r="G5" s="1">
        <v>20</v>
      </c>
      <c r="K5" t="s">
        <v>570</v>
      </c>
    </row>
    <row r="6" spans="1:11" x14ac:dyDescent="0.45">
      <c r="A6" s="1">
        <v>4</v>
      </c>
      <c r="B6" s="1" t="s">
        <v>571</v>
      </c>
      <c r="C6" s="1">
        <v>16.2</v>
      </c>
      <c r="D6" s="1">
        <v>150</v>
      </c>
      <c r="E6" s="1">
        <v>25.374359999999999</v>
      </c>
      <c r="F6" s="1">
        <v>75.542779999999993</v>
      </c>
      <c r="G6" s="1">
        <v>20</v>
      </c>
      <c r="K6" t="s">
        <v>572</v>
      </c>
    </row>
    <row r="7" spans="1:11" x14ac:dyDescent="0.45">
      <c r="A7" s="1">
        <v>5</v>
      </c>
      <c r="B7" s="1" t="s">
        <v>573</v>
      </c>
      <c r="C7" s="1">
        <v>22.1</v>
      </c>
      <c r="D7" s="1">
        <v>150</v>
      </c>
      <c r="E7" s="1">
        <v>25.373290000000001</v>
      </c>
      <c r="F7" s="1">
        <v>75.543130000000005</v>
      </c>
      <c r="G7" s="1">
        <v>20</v>
      </c>
      <c r="K7" t="s">
        <v>574</v>
      </c>
    </row>
    <row r="8" spans="1:11" x14ac:dyDescent="0.45">
      <c r="A8" s="1">
        <v>6</v>
      </c>
      <c r="B8" s="1" t="s">
        <v>575</v>
      </c>
      <c r="C8" s="1">
        <v>18.8</v>
      </c>
      <c r="D8" s="1">
        <v>150</v>
      </c>
      <c r="E8" s="1">
        <v>25.37331</v>
      </c>
      <c r="F8" s="1">
        <v>75.542209999999997</v>
      </c>
      <c r="G8" s="1">
        <v>20</v>
      </c>
      <c r="K8" t="s">
        <v>576</v>
      </c>
    </row>
    <row r="9" spans="1:11" x14ac:dyDescent="0.45">
      <c r="A9" s="1">
        <v>7</v>
      </c>
      <c r="B9" s="1" t="s">
        <v>577</v>
      </c>
      <c r="C9" s="1">
        <v>16.2</v>
      </c>
      <c r="D9" s="1">
        <v>150</v>
      </c>
      <c r="E9" s="1">
        <v>25.374179999999999</v>
      </c>
      <c r="F9" s="1">
        <v>75.542100000000005</v>
      </c>
      <c r="G9" s="1">
        <v>20</v>
      </c>
      <c r="K9" t="s">
        <v>578</v>
      </c>
    </row>
    <row r="10" spans="1:11" x14ac:dyDescent="0.45">
      <c r="A10" s="1">
        <v>8</v>
      </c>
      <c r="B10" s="1" t="s">
        <v>579</v>
      </c>
      <c r="C10" s="1">
        <v>16.2</v>
      </c>
      <c r="D10" s="1">
        <v>150</v>
      </c>
      <c r="E10" s="1">
        <v>25.375599999999999</v>
      </c>
      <c r="F10" s="1">
        <v>75.54195</v>
      </c>
      <c r="G10" s="1">
        <v>20</v>
      </c>
      <c r="K10" t="s">
        <v>580</v>
      </c>
    </row>
    <row r="11" spans="1:11" x14ac:dyDescent="0.45">
      <c r="A11" s="1">
        <v>9</v>
      </c>
      <c r="B11" s="1" t="s">
        <v>581</v>
      </c>
      <c r="C11" s="1">
        <v>11.9</v>
      </c>
      <c r="D11" s="1">
        <v>150</v>
      </c>
      <c r="E11" s="1">
        <v>25.37547</v>
      </c>
      <c r="F11" s="1">
        <v>75.540639999999996</v>
      </c>
      <c r="G11" s="1">
        <v>20</v>
      </c>
      <c r="K11" t="s">
        <v>582</v>
      </c>
    </row>
    <row r="12" spans="1:11" x14ac:dyDescent="0.45">
      <c r="A12" s="1">
        <v>10</v>
      </c>
      <c r="B12" s="1" t="s">
        <v>583</v>
      </c>
      <c r="C12" s="1">
        <v>17.3</v>
      </c>
      <c r="D12" s="1">
        <v>100</v>
      </c>
      <c r="E12" s="1">
        <v>25.37482</v>
      </c>
      <c r="F12" s="1">
        <v>75.540139999999994</v>
      </c>
      <c r="G12" s="1">
        <v>20</v>
      </c>
      <c r="K12" t="s">
        <v>584</v>
      </c>
    </row>
    <row r="13" spans="1:11" x14ac:dyDescent="0.45">
      <c r="C13" s="1">
        <f>SUM(C3:C12)</f>
        <v>170.70000000000002</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F45C1-FDBD-4F28-891D-129B5925AE68}">
  <sheetPr>
    <tabColor rgb="FF7030A0"/>
    <pageSetUpPr fitToPage="1"/>
  </sheetPr>
  <dimension ref="B2:F220"/>
  <sheetViews>
    <sheetView topLeftCell="A15" zoomScale="74" workbookViewId="0">
      <selection activeCell="EY96" sqref="EY96"/>
    </sheetView>
  </sheetViews>
  <sheetFormatPr defaultColWidth="8.86328125" defaultRowHeight="14.25" x14ac:dyDescent="0.45"/>
  <cols>
    <col min="1" max="1" width="8.86328125" style="106"/>
    <col min="2" max="2" width="3.59765625" style="14" customWidth="1"/>
    <col min="3" max="3" width="19.1328125" style="106" customWidth="1"/>
    <col min="4" max="4" width="33.86328125" style="106" customWidth="1"/>
    <col min="5" max="5" width="30.3984375" style="106" customWidth="1"/>
    <col min="6" max="6" width="28.1328125" style="106" customWidth="1"/>
    <col min="7" max="7" width="9.1328125" style="106" bestFit="1" customWidth="1"/>
    <col min="8" max="16384" width="8.86328125" style="106"/>
  </cols>
  <sheetData>
    <row r="2" spans="2:6" s="103" customFormat="1" ht="15.75" x14ac:dyDescent="0.45">
      <c r="B2" s="583" t="s">
        <v>585</v>
      </c>
      <c r="C2" s="583"/>
      <c r="D2" s="583"/>
      <c r="E2" s="583"/>
      <c r="F2" s="583"/>
    </row>
    <row r="3" spans="2:6" s="103" customFormat="1" x14ac:dyDescent="0.45">
      <c r="B3" s="584" t="s">
        <v>586</v>
      </c>
      <c r="C3" s="584"/>
      <c r="D3" s="585"/>
      <c r="E3" s="586"/>
      <c r="F3" s="587"/>
    </row>
    <row r="4" spans="2:6" s="103" customFormat="1" x14ac:dyDescent="0.45">
      <c r="B4" s="584" t="s">
        <v>587</v>
      </c>
      <c r="C4" s="584"/>
      <c r="D4" s="585"/>
      <c r="E4" s="586"/>
      <c r="F4" s="587"/>
    </row>
    <row r="5" spans="2:6" s="103" customFormat="1" x14ac:dyDescent="0.45">
      <c r="B5" s="584" t="s">
        <v>588</v>
      </c>
      <c r="C5" s="584"/>
      <c r="D5" s="585"/>
      <c r="E5" s="586"/>
      <c r="F5" s="587"/>
    </row>
    <row r="6" spans="2:6" s="181" customFormat="1" ht="28.5" x14ac:dyDescent="0.45">
      <c r="B6" s="180" t="s">
        <v>112</v>
      </c>
      <c r="C6" s="180" t="s">
        <v>589</v>
      </c>
      <c r="D6" s="180" t="s">
        <v>590</v>
      </c>
      <c r="E6" s="180" t="s">
        <v>591</v>
      </c>
      <c r="F6" s="180" t="s">
        <v>592</v>
      </c>
    </row>
    <row r="7" spans="2:6" x14ac:dyDescent="0.45">
      <c r="B7" s="182">
        <v>1</v>
      </c>
      <c r="C7" s="183" t="s">
        <v>361</v>
      </c>
      <c r="D7" s="184"/>
      <c r="E7" s="184"/>
      <c r="F7" s="184"/>
    </row>
    <row r="8" spans="2:6" x14ac:dyDescent="0.45">
      <c r="B8" s="185" t="s">
        <v>593</v>
      </c>
      <c r="C8" s="178" t="s">
        <v>594</v>
      </c>
      <c r="D8" s="178" t="s">
        <v>595</v>
      </c>
      <c r="E8" s="178" t="s">
        <v>595</v>
      </c>
      <c r="F8" s="178" t="s">
        <v>321</v>
      </c>
    </row>
    <row r="9" spans="2:6" ht="28.5" x14ac:dyDescent="0.45">
      <c r="B9" s="185" t="s">
        <v>596</v>
      </c>
      <c r="C9" s="178" t="s">
        <v>597</v>
      </c>
      <c r="D9" s="178" t="s">
        <v>598</v>
      </c>
      <c r="E9" s="178" t="s">
        <v>598</v>
      </c>
      <c r="F9" s="178" t="s">
        <v>599</v>
      </c>
    </row>
    <row r="10" spans="2:6" x14ac:dyDescent="0.45">
      <c r="B10" s="185" t="s">
        <v>600</v>
      </c>
      <c r="C10" s="178" t="s">
        <v>353</v>
      </c>
      <c r="D10" s="178" t="s">
        <v>601</v>
      </c>
      <c r="E10" s="178" t="s">
        <v>601</v>
      </c>
      <c r="F10" s="178" t="s">
        <v>602</v>
      </c>
    </row>
    <row r="11" spans="2:6" ht="28.5" x14ac:dyDescent="0.45">
      <c r="B11" s="185" t="s">
        <v>603</v>
      </c>
      <c r="C11" s="178" t="s">
        <v>604</v>
      </c>
      <c r="D11" s="178" t="s">
        <v>605</v>
      </c>
      <c r="E11" s="178" t="s">
        <v>605</v>
      </c>
      <c r="F11" s="178" t="s">
        <v>606</v>
      </c>
    </row>
    <row r="12" spans="2:6" x14ac:dyDescent="0.45">
      <c r="B12" s="185" t="s">
        <v>351</v>
      </c>
      <c r="C12" s="178" t="s">
        <v>607</v>
      </c>
      <c r="D12" s="178" t="s">
        <v>608</v>
      </c>
      <c r="E12" s="178" t="s">
        <v>608</v>
      </c>
      <c r="F12" s="178" t="s">
        <v>609</v>
      </c>
    </row>
    <row r="13" spans="2:6" ht="57" x14ac:dyDescent="0.45">
      <c r="B13" s="185" t="s">
        <v>610</v>
      </c>
      <c r="C13" s="178" t="s">
        <v>611</v>
      </c>
      <c r="D13" s="178" t="s">
        <v>612</v>
      </c>
      <c r="E13" s="178" t="s">
        <v>613</v>
      </c>
      <c r="F13" s="178" t="s">
        <v>614</v>
      </c>
    </row>
    <row r="14" spans="2:6" x14ac:dyDescent="0.45">
      <c r="B14" s="185" t="s">
        <v>615</v>
      </c>
      <c r="C14" s="178" t="s">
        <v>616</v>
      </c>
      <c r="D14" s="178" t="s">
        <v>617</v>
      </c>
      <c r="E14" s="178" t="s">
        <v>618</v>
      </c>
      <c r="F14" s="178" t="s">
        <v>619</v>
      </c>
    </row>
    <row r="15" spans="2:6" x14ac:dyDescent="0.45">
      <c r="B15" s="185" t="s">
        <v>620</v>
      </c>
      <c r="C15" s="178" t="s">
        <v>621</v>
      </c>
      <c r="D15" s="178" t="s">
        <v>622</v>
      </c>
      <c r="E15" s="178" t="s">
        <v>623</v>
      </c>
      <c r="F15" s="178" t="s">
        <v>624</v>
      </c>
    </row>
    <row r="16" spans="2:6" x14ac:dyDescent="0.45">
      <c r="B16" s="185" t="s">
        <v>625</v>
      </c>
      <c r="C16" s="178" t="s">
        <v>626</v>
      </c>
      <c r="D16" s="178" t="s">
        <v>322</v>
      </c>
      <c r="E16" s="178" t="s">
        <v>322</v>
      </c>
      <c r="F16" s="178" t="s">
        <v>627</v>
      </c>
    </row>
    <row r="17" spans="2:6" x14ac:dyDescent="0.45">
      <c r="B17" s="185" t="s">
        <v>628</v>
      </c>
      <c r="C17" s="178" t="s">
        <v>629</v>
      </c>
      <c r="D17" s="178" t="s">
        <v>630</v>
      </c>
      <c r="E17" s="178" t="s">
        <v>631</v>
      </c>
      <c r="F17" s="178" t="s">
        <v>627</v>
      </c>
    </row>
    <row r="18" spans="2:6" ht="28.5" x14ac:dyDescent="0.45">
      <c r="B18" s="185" t="s">
        <v>632</v>
      </c>
      <c r="C18" s="178" t="s">
        <v>633</v>
      </c>
      <c r="D18" s="178" t="s">
        <v>322</v>
      </c>
      <c r="E18" s="178" t="s">
        <v>634</v>
      </c>
      <c r="F18" s="178" t="s">
        <v>635</v>
      </c>
    </row>
    <row r="19" spans="2:6" x14ac:dyDescent="0.45">
      <c r="B19" s="182">
        <v>2</v>
      </c>
      <c r="C19" s="183" t="s">
        <v>636</v>
      </c>
      <c r="D19" s="184"/>
      <c r="E19" s="184"/>
      <c r="F19" s="184"/>
    </row>
    <row r="20" spans="2:6" ht="28.5" x14ac:dyDescent="0.45">
      <c r="B20" s="185" t="s">
        <v>593</v>
      </c>
      <c r="C20" s="178" t="s">
        <v>502</v>
      </c>
      <c r="D20" s="178" t="s">
        <v>637</v>
      </c>
      <c r="E20" s="178" t="s">
        <v>638</v>
      </c>
      <c r="F20" s="178"/>
    </row>
    <row r="21" spans="2:6" ht="42.75" x14ac:dyDescent="0.45">
      <c r="B21" s="185" t="s">
        <v>596</v>
      </c>
      <c r="C21" s="178" t="s">
        <v>639</v>
      </c>
      <c r="D21" s="178" t="s">
        <v>640</v>
      </c>
      <c r="E21" s="178" t="s">
        <v>641</v>
      </c>
      <c r="F21" s="178"/>
    </row>
    <row r="22" spans="2:6" ht="42.75" x14ac:dyDescent="0.45">
      <c r="B22" s="185" t="s">
        <v>600</v>
      </c>
      <c r="C22" s="178" t="s">
        <v>642</v>
      </c>
      <c r="D22" s="178" t="s">
        <v>643</v>
      </c>
      <c r="E22" s="178" t="s">
        <v>644</v>
      </c>
      <c r="F22" s="178"/>
    </row>
    <row r="23" spans="2:6" ht="28.5" x14ac:dyDescent="0.45">
      <c r="B23" s="185" t="s">
        <v>603</v>
      </c>
      <c r="C23" s="178" t="s">
        <v>645</v>
      </c>
      <c r="D23" s="178" t="s">
        <v>646</v>
      </c>
      <c r="E23" s="178" t="s">
        <v>647</v>
      </c>
      <c r="F23" s="178"/>
    </row>
    <row r="24" spans="2:6" x14ac:dyDescent="0.45">
      <c r="B24" s="185" t="s">
        <v>351</v>
      </c>
      <c r="C24" s="178" t="s">
        <v>648</v>
      </c>
      <c r="D24" s="178" t="s">
        <v>646</v>
      </c>
      <c r="E24" s="178" t="s">
        <v>647</v>
      </c>
      <c r="F24" s="178"/>
    </row>
    <row r="25" spans="2:6" x14ac:dyDescent="0.45">
      <c r="B25" s="185" t="s">
        <v>610</v>
      </c>
      <c r="C25" s="178" t="s">
        <v>649</v>
      </c>
      <c r="D25" s="178" t="s">
        <v>650</v>
      </c>
      <c r="E25" s="178" t="s">
        <v>651</v>
      </c>
      <c r="F25" s="178"/>
    </row>
    <row r="26" spans="2:6" x14ac:dyDescent="0.45">
      <c r="B26" s="185" t="s">
        <v>615</v>
      </c>
      <c r="C26" s="178" t="s">
        <v>652</v>
      </c>
      <c r="D26" s="178" t="s">
        <v>653</v>
      </c>
      <c r="E26" s="178" t="s">
        <v>653</v>
      </c>
      <c r="F26" s="178"/>
    </row>
    <row r="27" spans="2:6" x14ac:dyDescent="0.45">
      <c r="B27" s="185" t="s">
        <v>620</v>
      </c>
      <c r="C27" s="178" t="s">
        <v>654</v>
      </c>
      <c r="D27" s="178" t="s">
        <v>655</v>
      </c>
      <c r="E27" s="178" t="s">
        <v>656</v>
      </c>
      <c r="F27" s="178"/>
    </row>
    <row r="28" spans="2:6" x14ac:dyDescent="0.45">
      <c r="B28" s="185" t="s">
        <v>625</v>
      </c>
      <c r="C28" s="178" t="s">
        <v>657</v>
      </c>
      <c r="D28" s="178" t="s">
        <v>322</v>
      </c>
      <c r="E28" s="178" t="s">
        <v>653</v>
      </c>
      <c r="F28" s="178"/>
    </row>
    <row r="29" spans="2:6" x14ac:dyDescent="0.45">
      <c r="B29" s="185" t="s">
        <v>628</v>
      </c>
      <c r="C29" s="178" t="s">
        <v>658</v>
      </c>
      <c r="D29" s="178" t="s">
        <v>322</v>
      </c>
      <c r="E29" s="178" t="s">
        <v>653</v>
      </c>
      <c r="F29" s="178"/>
    </row>
    <row r="30" spans="2:6" ht="28.5" x14ac:dyDescent="0.45">
      <c r="B30" s="185" t="s">
        <v>632</v>
      </c>
      <c r="C30" s="178" t="s">
        <v>659</v>
      </c>
      <c r="D30" s="178" t="s">
        <v>322</v>
      </c>
      <c r="E30" s="178" t="s">
        <v>660</v>
      </c>
      <c r="F30" s="178"/>
    </row>
    <row r="31" spans="2:6" ht="42.75" x14ac:dyDescent="0.45">
      <c r="B31" s="185" t="s">
        <v>661</v>
      </c>
      <c r="C31" s="178" t="s">
        <v>662</v>
      </c>
      <c r="D31" s="178" t="s">
        <v>663</v>
      </c>
      <c r="E31" s="178" t="s">
        <v>664</v>
      </c>
      <c r="F31" s="178"/>
    </row>
    <row r="32" spans="2:6" x14ac:dyDescent="0.45">
      <c r="B32" s="185" t="s">
        <v>665</v>
      </c>
      <c r="C32" s="178" t="s">
        <v>666</v>
      </c>
      <c r="D32" s="178" t="s">
        <v>663</v>
      </c>
      <c r="E32" s="178" t="s">
        <v>653</v>
      </c>
      <c r="F32" s="178"/>
    </row>
    <row r="33" spans="2:6" x14ac:dyDescent="0.45">
      <c r="B33" s="185" t="s">
        <v>667</v>
      </c>
      <c r="C33" s="178" t="s">
        <v>668</v>
      </c>
      <c r="D33" s="178" t="s">
        <v>650</v>
      </c>
      <c r="E33" s="178" t="s">
        <v>669</v>
      </c>
      <c r="F33" s="178"/>
    </row>
    <row r="34" spans="2:6" ht="42.75" x14ac:dyDescent="0.45">
      <c r="B34" s="185" t="s">
        <v>670</v>
      </c>
      <c r="C34" s="178" t="s">
        <v>671</v>
      </c>
      <c r="D34" s="178" t="s">
        <v>663</v>
      </c>
      <c r="E34" s="178" t="s">
        <v>672</v>
      </c>
      <c r="F34" s="178"/>
    </row>
    <row r="35" spans="2:6" x14ac:dyDescent="0.45">
      <c r="B35" s="185" t="s">
        <v>673</v>
      </c>
      <c r="C35" s="178" t="s">
        <v>674</v>
      </c>
      <c r="D35" s="178" t="s">
        <v>653</v>
      </c>
      <c r="E35" s="178" t="s">
        <v>322</v>
      </c>
      <c r="F35" s="178"/>
    </row>
    <row r="36" spans="2:6" x14ac:dyDescent="0.45">
      <c r="B36" s="182">
        <v>3</v>
      </c>
      <c r="C36" s="183" t="s">
        <v>675</v>
      </c>
      <c r="D36" s="184"/>
      <c r="E36" s="184"/>
      <c r="F36" s="184"/>
    </row>
    <row r="37" spans="2:6" ht="28.5" x14ac:dyDescent="0.45">
      <c r="B37" s="185" t="s">
        <v>593</v>
      </c>
      <c r="C37" s="178" t="s">
        <v>676</v>
      </c>
      <c r="D37" s="178" t="s">
        <v>677</v>
      </c>
      <c r="E37" s="178" t="s">
        <v>678</v>
      </c>
      <c r="F37" s="178"/>
    </row>
    <row r="38" spans="2:6" x14ac:dyDescent="0.45">
      <c r="B38" s="185" t="s">
        <v>596</v>
      </c>
      <c r="C38" s="178" t="s">
        <v>679</v>
      </c>
      <c r="D38" s="178" t="s">
        <v>680</v>
      </c>
      <c r="E38" s="178" t="s">
        <v>681</v>
      </c>
      <c r="F38" s="178"/>
    </row>
    <row r="39" spans="2:6" ht="28.5" x14ac:dyDescent="0.45">
      <c r="B39" s="185" t="s">
        <v>600</v>
      </c>
      <c r="C39" s="178" t="s">
        <v>682</v>
      </c>
      <c r="D39" s="178" t="s">
        <v>683</v>
      </c>
      <c r="E39" s="178" t="s">
        <v>684</v>
      </c>
      <c r="F39" s="178"/>
    </row>
    <row r="40" spans="2:6" x14ac:dyDescent="0.45">
      <c r="B40" s="185" t="s">
        <v>603</v>
      </c>
      <c r="C40" s="178" t="s">
        <v>213</v>
      </c>
      <c r="D40" s="178" t="s">
        <v>685</v>
      </c>
      <c r="E40" s="178" t="s">
        <v>686</v>
      </c>
      <c r="F40" s="178"/>
    </row>
    <row r="41" spans="2:6" ht="28.5" x14ac:dyDescent="0.45">
      <c r="B41" s="185" t="s">
        <v>351</v>
      </c>
      <c r="C41" s="178" t="s">
        <v>687</v>
      </c>
      <c r="D41" s="178" t="s">
        <v>688</v>
      </c>
      <c r="E41" s="186" t="s">
        <v>689</v>
      </c>
      <c r="F41" s="178"/>
    </row>
    <row r="42" spans="2:6" x14ac:dyDescent="0.45">
      <c r="B42" s="185" t="s">
        <v>610</v>
      </c>
      <c r="C42" s="178" t="s">
        <v>690</v>
      </c>
      <c r="D42" s="178" t="s">
        <v>322</v>
      </c>
      <c r="E42" s="178" t="s">
        <v>691</v>
      </c>
      <c r="F42" s="178"/>
    </row>
    <row r="43" spans="2:6" x14ac:dyDescent="0.45">
      <c r="B43" s="185" t="s">
        <v>615</v>
      </c>
      <c r="C43" s="178" t="s">
        <v>692</v>
      </c>
      <c r="D43" s="178" t="s">
        <v>693</v>
      </c>
      <c r="E43" s="178" t="s">
        <v>694</v>
      </c>
      <c r="F43" s="178"/>
    </row>
    <row r="44" spans="2:6" x14ac:dyDescent="0.45">
      <c r="B44" s="185" t="s">
        <v>620</v>
      </c>
      <c r="C44" s="178" t="s">
        <v>695</v>
      </c>
      <c r="D44" s="178" t="s">
        <v>322</v>
      </c>
      <c r="E44" s="178" t="s">
        <v>696</v>
      </c>
      <c r="F44" s="178"/>
    </row>
    <row r="45" spans="2:6" x14ac:dyDescent="0.45">
      <c r="B45" s="182">
        <v>4</v>
      </c>
      <c r="C45" s="183" t="s">
        <v>697</v>
      </c>
      <c r="D45" s="184"/>
      <c r="E45" s="184"/>
      <c r="F45" s="184"/>
    </row>
    <row r="46" spans="2:6" x14ac:dyDescent="0.45">
      <c r="B46" s="185" t="s">
        <v>593</v>
      </c>
      <c r="C46" s="178" t="s">
        <v>698</v>
      </c>
      <c r="D46" s="178" t="s">
        <v>322</v>
      </c>
      <c r="E46" s="178" t="s">
        <v>699</v>
      </c>
      <c r="F46" s="178"/>
    </row>
    <row r="47" spans="2:6" x14ac:dyDescent="0.45">
      <c r="B47" s="185" t="s">
        <v>596</v>
      </c>
      <c r="C47" s="178" t="s">
        <v>676</v>
      </c>
      <c r="D47" s="178" t="s">
        <v>700</v>
      </c>
      <c r="E47" s="178" t="s">
        <v>701</v>
      </c>
      <c r="F47" s="178"/>
    </row>
    <row r="48" spans="2:6" x14ac:dyDescent="0.45">
      <c r="B48" s="185" t="s">
        <v>600</v>
      </c>
      <c r="C48" s="178" t="s">
        <v>679</v>
      </c>
      <c r="D48" s="178" t="s">
        <v>322</v>
      </c>
      <c r="E48" s="178" t="s">
        <v>702</v>
      </c>
      <c r="F48" s="178"/>
    </row>
    <row r="49" spans="2:6" x14ac:dyDescent="0.45">
      <c r="B49" s="185" t="s">
        <v>603</v>
      </c>
      <c r="C49" s="178" t="s">
        <v>703</v>
      </c>
      <c r="D49" s="178" t="s">
        <v>704</v>
      </c>
      <c r="E49" s="178" t="s">
        <v>705</v>
      </c>
      <c r="F49" s="178"/>
    </row>
    <row r="50" spans="2:6" ht="57" x14ac:dyDescent="0.45">
      <c r="B50" s="185" t="s">
        <v>351</v>
      </c>
      <c r="C50" s="178" t="s">
        <v>682</v>
      </c>
      <c r="D50" s="178" t="s">
        <v>322</v>
      </c>
      <c r="E50" s="187" t="s">
        <v>706</v>
      </c>
      <c r="F50" s="178"/>
    </row>
    <row r="51" spans="2:6" x14ac:dyDescent="0.45">
      <c r="B51" s="185" t="s">
        <v>610</v>
      </c>
      <c r="C51" s="178" t="s">
        <v>707</v>
      </c>
      <c r="D51" s="178" t="s">
        <v>322</v>
      </c>
      <c r="E51" s="178" t="s">
        <v>322</v>
      </c>
      <c r="F51" s="178"/>
    </row>
    <row r="52" spans="2:6" x14ac:dyDescent="0.45">
      <c r="B52" s="185" t="s">
        <v>615</v>
      </c>
      <c r="C52" s="178" t="s">
        <v>708</v>
      </c>
      <c r="D52" s="178" t="s">
        <v>322</v>
      </c>
      <c r="E52" s="178" t="s">
        <v>322</v>
      </c>
      <c r="F52" s="178"/>
    </row>
    <row r="53" spans="2:6" x14ac:dyDescent="0.45">
      <c r="B53" s="182">
        <v>5</v>
      </c>
      <c r="C53" s="183" t="s">
        <v>709</v>
      </c>
      <c r="D53" s="184"/>
      <c r="E53" s="184"/>
      <c r="F53" s="184"/>
    </row>
    <row r="54" spans="2:6" x14ac:dyDescent="0.45">
      <c r="B54" s="185" t="s">
        <v>593</v>
      </c>
      <c r="C54" s="178" t="s">
        <v>698</v>
      </c>
      <c r="D54" s="178" t="s">
        <v>322</v>
      </c>
      <c r="E54" s="178"/>
      <c r="F54" s="178"/>
    </row>
    <row r="55" spans="2:6" x14ac:dyDescent="0.45">
      <c r="B55" s="185" t="s">
        <v>596</v>
      </c>
      <c r="C55" s="178" t="s">
        <v>676</v>
      </c>
      <c r="D55" s="178" t="s">
        <v>710</v>
      </c>
      <c r="E55" s="178" t="s">
        <v>711</v>
      </c>
      <c r="F55" s="178"/>
    </row>
    <row r="56" spans="2:6" x14ac:dyDescent="0.45">
      <c r="B56" s="185" t="s">
        <v>600</v>
      </c>
      <c r="C56" s="178" t="s">
        <v>712</v>
      </c>
      <c r="D56" s="178" t="s">
        <v>713</v>
      </c>
      <c r="E56" s="178"/>
      <c r="F56" s="178"/>
    </row>
    <row r="57" spans="2:6" x14ac:dyDescent="0.45">
      <c r="B57" s="185" t="s">
        <v>603</v>
      </c>
      <c r="C57" s="178" t="s">
        <v>714</v>
      </c>
      <c r="D57" s="178" t="s">
        <v>322</v>
      </c>
      <c r="E57" s="178"/>
      <c r="F57" s="178"/>
    </row>
    <row r="58" spans="2:6" x14ac:dyDescent="0.45">
      <c r="B58" s="185" t="s">
        <v>351</v>
      </c>
      <c r="C58" s="178" t="s">
        <v>715</v>
      </c>
      <c r="D58" s="178" t="s">
        <v>322</v>
      </c>
      <c r="E58" s="178"/>
      <c r="F58" s="178"/>
    </row>
    <row r="59" spans="2:6" x14ac:dyDescent="0.45">
      <c r="B59" s="185" t="s">
        <v>610</v>
      </c>
      <c r="C59" s="178" t="s">
        <v>708</v>
      </c>
      <c r="D59" s="178" t="s">
        <v>322</v>
      </c>
      <c r="E59" s="178"/>
      <c r="F59" s="178"/>
    </row>
    <row r="60" spans="2:6" x14ac:dyDescent="0.45">
      <c r="B60" s="182">
        <v>6</v>
      </c>
      <c r="C60" s="183" t="s">
        <v>716</v>
      </c>
      <c r="D60" s="184"/>
      <c r="E60" s="184"/>
      <c r="F60" s="184"/>
    </row>
    <row r="61" spans="2:6" x14ac:dyDescent="0.45">
      <c r="B61" s="185" t="s">
        <v>593</v>
      </c>
      <c r="C61" s="178" t="s">
        <v>717</v>
      </c>
      <c r="D61" s="576" t="s">
        <v>718</v>
      </c>
      <c r="E61" s="178" t="s">
        <v>719</v>
      </c>
      <c r="F61" s="178"/>
    </row>
    <row r="62" spans="2:6" x14ac:dyDescent="0.45">
      <c r="B62" s="185" t="s">
        <v>596</v>
      </c>
      <c r="C62" s="178" t="s">
        <v>720</v>
      </c>
      <c r="D62" s="577"/>
      <c r="E62" s="178" t="s">
        <v>721</v>
      </c>
      <c r="F62" s="178"/>
    </row>
    <row r="63" spans="2:6" x14ac:dyDescent="0.45">
      <c r="B63" s="185" t="s">
        <v>600</v>
      </c>
      <c r="C63" s="178" t="s">
        <v>722</v>
      </c>
      <c r="D63" s="577"/>
      <c r="E63" s="178" t="s">
        <v>721</v>
      </c>
      <c r="F63" s="178"/>
    </row>
    <row r="64" spans="2:6" ht="28.5" x14ac:dyDescent="0.45">
      <c r="B64" s="185" t="s">
        <v>603</v>
      </c>
      <c r="C64" s="178" t="s">
        <v>723</v>
      </c>
      <c r="D64" s="577"/>
      <c r="E64" s="178" t="s">
        <v>322</v>
      </c>
      <c r="F64" s="178"/>
    </row>
    <row r="65" spans="2:6" ht="28.5" x14ac:dyDescent="0.45">
      <c r="B65" s="185" t="s">
        <v>351</v>
      </c>
      <c r="C65" s="178" t="s">
        <v>724</v>
      </c>
      <c r="D65" s="577"/>
      <c r="E65" s="178" t="s">
        <v>725</v>
      </c>
      <c r="F65" s="178"/>
    </row>
    <row r="66" spans="2:6" ht="28.5" x14ac:dyDescent="0.45">
      <c r="B66" s="185" t="s">
        <v>610</v>
      </c>
      <c r="C66" s="178" t="s">
        <v>726</v>
      </c>
      <c r="D66" s="578"/>
      <c r="E66" s="178" t="s">
        <v>322</v>
      </c>
      <c r="F66" s="178"/>
    </row>
    <row r="67" spans="2:6" x14ac:dyDescent="0.45">
      <c r="B67" s="182">
        <v>7</v>
      </c>
      <c r="C67" s="183" t="s">
        <v>727</v>
      </c>
      <c r="D67" s="184"/>
      <c r="E67" s="184"/>
      <c r="F67" s="184"/>
    </row>
    <row r="68" spans="2:6" x14ac:dyDescent="0.45">
      <c r="B68" s="185" t="s">
        <v>593</v>
      </c>
      <c r="C68" s="178" t="s">
        <v>728</v>
      </c>
      <c r="D68" s="188" t="s">
        <v>322</v>
      </c>
      <c r="E68" s="178" t="s">
        <v>729</v>
      </c>
      <c r="F68" s="178"/>
    </row>
    <row r="69" spans="2:6" x14ac:dyDescent="0.45">
      <c r="B69" s="185" t="s">
        <v>596</v>
      </c>
      <c r="C69" s="178" t="s">
        <v>730</v>
      </c>
      <c r="D69" s="188" t="s">
        <v>731</v>
      </c>
      <c r="E69" s="178" t="s">
        <v>732</v>
      </c>
      <c r="F69" s="178"/>
    </row>
    <row r="70" spans="2:6" x14ac:dyDescent="0.45">
      <c r="B70" s="185" t="s">
        <v>600</v>
      </c>
      <c r="C70" s="178" t="s">
        <v>733</v>
      </c>
      <c r="D70" s="188" t="s">
        <v>734</v>
      </c>
      <c r="E70" s="178" t="s">
        <v>735</v>
      </c>
      <c r="F70" s="178"/>
    </row>
    <row r="71" spans="2:6" x14ac:dyDescent="0.45">
      <c r="B71" s="185" t="s">
        <v>603</v>
      </c>
      <c r="C71" s="178" t="s">
        <v>736</v>
      </c>
      <c r="D71" s="188" t="s">
        <v>737</v>
      </c>
      <c r="E71" s="178" t="s">
        <v>631</v>
      </c>
      <c r="F71" s="178"/>
    </row>
    <row r="72" spans="2:6" x14ac:dyDescent="0.45">
      <c r="B72" s="185" t="s">
        <v>351</v>
      </c>
      <c r="C72" s="178" t="s">
        <v>738</v>
      </c>
      <c r="D72" s="188" t="s">
        <v>739</v>
      </c>
      <c r="E72" s="178" t="s">
        <v>740</v>
      </c>
      <c r="F72" s="178"/>
    </row>
    <row r="73" spans="2:6" x14ac:dyDescent="0.45">
      <c r="B73" s="185" t="s">
        <v>610</v>
      </c>
      <c r="C73" s="178" t="s">
        <v>741</v>
      </c>
      <c r="D73" s="188" t="s">
        <v>742</v>
      </c>
      <c r="E73" s="178" t="s">
        <v>691</v>
      </c>
      <c r="F73" s="178"/>
    </row>
    <row r="74" spans="2:6" x14ac:dyDescent="0.45">
      <c r="B74" s="182">
        <v>8</v>
      </c>
      <c r="C74" s="183" t="s">
        <v>743</v>
      </c>
      <c r="D74" s="184"/>
      <c r="E74" s="184"/>
      <c r="F74" s="184"/>
    </row>
    <row r="75" spans="2:6" hidden="1" x14ac:dyDescent="0.45">
      <c r="B75" s="185" t="s">
        <v>593</v>
      </c>
      <c r="C75" s="178" t="s">
        <v>698</v>
      </c>
      <c r="D75" s="178" t="s">
        <v>322</v>
      </c>
      <c r="E75" s="178" t="s">
        <v>744</v>
      </c>
      <c r="F75" s="178"/>
    </row>
    <row r="76" spans="2:6" hidden="1" x14ac:dyDescent="0.45">
      <c r="B76" s="185" t="s">
        <v>596</v>
      </c>
      <c r="C76" s="178" t="s">
        <v>745</v>
      </c>
      <c r="D76" s="178" t="s">
        <v>322</v>
      </c>
      <c r="E76" s="178" t="s">
        <v>746</v>
      </c>
      <c r="F76" s="178"/>
    </row>
    <row r="77" spans="2:6" x14ac:dyDescent="0.45">
      <c r="B77" s="185" t="s">
        <v>600</v>
      </c>
      <c r="C77" s="178" t="s">
        <v>679</v>
      </c>
      <c r="D77" s="178" t="s">
        <v>747</v>
      </c>
      <c r="E77" s="178" t="s">
        <v>747</v>
      </c>
      <c r="F77" s="178"/>
    </row>
    <row r="78" spans="2:6" x14ac:dyDescent="0.45">
      <c r="B78" s="185" t="s">
        <v>603</v>
      </c>
      <c r="C78" s="178" t="s">
        <v>748</v>
      </c>
      <c r="D78" s="178" t="s">
        <v>749</v>
      </c>
      <c r="E78" s="178" t="s">
        <v>322</v>
      </c>
      <c r="F78" s="178"/>
    </row>
    <row r="79" spans="2:6" x14ac:dyDescent="0.45">
      <c r="B79" s="185" t="s">
        <v>351</v>
      </c>
      <c r="C79" s="178" t="s">
        <v>750</v>
      </c>
      <c r="D79" s="178" t="s">
        <v>691</v>
      </c>
      <c r="E79" s="178" t="s">
        <v>691</v>
      </c>
      <c r="F79" s="178"/>
    </row>
    <row r="80" spans="2:6" x14ac:dyDescent="0.45">
      <c r="B80" s="185" t="s">
        <v>610</v>
      </c>
      <c r="C80" s="178" t="s">
        <v>751</v>
      </c>
      <c r="D80" s="178" t="s">
        <v>322</v>
      </c>
      <c r="E80" s="189">
        <v>0.87</v>
      </c>
      <c r="F80" s="178"/>
    </row>
    <row r="81" spans="2:6" x14ac:dyDescent="0.45">
      <c r="B81" s="185" t="s">
        <v>615</v>
      </c>
      <c r="C81" s="178" t="s">
        <v>752</v>
      </c>
      <c r="D81" s="178" t="s">
        <v>753</v>
      </c>
      <c r="E81" s="189">
        <v>0.77</v>
      </c>
      <c r="F81" s="178"/>
    </row>
    <row r="82" spans="2:6" ht="28.5" x14ac:dyDescent="0.45">
      <c r="B82" s="185" t="s">
        <v>620</v>
      </c>
      <c r="C82" s="178" t="s">
        <v>708</v>
      </c>
      <c r="D82" s="178" t="s">
        <v>322</v>
      </c>
      <c r="E82" s="178" t="s">
        <v>754</v>
      </c>
      <c r="F82" s="178"/>
    </row>
    <row r="83" spans="2:6" ht="28.5" x14ac:dyDescent="0.45">
      <c r="B83" s="185" t="s">
        <v>625</v>
      </c>
      <c r="C83" s="178" t="s">
        <v>755</v>
      </c>
      <c r="D83" s="178" t="s">
        <v>322</v>
      </c>
      <c r="E83" s="178" t="s">
        <v>756</v>
      </c>
      <c r="F83" s="178"/>
    </row>
    <row r="84" spans="2:6" x14ac:dyDescent="0.45">
      <c r="B84" s="185" t="s">
        <v>628</v>
      </c>
      <c r="C84" s="178" t="s">
        <v>757</v>
      </c>
      <c r="D84" s="178" t="s">
        <v>758</v>
      </c>
      <c r="E84" s="178" t="s">
        <v>691</v>
      </c>
      <c r="F84" s="178"/>
    </row>
    <row r="85" spans="2:6" x14ac:dyDescent="0.45">
      <c r="B85" s="185" t="s">
        <v>632</v>
      </c>
      <c r="C85" s="178" t="s">
        <v>759</v>
      </c>
      <c r="D85" s="178" t="s">
        <v>758</v>
      </c>
      <c r="E85" s="178" t="s">
        <v>322</v>
      </c>
      <c r="F85" s="178"/>
    </row>
    <row r="86" spans="2:6" x14ac:dyDescent="0.45">
      <c r="B86" s="185" t="s">
        <v>661</v>
      </c>
      <c r="C86" s="178" t="s">
        <v>760</v>
      </c>
      <c r="D86" s="178" t="s">
        <v>758</v>
      </c>
      <c r="E86" s="178" t="s">
        <v>691</v>
      </c>
      <c r="F86" s="178"/>
    </row>
    <row r="87" spans="2:6" x14ac:dyDescent="0.45">
      <c r="B87" s="182">
        <v>9</v>
      </c>
      <c r="C87" s="183" t="s">
        <v>761</v>
      </c>
      <c r="D87" s="184"/>
      <c r="E87" s="184"/>
      <c r="F87" s="184"/>
    </row>
    <row r="88" spans="2:6" x14ac:dyDescent="0.45">
      <c r="B88" s="185" t="s">
        <v>593</v>
      </c>
      <c r="C88" s="178" t="s">
        <v>698</v>
      </c>
      <c r="D88" s="579" t="s">
        <v>762</v>
      </c>
      <c r="E88" s="178" t="s">
        <v>763</v>
      </c>
      <c r="F88" s="178"/>
    </row>
    <row r="89" spans="2:6" x14ac:dyDescent="0.45">
      <c r="B89" s="185" t="s">
        <v>596</v>
      </c>
      <c r="C89" s="178" t="s">
        <v>676</v>
      </c>
      <c r="D89" s="577"/>
      <c r="E89" s="178" t="s">
        <v>764</v>
      </c>
      <c r="F89" s="178"/>
    </row>
    <row r="90" spans="2:6" x14ac:dyDescent="0.45">
      <c r="B90" s="185" t="s">
        <v>600</v>
      </c>
      <c r="C90" s="178" t="s">
        <v>750</v>
      </c>
      <c r="D90" s="577"/>
      <c r="E90" s="178" t="s">
        <v>691</v>
      </c>
      <c r="F90" s="178"/>
    </row>
    <row r="91" spans="2:6" x14ac:dyDescent="0.45">
      <c r="B91" s="185" t="s">
        <v>603</v>
      </c>
      <c r="C91" s="178" t="s">
        <v>751</v>
      </c>
      <c r="D91" s="577"/>
      <c r="E91" s="189">
        <v>0.88</v>
      </c>
      <c r="F91" s="178"/>
    </row>
    <row r="92" spans="2:6" x14ac:dyDescent="0.45">
      <c r="B92" s="185" t="s">
        <v>351</v>
      </c>
      <c r="C92" s="178" t="s">
        <v>752</v>
      </c>
      <c r="D92" s="577"/>
      <c r="E92" s="189">
        <v>0.5</v>
      </c>
      <c r="F92" s="178"/>
    </row>
    <row r="93" spans="2:6" x14ac:dyDescent="0.45">
      <c r="B93" s="185" t="s">
        <v>610</v>
      </c>
      <c r="C93" s="178" t="s">
        <v>765</v>
      </c>
      <c r="D93" s="577"/>
      <c r="E93" s="178" t="s">
        <v>766</v>
      </c>
      <c r="F93" s="178"/>
    </row>
    <row r="94" spans="2:6" x14ac:dyDescent="0.45">
      <c r="B94" s="185" t="s">
        <v>615</v>
      </c>
      <c r="C94" s="178" t="s">
        <v>767</v>
      </c>
      <c r="D94" s="577"/>
      <c r="E94" s="178" t="s">
        <v>768</v>
      </c>
      <c r="F94" s="178"/>
    </row>
    <row r="95" spans="2:6" x14ac:dyDescent="0.45">
      <c r="B95" s="185" t="s">
        <v>620</v>
      </c>
      <c r="C95" s="178" t="s">
        <v>708</v>
      </c>
      <c r="D95" s="577"/>
      <c r="E95" s="178" t="s">
        <v>322</v>
      </c>
      <c r="F95" s="178"/>
    </row>
    <row r="96" spans="2:6" x14ac:dyDescent="0.45">
      <c r="B96" s="185" t="s">
        <v>625</v>
      </c>
      <c r="C96" s="178" t="s">
        <v>769</v>
      </c>
      <c r="D96" s="578"/>
      <c r="E96" s="178" t="s">
        <v>770</v>
      </c>
      <c r="F96" s="178"/>
    </row>
    <row r="97" spans="2:6" x14ac:dyDescent="0.45">
      <c r="B97" s="182">
        <v>10</v>
      </c>
      <c r="C97" s="183" t="s">
        <v>771</v>
      </c>
      <c r="D97" s="184"/>
      <c r="E97" s="184"/>
      <c r="F97" s="184"/>
    </row>
    <row r="98" spans="2:6" x14ac:dyDescent="0.45">
      <c r="B98" s="185" t="s">
        <v>593</v>
      </c>
      <c r="C98" s="178" t="s">
        <v>745</v>
      </c>
      <c r="D98" s="178" t="s">
        <v>772</v>
      </c>
      <c r="E98" s="178" t="s">
        <v>773</v>
      </c>
      <c r="F98" s="178"/>
    </row>
    <row r="99" spans="2:6" x14ac:dyDescent="0.45">
      <c r="B99" s="185" t="s">
        <v>596</v>
      </c>
      <c r="C99" s="178" t="s">
        <v>698</v>
      </c>
      <c r="D99" s="178" t="s">
        <v>322</v>
      </c>
      <c r="E99" s="178" t="s">
        <v>774</v>
      </c>
      <c r="F99" s="178"/>
    </row>
    <row r="100" spans="2:6" ht="42.75" x14ac:dyDescent="0.45">
      <c r="B100" s="185" t="s">
        <v>600</v>
      </c>
      <c r="C100" s="178" t="s">
        <v>676</v>
      </c>
      <c r="D100" s="178" t="s">
        <v>775</v>
      </c>
      <c r="E100" s="178" t="s">
        <v>776</v>
      </c>
      <c r="F100" s="178"/>
    </row>
    <row r="101" spans="2:6" x14ac:dyDescent="0.45">
      <c r="B101" s="185" t="s">
        <v>603</v>
      </c>
      <c r="C101" s="178" t="s">
        <v>750</v>
      </c>
      <c r="D101" s="178" t="s">
        <v>691</v>
      </c>
      <c r="E101" s="178" t="s">
        <v>691</v>
      </c>
      <c r="F101" s="178"/>
    </row>
    <row r="102" spans="2:6" x14ac:dyDescent="0.45">
      <c r="B102" s="185" t="s">
        <v>351</v>
      </c>
      <c r="C102" s="178" t="s">
        <v>777</v>
      </c>
      <c r="D102" s="189">
        <v>0.5</v>
      </c>
      <c r="E102" s="178" t="s">
        <v>778</v>
      </c>
      <c r="F102" s="178"/>
    </row>
    <row r="103" spans="2:6" x14ac:dyDescent="0.45">
      <c r="B103" s="185" t="s">
        <v>610</v>
      </c>
      <c r="C103" s="178" t="s">
        <v>765</v>
      </c>
      <c r="D103" s="178" t="s">
        <v>322</v>
      </c>
      <c r="E103" s="178" t="s">
        <v>322</v>
      </c>
      <c r="F103" s="178"/>
    </row>
    <row r="104" spans="2:6" ht="28.5" x14ac:dyDescent="0.45">
      <c r="B104" s="185" t="s">
        <v>615</v>
      </c>
      <c r="C104" s="178" t="s">
        <v>767</v>
      </c>
      <c r="D104" s="178" t="s">
        <v>779</v>
      </c>
      <c r="E104" s="178" t="s">
        <v>322</v>
      </c>
      <c r="F104" s="178"/>
    </row>
    <row r="105" spans="2:6" ht="28.5" x14ac:dyDescent="0.45">
      <c r="B105" s="185" t="s">
        <v>620</v>
      </c>
      <c r="C105" s="178" t="s">
        <v>780</v>
      </c>
      <c r="D105" s="178" t="s">
        <v>322</v>
      </c>
      <c r="E105" s="178" t="s">
        <v>781</v>
      </c>
      <c r="F105" s="178"/>
    </row>
    <row r="106" spans="2:6" ht="28.5" x14ac:dyDescent="0.45">
      <c r="B106" s="185" t="s">
        <v>625</v>
      </c>
      <c r="C106" s="178" t="s">
        <v>782</v>
      </c>
      <c r="D106" s="178" t="s">
        <v>758</v>
      </c>
      <c r="E106" s="178" t="s">
        <v>691</v>
      </c>
      <c r="F106" s="178"/>
    </row>
    <row r="107" spans="2:6" x14ac:dyDescent="0.45">
      <c r="B107" s="182">
        <v>11</v>
      </c>
      <c r="C107" s="183" t="s">
        <v>783</v>
      </c>
      <c r="D107" s="184"/>
      <c r="E107" s="184"/>
      <c r="F107" s="184"/>
    </row>
    <row r="108" spans="2:6" x14ac:dyDescent="0.45">
      <c r="B108" s="185" t="s">
        <v>593</v>
      </c>
      <c r="C108" s="178" t="s">
        <v>784</v>
      </c>
      <c r="D108" s="178"/>
      <c r="E108" s="178" t="s">
        <v>785</v>
      </c>
      <c r="F108" s="178"/>
    </row>
    <row r="109" spans="2:6" ht="28.5" x14ac:dyDescent="0.45">
      <c r="B109" s="185" t="s">
        <v>596</v>
      </c>
      <c r="C109" s="178" t="s">
        <v>786</v>
      </c>
      <c r="D109" s="178"/>
      <c r="E109" s="178" t="s">
        <v>322</v>
      </c>
      <c r="F109" s="178"/>
    </row>
    <row r="110" spans="2:6" x14ac:dyDescent="0.45">
      <c r="B110" s="185" t="s">
        <v>600</v>
      </c>
      <c r="C110" s="190" t="s">
        <v>787</v>
      </c>
      <c r="D110" s="178"/>
      <c r="E110" s="178"/>
      <c r="F110" s="178"/>
    </row>
    <row r="111" spans="2:6" x14ac:dyDescent="0.45">
      <c r="B111" s="185" t="s">
        <v>788</v>
      </c>
      <c r="C111" s="178" t="s">
        <v>698</v>
      </c>
      <c r="D111" s="178"/>
      <c r="E111" s="178" t="s">
        <v>322</v>
      </c>
      <c r="F111" s="178"/>
    </row>
    <row r="112" spans="2:6" x14ac:dyDescent="0.45">
      <c r="B112" s="185" t="s">
        <v>789</v>
      </c>
      <c r="C112" s="178" t="s">
        <v>676</v>
      </c>
      <c r="D112" s="178"/>
      <c r="E112" s="178" t="s">
        <v>790</v>
      </c>
      <c r="F112" s="178"/>
    </row>
    <row r="113" spans="2:6" ht="28.5" x14ac:dyDescent="0.45">
      <c r="B113" s="185" t="s">
        <v>791</v>
      </c>
      <c r="C113" s="178" t="s">
        <v>792</v>
      </c>
      <c r="D113" s="178"/>
      <c r="E113" s="178" t="s">
        <v>793</v>
      </c>
      <c r="F113" s="178"/>
    </row>
    <row r="114" spans="2:6" ht="57" x14ac:dyDescent="0.45">
      <c r="B114" s="185" t="s">
        <v>794</v>
      </c>
      <c r="C114" s="178" t="s">
        <v>795</v>
      </c>
      <c r="D114" s="178"/>
      <c r="E114" s="178" t="s">
        <v>796</v>
      </c>
      <c r="F114" s="178"/>
    </row>
    <row r="115" spans="2:6" ht="42.75" x14ac:dyDescent="0.45">
      <c r="B115" s="185" t="s">
        <v>797</v>
      </c>
      <c r="C115" s="178" t="s">
        <v>798</v>
      </c>
      <c r="D115" s="178"/>
      <c r="E115" s="178" t="s">
        <v>799</v>
      </c>
      <c r="F115" s="178"/>
    </row>
    <row r="116" spans="2:6" x14ac:dyDescent="0.45">
      <c r="B116" s="185" t="s">
        <v>797</v>
      </c>
      <c r="C116" s="178" t="s">
        <v>708</v>
      </c>
      <c r="D116" s="178"/>
      <c r="E116" s="178" t="s">
        <v>322</v>
      </c>
      <c r="F116" s="178"/>
    </row>
    <row r="117" spans="2:6" x14ac:dyDescent="0.45">
      <c r="B117" s="185" t="s">
        <v>603</v>
      </c>
      <c r="C117" s="190" t="s">
        <v>800</v>
      </c>
      <c r="D117" s="178"/>
      <c r="E117" s="178"/>
      <c r="F117" s="178"/>
    </row>
    <row r="118" spans="2:6" x14ac:dyDescent="0.45">
      <c r="B118" s="185" t="s">
        <v>788</v>
      </c>
      <c r="C118" s="178" t="s">
        <v>698</v>
      </c>
      <c r="D118" s="178"/>
      <c r="E118" s="178" t="s">
        <v>322</v>
      </c>
      <c r="F118" s="178"/>
    </row>
    <row r="119" spans="2:6" x14ac:dyDescent="0.45">
      <c r="B119" s="185" t="s">
        <v>789</v>
      </c>
      <c r="C119" s="178" t="s">
        <v>676</v>
      </c>
      <c r="D119" s="178"/>
      <c r="E119" s="178" t="s">
        <v>801</v>
      </c>
      <c r="F119" s="178"/>
    </row>
    <row r="120" spans="2:6" x14ac:dyDescent="0.45">
      <c r="B120" s="185" t="s">
        <v>791</v>
      </c>
      <c r="C120" s="178" t="s">
        <v>792</v>
      </c>
      <c r="D120" s="178"/>
      <c r="E120" s="178" t="s">
        <v>802</v>
      </c>
      <c r="F120" s="178"/>
    </row>
    <row r="121" spans="2:6" ht="28.5" x14ac:dyDescent="0.45">
      <c r="B121" s="185" t="s">
        <v>794</v>
      </c>
      <c r="C121" s="178" t="s">
        <v>795</v>
      </c>
      <c r="D121" s="178"/>
      <c r="E121" s="188" t="s">
        <v>803</v>
      </c>
      <c r="F121" s="178"/>
    </row>
    <row r="122" spans="2:6" x14ac:dyDescent="0.45">
      <c r="B122" s="185" t="s">
        <v>804</v>
      </c>
      <c r="C122" s="178" t="s">
        <v>708</v>
      </c>
      <c r="D122" s="178"/>
      <c r="E122" s="178" t="s">
        <v>322</v>
      </c>
      <c r="F122" s="178"/>
    </row>
    <row r="123" spans="2:6" x14ac:dyDescent="0.45">
      <c r="B123" s="185" t="s">
        <v>351</v>
      </c>
      <c r="C123" s="178" t="s">
        <v>805</v>
      </c>
      <c r="D123" s="178"/>
      <c r="E123" s="178" t="s">
        <v>801</v>
      </c>
      <c r="F123" s="178"/>
    </row>
    <row r="124" spans="2:6" x14ac:dyDescent="0.45">
      <c r="B124" s="185" t="s">
        <v>610</v>
      </c>
      <c r="C124" s="178" t="s">
        <v>806</v>
      </c>
      <c r="D124" s="178"/>
      <c r="E124" s="178" t="s">
        <v>322</v>
      </c>
      <c r="F124" s="178"/>
    </row>
    <row r="125" spans="2:6" x14ac:dyDescent="0.45">
      <c r="B125" s="185" t="s">
        <v>615</v>
      </c>
      <c r="C125" s="178" t="s">
        <v>807</v>
      </c>
      <c r="D125" s="178"/>
      <c r="E125" s="178" t="s">
        <v>808</v>
      </c>
      <c r="F125" s="178"/>
    </row>
    <row r="126" spans="2:6" ht="28.5" x14ac:dyDescent="0.45">
      <c r="B126" s="182">
        <v>12</v>
      </c>
      <c r="C126" s="183" t="s">
        <v>809</v>
      </c>
      <c r="D126" s="184"/>
      <c r="E126" s="184"/>
      <c r="F126" s="184"/>
    </row>
    <row r="127" spans="2:6" ht="28.5" x14ac:dyDescent="0.45">
      <c r="B127" s="185" t="s">
        <v>593</v>
      </c>
      <c r="C127" s="178" t="s">
        <v>780</v>
      </c>
      <c r="D127" s="178"/>
      <c r="E127" s="178" t="s">
        <v>810</v>
      </c>
      <c r="F127" s="178"/>
    </row>
    <row r="128" spans="2:6" ht="42.75" x14ac:dyDescent="0.45">
      <c r="B128" s="185" t="s">
        <v>596</v>
      </c>
      <c r="C128" s="178" t="s">
        <v>811</v>
      </c>
      <c r="D128" s="178"/>
      <c r="E128" s="178" t="s">
        <v>812</v>
      </c>
      <c r="F128" s="178"/>
    </row>
    <row r="129" spans="2:6" x14ac:dyDescent="0.45">
      <c r="B129" s="185" t="s">
        <v>600</v>
      </c>
      <c r="C129" s="178" t="s">
        <v>692</v>
      </c>
      <c r="D129" s="178"/>
      <c r="E129" s="178" t="s">
        <v>813</v>
      </c>
      <c r="F129" s="178"/>
    </row>
    <row r="130" spans="2:6" x14ac:dyDescent="0.45">
      <c r="B130" s="185" t="s">
        <v>603</v>
      </c>
      <c r="C130" s="178" t="s">
        <v>814</v>
      </c>
      <c r="D130" s="178"/>
      <c r="E130" s="178" t="s">
        <v>322</v>
      </c>
      <c r="F130" s="178"/>
    </row>
    <row r="131" spans="2:6" x14ac:dyDescent="0.45">
      <c r="B131" s="185" t="s">
        <v>351</v>
      </c>
      <c r="C131" s="178" t="s">
        <v>815</v>
      </c>
      <c r="D131" s="178"/>
      <c r="E131" s="178" t="s">
        <v>790</v>
      </c>
      <c r="F131" s="178"/>
    </row>
    <row r="132" spans="2:6" ht="28.5" x14ac:dyDescent="0.45">
      <c r="B132" s="185" t="s">
        <v>610</v>
      </c>
      <c r="C132" s="178" t="s">
        <v>816</v>
      </c>
      <c r="D132" s="178"/>
      <c r="E132" s="178" t="s">
        <v>817</v>
      </c>
      <c r="F132" s="178"/>
    </row>
    <row r="133" spans="2:6" ht="42.75" x14ac:dyDescent="0.45">
      <c r="B133" s="185" t="s">
        <v>615</v>
      </c>
      <c r="C133" s="178" t="s">
        <v>798</v>
      </c>
      <c r="D133" s="178"/>
      <c r="E133" s="178" t="s">
        <v>799</v>
      </c>
      <c r="F133" s="178"/>
    </row>
    <row r="134" spans="2:6" x14ac:dyDescent="0.45">
      <c r="B134" s="185" t="s">
        <v>620</v>
      </c>
      <c r="C134" s="178" t="s">
        <v>818</v>
      </c>
      <c r="D134" s="178"/>
      <c r="E134" s="178" t="s">
        <v>322</v>
      </c>
      <c r="F134" s="178"/>
    </row>
    <row r="135" spans="2:6" x14ac:dyDescent="0.45">
      <c r="B135" s="182">
        <v>13</v>
      </c>
      <c r="C135" s="183" t="s">
        <v>819</v>
      </c>
      <c r="D135" s="184"/>
      <c r="E135" s="184"/>
      <c r="F135" s="184"/>
    </row>
    <row r="136" spans="2:6" x14ac:dyDescent="0.45">
      <c r="B136" s="185" t="s">
        <v>593</v>
      </c>
      <c r="C136" s="178" t="s">
        <v>698</v>
      </c>
      <c r="D136" s="178" t="s">
        <v>322</v>
      </c>
      <c r="E136" s="178" t="s">
        <v>699</v>
      </c>
      <c r="F136" s="178"/>
    </row>
    <row r="137" spans="2:6" x14ac:dyDescent="0.45">
      <c r="B137" s="185" t="s">
        <v>596</v>
      </c>
      <c r="C137" s="178" t="s">
        <v>676</v>
      </c>
      <c r="D137" s="178" t="s">
        <v>322</v>
      </c>
      <c r="E137" s="178" t="s">
        <v>820</v>
      </c>
      <c r="F137" s="178"/>
    </row>
    <row r="138" spans="2:6" x14ac:dyDescent="0.45">
      <c r="B138" s="185" t="s">
        <v>600</v>
      </c>
      <c r="C138" s="178" t="s">
        <v>750</v>
      </c>
      <c r="D138" s="178" t="s">
        <v>691</v>
      </c>
      <c r="E138" s="178" t="s">
        <v>691</v>
      </c>
      <c r="F138" s="178"/>
    </row>
    <row r="139" spans="2:6" ht="28.5" x14ac:dyDescent="0.45">
      <c r="B139" s="185" t="s">
        <v>603</v>
      </c>
      <c r="C139" s="178" t="s">
        <v>821</v>
      </c>
      <c r="D139" s="178" t="s">
        <v>322</v>
      </c>
      <c r="E139" s="178" t="s">
        <v>322</v>
      </c>
      <c r="F139" s="178"/>
    </row>
    <row r="140" spans="2:6" x14ac:dyDescent="0.45">
      <c r="B140" s="185" t="s">
        <v>351</v>
      </c>
      <c r="C140" s="178" t="s">
        <v>822</v>
      </c>
      <c r="D140" s="178" t="s">
        <v>823</v>
      </c>
      <c r="E140" s="178" t="s">
        <v>824</v>
      </c>
      <c r="F140" s="178"/>
    </row>
    <row r="141" spans="2:6" x14ac:dyDescent="0.45">
      <c r="B141" s="185" t="s">
        <v>610</v>
      </c>
      <c r="C141" s="178" t="s">
        <v>765</v>
      </c>
      <c r="D141" s="178" t="s">
        <v>322</v>
      </c>
      <c r="E141" s="178" t="s">
        <v>825</v>
      </c>
      <c r="F141" s="178"/>
    </row>
    <row r="142" spans="2:6" x14ac:dyDescent="0.45">
      <c r="B142" s="185" t="s">
        <v>615</v>
      </c>
      <c r="C142" s="178" t="s">
        <v>767</v>
      </c>
      <c r="D142" s="178" t="s">
        <v>826</v>
      </c>
      <c r="E142" s="178" t="s">
        <v>827</v>
      </c>
      <c r="F142" s="178"/>
    </row>
    <row r="143" spans="2:6" x14ac:dyDescent="0.45">
      <c r="B143" s="185" t="s">
        <v>620</v>
      </c>
      <c r="C143" s="178" t="s">
        <v>769</v>
      </c>
      <c r="D143" s="178" t="s">
        <v>322</v>
      </c>
      <c r="E143" s="178" t="s">
        <v>322</v>
      </c>
      <c r="F143" s="178"/>
    </row>
    <row r="144" spans="2:6" x14ac:dyDescent="0.45">
      <c r="B144" s="185" t="s">
        <v>625</v>
      </c>
      <c r="C144" s="178" t="s">
        <v>751</v>
      </c>
      <c r="D144" s="178" t="s">
        <v>322</v>
      </c>
      <c r="E144" s="178" t="s">
        <v>322</v>
      </c>
      <c r="F144" s="178"/>
    </row>
    <row r="145" spans="2:6" x14ac:dyDescent="0.45">
      <c r="B145" s="185" t="s">
        <v>628</v>
      </c>
      <c r="C145" s="178" t="s">
        <v>828</v>
      </c>
      <c r="D145" s="178" t="s">
        <v>322</v>
      </c>
      <c r="E145" s="178" t="s">
        <v>322</v>
      </c>
      <c r="F145" s="178"/>
    </row>
    <row r="146" spans="2:6" x14ac:dyDescent="0.45">
      <c r="B146" s="185" t="s">
        <v>632</v>
      </c>
      <c r="C146" s="178" t="s">
        <v>708</v>
      </c>
      <c r="D146" s="178" t="s">
        <v>322</v>
      </c>
      <c r="E146" s="178" t="s">
        <v>829</v>
      </c>
      <c r="F146" s="178"/>
    </row>
    <row r="147" spans="2:6" x14ac:dyDescent="0.45">
      <c r="B147" s="182">
        <v>14</v>
      </c>
      <c r="C147" s="183" t="s">
        <v>830</v>
      </c>
      <c r="D147" s="184"/>
      <c r="E147" s="184"/>
      <c r="F147" s="184"/>
    </row>
    <row r="148" spans="2:6" x14ac:dyDescent="0.45">
      <c r="B148" s="185" t="s">
        <v>593</v>
      </c>
      <c r="C148" s="178" t="s">
        <v>698</v>
      </c>
      <c r="D148" s="178" t="s">
        <v>322</v>
      </c>
      <c r="E148" s="178" t="s">
        <v>322</v>
      </c>
      <c r="F148" s="178"/>
    </row>
    <row r="149" spans="2:6" x14ac:dyDescent="0.45">
      <c r="B149" s="185" t="s">
        <v>596</v>
      </c>
      <c r="C149" s="178" t="s">
        <v>676</v>
      </c>
      <c r="D149" s="178" t="s">
        <v>322</v>
      </c>
      <c r="E149" s="178" t="s">
        <v>322</v>
      </c>
      <c r="F149" s="178"/>
    </row>
    <row r="150" spans="2:6" x14ac:dyDescent="0.45">
      <c r="B150" s="185" t="s">
        <v>600</v>
      </c>
      <c r="C150" s="178" t="s">
        <v>750</v>
      </c>
      <c r="D150" s="178" t="s">
        <v>322</v>
      </c>
      <c r="E150" s="178" t="s">
        <v>322</v>
      </c>
      <c r="F150" s="178"/>
    </row>
    <row r="151" spans="2:6" x14ac:dyDescent="0.45">
      <c r="B151" s="185" t="s">
        <v>603</v>
      </c>
      <c r="C151" s="178" t="s">
        <v>831</v>
      </c>
      <c r="D151" s="178" t="s">
        <v>322</v>
      </c>
      <c r="E151" s="178" t="s">
        <v>322</v>
      </c>
      <c r="F151" s="178"/>
    </row>
    <row r="152" spans="2:6" x14ac:dyDescent="0.45">
      <c r="B152" s="185" t="s">
        <v>351</v>
      </c>
      <c r="C152" s="178" t="s">
        <v>822</v>
      </c>
      <c r="D152" s="178" t="s">
        <v>322</v>
      </c>
      <c r="E152" s="178" t="s">
        <v>322</v>
      </c>
      <c r="F152" s="178"/>
    </row>
    <row r="153" spans="2:6" x14ac:dyDescent="0.45">
      <c r="B153" s="185" t="s">
        <v>610</v>
      </c>
      <c r="C153" s="178" t="s">
        <v>765</v>
      </c>
      <c r="D153" s="178" t="s">
        <v>322</v>
      </c>
      <c r="E153" s="178" t="s">
        <v>322</v>
      </c>
      <c r="F153" s="178"/>
    </row>
    <row r="154" spans="2:6" x14ac:dyDescent="0.45">
      <c r="B154" s="185" t="s">
        <v>615</v>
      </c>
      <c r="C154" s="178" t="s">
        <v>767</v>
      </c>
      <c r="D154" s="178" t="s">
        <v>322</v>
      </c>
      <c r="E154" s="178" t="s">
        <v>322</v>
      </c>
      <c r="F154" s="178"/>
    </row>
    <row r="155" spans="2:6" x14ac:dyDescent="0.45">
      <c r="B155" s="185" t="s">
        <v>620</v>
      </c>
      <c r="C155" s="178" t="s">
        <v>708</v>
      </c>
      <c r="D155" s="178" t="s">
        <v>322</v>
      </c>
      <c r="E155" s="178" t="s">
        <v>322</v>
      </c>
      <c r="F155" s="178"/>
    </row>
    <row r="156" spans="2:6" x14ac:dyDescent="0.45">
      <c r="B156" s="182">
        <v>15</v>
      </c>
      <c r="C156" s="183" t="s">
        <v>832</v>
      </c>
      <c r="D156" s="184"/>
      <c r="E156" s="184"/>
      <c r="F156" s="184"/>
    </row>
    <row r="157" spans="2:6" x14ac:dyDescent="0.45">
      <c r="B157" s="185" t="s">
        <v>593</v>
      </c>
      <c r="C157" s="178" t="s">
        <v>698</v>
      </c>
      <c r="D157" s="178" t="s">
        <v>322</v>
      </c>
      <c r="E157" s="178" t="s">
        <v>699</v>
      </c>
      <c r="F157" s="178"/>
    </row>
    <row r="158" spans="2:6" x14ac:dyDescent="0.45">
      <c r="B158" s="185" t="s">
        <v>596</v>
      </c>
      <c r="C158" s="178" t="s">
        <v>676</v>
      </c>
      <c r="D158" s="178" t="s">
        <v>322</v>
      </c>
      <c r="E158" s="178" t="s">
        <v>833</v>
      </c>
      <c r="F158" s="178"/>
    </row>
    <row r="159" spans="2:6" x14ac:dyDescent="0.45">
      <c r="B159" s="185" t="s">
        <v>600</v>
      </c>
      <c r="C159" s="178" t="s">
        <v>765</v>
      </c>
      <c r="D159" s="178" t="s">
        <v>322</v>
      </c>
      <c r="E159" s="178" t="s">
        <v>834</v>
      </c>
      <c r="F159" s="178"/>
    </row>
    <row r="160" spans="2:6" x14ac:dyDescent="0.45">
      <c r="B160" s="185" t="s">
        <v>603</v>
      </c>
      <c r="C160" s="178" t="s">
        <v>750</v>
      </c>
      <c r="D160" s="178" t="s">
        <v>322</v>
      </c>
      <c r="E160" s="178" t="s">
        <v>691</v>
      </c>
      <c r="F160" s="178"/>
    </row>
    <row r="161" spans="2:6" x14ac:dyDescent="0.45">
      <c r="B161" s="185" t="s">
        <v>351</v>
      </c>
      <c r="C161" s="178" t="s">
        <v>767</v>
      </c>
      <c r="D161" s="178" t="s">
        <v>322</v>
      </c>
      <c r="E161" s="178" t="s">
        <v>835</v>
      </c>
      <c r="F161" s="178"/>
    </row>
    <row r="162" spans="2:6" x14ac:dyDescent="0.45">
      <c r="B162" s="185" t="s">
        <v>610</v>
      </c>
      <c r="C162" s="178" t="s">
        <v>769</v>
      </c>
      <c r="D162" s="178" t="s">
        <v>322</v>
      </c>
      <c r="E162" s="178" t="s">
        <v>836</v>
      </c>
      <c r="F162" s="178"/>
    </row>
    <row r="163" spans="2:6" x14ac:dyDescent="0.45">
      <c r="B163" s="185" t="s">
        <v>615</v>
      </c>
      <c r="C163" s="178" t="s">
        <v>837</v>
      </c>
      <c r="D163" s="178" t="s">
        <v>322</v>
      </c>
      <c r="E163" s="178" t="s">
        <v>838</v>
      </c>
      <c r="F163" s="178"/>
    </row>
    <row r="164" spans="2:6" x14ac:dyDescent="0.45">
      <c r="B164" s="182">
        <v>16</v>
      </c>
      <c r="C164" s="183" t="s">
        <v>839</v>
      </c>
      <c r="D164" s="184"/>
      <c r="E164" s="184"/>
      <c r="F164" s="184"/>
    </row>
    <row r="165" spans="2:6" x14ac:dyDescent="0.45">
      <c r="B165" s="185" t="s">
        <v>593</v>
      </c>
      <c r="C165" s="178" t="s">
        <v>698</v>
      </c>
      <c r="D165" s="580" t="s">
        <v>840</v>
      </c>
      <c r="E165" s="178" t="s">
        <v>699</v>
      </c>
      <c r="F165" s="178"/>
    </row>
    <row r="166" spans="2:6" x14ac:dyDescent="0.45">
      <c r="B166" s="185" t="s">
        <v>596</v>
      </c>
      <c r="C166" s="178" t="s">
        <v>676</v>
      </c>
      <c r="D166" s="581"/>
      <c r="E166" s="178" t="s">
        <v>841</v>
      </c>
      <c r="F166" s="178"/>
    </row>
    <row r="167" spans="2:6" x14ac:dyDescent="0.45">
      <c r="B167" s="185" t="s">
        <v>600</v>
      </c>
      <c r="C167" s="178" t="s">
        <v>692</v>
      </c>
      <c r="D167" s="581"/>
      <c r="E167" s="178" t="s">
        <v>842</v>
      </c>
      <c r="F167" s="178"/>
    </row>
    <row r="168" spans="2:6" x14ac:dyDescent="0.45">
      <c r="B168" s="185" t="s">
        <v>603</v>
      </c>
      <c r="C168" s="178" t="s">
        <v>843</v>
      </c>
      <c r="D168" s="581"/>
      <c r="E168" s="178" t="s">
        <v>844</v>
      </c>
      <c r="F168" s="178"/>
    </row>
    <row r="169" spans="2:6" x14ac:dyDescent="0.45">
      <c r="B169" s="185" t="s">
        <v>351</v>
      </c>
      <c r="C169" s="178" t="s">
        <v>845</v>
      </c>
      <c r="D169" s="581"/>
      <c r="E169" s="178" t="s">
        <v>846</v>
      </c>
      <c r="F169" s="178"/>
    </row>
    <row r="170" spans="2:6" x14ac:dyDescent="0.45">
      <c r="B170" s="185" t="s">
        <v>610</v>
      </c>
      <c r="C170" s="178" t="s">
        <v>847</v>
      </c>
      <c r="D170" s="581"/>
      <c r="E170" s="178" t="s">
        <v>848</v>
      </c>
      <c r="F170" s="178"/>
    </row>
    <row r="171" spans="2:6" x14ac:dyDescent="0.45">
      <c r="B171" s="185" t="s">
        <v>615</v>
      </c>
      <c r="C171" s="178" t="s">
        <v>849</v>
      </c>
      <c r="D171" s="581"/>
      <c r="E171" s="178" t="s">
        <v>850</v>
      </c>
      <c r="F171" s="178"/>
    </row>
    <row r="172" spans="2:6" x14ac:dyDescent="0.45">
      <c r="B172" s="185" t="s">
        <v>620</v>
      </c>
      <c r="C172" s="178" t="s">
        <v>851</v>
      </c>
      <c r="D172" s="581"/>
      <c r="E172" s="178" t="s">
        <v>852</v>
      </c>
      <c r="F172" s="178"/>
    </row>
    <row r="173" spans="2:6" x14ac:dyDescent="0.45">
      <c r="B173" s="185" t="s">
        <v>625</v>
      </c>
      <c r="C173" s="178" t="s">
        <v>853</v>
      </c>
      <c r="D173" s="581"/>
      <c r="E173" s="178" t="s">
        <v>854</v>
      </c>
      <c r="F173" s="178"/>
    </row>
    <row r="174" spans="2:6" x14ac:dyDescent="0.45">
      <c r="B174" s="185" t="s">
        <v>628</v>
      </c>
      <c r="C174" s="178" t="s">
        <v>855</v>
      </c>
      <c r="D174" s="581"/>
      <c r="E174" s="178" t="s">
        <v>856</v>
      </c>
      <c r="F174" s="178"/>
    </row>
    <row r="175" spans="2:6" x14ac:dyDescent="0.45">
      <c r="B175" s="185" t="s">
        <v>632</v>
      </c>
      <c r="C175" s="178" t="s">
        <v>728</v>
      </c>
      <c r="D175" s="581"/>
      <c r="E175" s="178" t="s">
        <v>857</v>
      </c>
      <c r="F175" s="178"/>
    </row>
    <row r="176" spans="2:6" x14ac:dyDescent="0.45">
      <c r="B176" s="185" t="s">
        <v>661</v>
      </c>
      <c r="C176" s="178" t="s">
        <v>858</v>
      </c>
      <c r="D176" s="581"/>
      <c r="E176" s="188">
        <v>7</v>
      </c>
      <c r="F176" s="178"/>
    </row>
    <row r="177" spans="2:6" x14ac:dyDescent="0.45">
      <c r="B177" s="185" t="s">
        <v>665</v>
      </c>
      <c r="C177" s="178" t="s">
        <v>859</v>
      </c>
      <c r="D177" s="582"/>
      <c r="E177" s="178" t="s">
        <v>860</v>
      </c>
      <c r="F177" s="178"/>
    </row>
    <row r="178" spans="2:6" x14ac:dyDescent="0.45">
      <c r="B178" s="182">
        <v>17</v>
      </c>
      <c r="C178" s="183" t="s">
        <v>861</v>
      </c>
      <c r="D178" s="184"/>
      <c r="E178" s="184"/>
      <c r="F178" s="184"/>
    </row>
    <row r="179" spans="2:6" x14ac:dyDescent="0.45">
      <c r="B179" s="185" t="s">
        <v>593</v>
      </c>
      <c r="C179" s="178" t="s">
        <v>862</v>
      </c>
      <c r="D179" s="185" t="s">
        <v>322</v>
      </c>
      <c r="E179" s="178" t="s">
        <v>863</v>
      </c>
      <c r="F179" s="178"/>
    </row>
    <row r="180" spans="2:6" x14ac:dyDescent="0.45">
      <c r="B180" s="185" t="s">
        <v>596</v>
      </c>
      <c r="C180" s="178" t="s">
        <v>864</v>
      </c>
      <c r="D180" s="185" t="s">
        <v>322</v>
      </c>
      <c r="E180" s="178" t="s">
        <v>865</v>
      </c>
      <c r="F180" s="178"/>
    </row>
    <row r="181" spans="2:6" x14ac:dyDescent="0.45">
      <c r="B181" s="185" t="s">
        <v>600</v>
      </c>
      <c r="C181" s="178" t="s">
        <v>745</v>
      </c>
      <c r="D181" s="185" t="s">
        <v>322</v>
      </c>
      <c r="E181" s="178" t="s">
        <v>866</v>
      </c>
      <c r="F181" s="178"/>
    </row>
    <row r="182" spans="2:6" ht="28.5" x14ac:dyDescent="0.45">
      <c r="B182" s="185" t="s">
        <v>603</v>
      </c>
      <c r="C182" s="178" t="s">
        <v>867</v>
      </c>
      <c r="D182" s="185" t="s">
        <v>322</v>
      </c>
      <c r="E182" s="178" t="s">
        <v>868</v>
      </c>
      <c r="F182" s="178"/>
    </row>
    <row r="183" spans="2:6" ht="28.5" x14ac:dyDescent="0.45">
      <c r="B183" s="185" t="s">
        <v>351</v>
      </c>
      <c r="C183" s="178" t="s">
        <v>869</v>
      </c>
      <c r="D183" s="185" t="s">
        <v>322</v>
      </c>
      <c r="E183" s="178" t="s">
        <v>870</v>
      </c>
      <c r="F183" s="178"/>
    </row>
    <row r="184" spans="2:6" ht="28.5" x14ac:dyDescent="0.45">
      <c r="B184" s="185" t="s">
        <v>610</v>
      </c>
      <c r="C184" s="178" t="s">
        <v>871</v>
      </c>
      <c r="D184" s="185" t="s">
        <v>322</v>
      </c>
      <c r="E184" s="178" t="s">
        <v>872</v>
      </c>
      <c r="F184" s="178"/>
    </row>
    <row r="185" spans="2:6" x14ac:dyDescent="0.45">
      <c r="B185" s="185" t="s">
        <v>615</v>
      </c>
      <c r="C185" s="178" t="s">
        <v>873</v>
      </c>
      <c r="D185" s="185" t="s">
        <v>322</v>
      </c>
      <c r="E185" s="178" t="s">
        <v>874</v>
      </c>
      <c r="F185" s="178"/>
    </row>
    <row r="186" spans="2:6" x14ac:dyDescent="0.45">
      <c r="B186" s="185" t="s">
        <v>620</v>
      </c>
      <c r="C186" s="178" t="s">
        <v>765</v>
      </c>
      <c r="D186" s="185" t="s">
        <v>322</v>
      </c>
      <c r="E186" s="178" t="s">
        <v>875</v>
      </c>
      <c r="F186" s="178"/>
    </row>
    <row r="187" spans="2:6" x14ac:dyDescent="0.45">
      <c r="B187" s="185" t="s">
        <v>625</v>
      </c>
      <c r="C187" s="178" t="s">
        <v>876</v>
      </c>
      <c r="D187" s="185" t="s">
        <v>322</v>
      </c>
      <c r="E187" s="178" t="s">
        <v>877</v>
      </c>
      <c r="F187" s="178"/>
    </row>
    <row r="188" spans="2:6" x14ac:dyDescent="0.45">
      <c r="B188" s="182">
        <v>18</v>
      </c>
      <c r="C188" s="183" t="s">
        <v>319</v>
      </c>
      <c r="D188" s="184"/>
      <c r="E188" s="184"/>
      <c r="F188" s="184"/>
    </row>
    <row r="189" spans="2:6" x14ac:dyDescent="0.45">
      <c r="B189" s="185" t="s">
        <v>593</v>
      </c>
      <c r="C189" s="178" t="s">
        <v>862</v>
      </c>
      <c r="D189" s="185" t="s">
        <v>322</v>
      </c>
      <c r="E189" s="178" t="s">
        <v>878</v>
      </c>
      <c r="F189" s="178"/>
    </row>
    <row r="190" spans="2:6" x14ac:dyDescent="0.45">
      <c r="B190" s="185" t="s">
        <v>596</v>
      </c>
      <c r="C190" s="178" t="s">
        <v>864</v>
      </c>
      <c r="D190" s="185" t="s">
        <v>322</v>
      </c>
      <c r="E190" s="178" t="s">
        <v>879</v>
      </c>
      <c r="F190" s="178"/>
    </row>
    <row r="191" spans="2:6" ht="28.5" x14ac:dyDescent="0.45">
      <c r="B191" s="185" t="s">
        <v>600</v>
      </c>
      <c r="C191" s="178" t="s">
        <v>880</v>
      </c>
      <c r="D191" s="185" t="s">
        <v>322</v>
      </c>
      <c r="E191" s="178" t="s">
        <v>881</v>
      </c>
      <c r="F191" s="178"/>
    </row>
    <row r="192" spans="2:6" x14ac:dyDescent="0.45">
      <c r="B192" s="185" t="s">
        <v>603</v>
      </c>
      <c r="C192" s="178" t="s">
        <v>873</v>
      </c>
      <c r="D192" s="185" t="s">
        <v>322</v>
      </c>
      <c r="E192" s="178" t="s">
        <v>874</v>
      </c>
      <c r="F192" s="178"/>
    </row>
    <row r="193" spans="2:6" x14ac:dyDescent="0.45">
      <c r="B193" s="185" t="s">
        <v>351</v>
      </c>
      <c r="C193" s="178" t="s">
        <v>765</v>
      </c>
      <c r="D193" s="185" t="s">
        <v>322</v>
      </c>
      <c r="E193" s="178" t="s">
        <v>875</v>
      </c>
      <c r="F193" s="178"/>
    </row>
    <row r="194" spans="2:6" x14ac:dyDescent="0.45">
      <c r="B194" s="185" t="s">
        <v>610</v>
      </c>
      <c r="C194" s="178" t="s">
        <v>876</v>
      </c>
      <c r="D194" s="185" t="s">
        <v>322</v>
      </c>
      <c r="E194" s="178" t="s">
        <v>877</v>
      </c>
      <c r="F194" s="178"/>
    </row>
    <row r="195" spans="2:6" x14ac:dyDescent="0.45">
      <c r="B195" s="182">
        <v>19</v>
      </c>
      <c r="C195" s="183" t="s">
        <v>882</v>
      </c>
      <c r="D195" s="184"/>
      <c r="E195" s="184"/>
      <c r="F195" s="184"/>
    </row>
    <row r="196" spans="2:6" x14ac:dyDescent="0.45">
      <c r="B196" s="185" t="s">
        <v>593</v>
      </c>
      <c r="C196" s="190" t="s">
        <v>883</v>
      </c>
      <c r="D196" s="185"/>
      <c r="E196" s="178"/>
      <c r="F196" s="178"/>
    </row>
    <row r="197" spans="2:6" x14ac:dyDescent="0.45">
      <c r="B197" s="185" t="s">
        <v>788</v>
      </c>
      <c r="C197" s="178" t="s">
        <v>873</v>
      </c>
      <c r="D197" s="185" t="s">
        <v>322</v>
      </c>
      <c r="E197" s="178" t="s">
        <v>884</v>
      </c>
      <c r="F197" s="178"/>
    </row>
    <row r="198" spans="2:6" x14ac:dyDescent="0.45">
      <c r="B198" s="185" t="s">
        <v>789</v>
      </c>
      <c r="C198" s="178" t="s">
        <v>748</v>
      </c>
      <c r="D198" s="185" t="s">
        <v>322</v>
      </c>
      <c r="E198" s="178" t="s">
        <v>885</v>
      </c>
      <c r="F198" s="178" t="s">
        <v>886</v>
      </c>
    </row>
    <row r="199" spans="2:6" ht="28.5" x14ac:dyDescent="0.45">
      <c r="B199" s="185" t="s">
        <v>791</v>
      </c>
      <c r="C199" s="178" t="s">
        <v>765</v>
      </c>
      <c r="D199" s="185" t="s">
        <v>322</v>
      </c>
      <c r="E199" s="178" t="s">
        <v>875</v>
      </c>
      <c r="F199" s="178" t="s">
        <v>887</v>
      </c>
    </row>
    <row r="200" spans="2:6" x14ac:dyDescent="0.45">
      <c r="B200" s="185" t="s">
        <v>794</v>
      </c>
      <c r="C200" s="178" t="s">
        <v>876</v>
      </c>
      <c r="D200" s="185" t="s">
        <v>322</v>
      </c>
      <c r="E200" s="178" t="s">
        <v>888</v>
      </c>
      <c r="F200" s="178"/>
    </row>
    <row r="201" spans="2:6" x14ac:dyDescent="0.45">
      <c r="B201" s="185" t="s">
        <v>797</v>
      </c>
      <c r="C201" s="178" t="s">
        <v>698</v>
      </c>
      <c r="D201" s="185" t="s">
        <v>322</v>
      </c>
      <c r="E201" s="178" t="s">
        <v>889</v>
      </c>
      <c r="F201" s="178" t="s">
        <v>554</v>
      </c>
    </row>
    <row r="202" spans="2:6" x14ac:dyDescent="0.45">
      <c r="B202" s="185" t="s">
        <v>596</v>
      </c>
      <c r="C202" s="190" t="s">
        <v>890</v>
      </c>
      <c r="D202" s="185"/>
      <c r="E202" s="178"/>
      <c r="F202" s="178"/>
    </row>
    <row r="203" spans="2:6" x14ac:dyDescent="0.45">
      <c r="B203" s="185" t="s">
        <v>788</v>
      </c>
      <c r="C203" s="178" t="s">
        <v>698</v>
      </c>
      <c r="D203" s="185" t="s">
        <v>322</v>
      </c>
      <c r="E203" s="178" t="s">
        <v>889</v>
      </c>
      <c r="F203" s="178"/>
    </row>
    <row r="204" spans="2:6" ht="28.5" x14ac:dyDescent="0.45">
      <c r="B204" s="185" t="s">
        <v>789</v>
      </c>
      <c r="C204" s="178" t="s">
        <v>259</v>
      </c>
      <c r="D204" s="185" t="s">
        <v>322</v>
      </c>
      <c r="E204" s="178" t="s">
        <v>891</v>
      </c>
      <c r="F204" s="178"/>
    </row>
    <row r="205" spans="2:6" ht="28.5" x14ac:dyDescent="0.45">
      <c r="B205" s="185" t="s">
        <v>791</v>
      </c>
      <c r="C205" s="178" t="s">
        <v>864</v>
      </c>
      <c r="D205" s="185" t="s">
        <v>322</v>
      </c>
      <c r="E205" s="178" t="s">
        <v>892</v>
      </c>
      <c r="F205" s="178"/>
    </row>
    <row r="206" spans="2:6" x14ac:dyDescent="0.45">
      <c r="B206" s="185" t="s">
        <v>600</v>
      </c>
      <c r="C206" s="190" t="s">
        <v>498</v>
      </c>
      <c r="D206" s="185"/>
      <c r="E206" s="178"/>
      <c r="F206" s="178"/>
    </row>
    <row r="207" spans="2:6" x14ac:dyDescent="0.45">
      <c r="B207" s="185" t="s">
        <v>788</v>
      </c>
      <c r="C207" s="178" t="s">
        <v>698</v>
      </c>
      <c r="D207" s="185" t="s">
        <v>322</v>
      </c>
      <c r="E207" s="178" t="s">
        <v>542</v>
      </c>
      <c r="F207" s="178"/>
    </row>
    <row r="208" spans="2:6" x14ac:dyDescent="0.45">
      <c r="B208" s="185" t="s">
        <v>789</v>
      </c>
      <c r="C208" s="178" t="s">
        <v>353</v>
      </c>
      <c r="D208" s="185" t="s">
        <v>322</v>
      </c>
      <c r="E208" s="178" t="s">
        <v>893</v>
      </c>
      <c r="F208" s="178"/>
    </row>
    <row r="209" spans="2:6" x14ac:dyDescent="0.45">
      <c r="B209" s="185" t="s">
        <v>791</v>
      </c>
      <c r="C209" s="178" t="s">
        <v>765</v>
      </c>
      <c r="D209" s="185" t="s">
        <v>322</v>
      </c>
      <c r="E209" s="178" t="s">
        <v>875</v>
      </c>
      <c r="F209" s="178" t="s">
        <v>894</v>
      </c>
    </row>
    <row r="210" spans="2:6" x14ac:dyDescent="0.45">
      <c r="B210" s="185" t="s">
        <v>603</v>
      </c>
      <c r="C210" s="190" t="s">
        <v>543</v>
      </c>
      <c r="D210" s="185"/>
      <c r="E210" s="178"/>
      <c r="F210" s="178"/>
    </row>
    <row r="211" spans="2:6" x14ac:dyDescent="0.45">
      <c r="B211" s="185" t="s">
        <v>788</v>
      </c>
      <c r="C211" s="178" t="s">
        <v>698</v>
      </c>
      <c r="D211" s="185" t="s">
        <v>322</v>
      </c>
      <c r="E211" s="178" t="s">
        <v>542</v>
      </c>
      <c r="F211" s="178" t="s">
        <v>554</v>
      </c>
    </row>
    <row r="212" spans="2:6" x14ac:dyDescent="0.45">
      <c r="B212" s="185" t="s">
        <v>789</v>
      </c>
      <c r="C212" s="178" t="s">
        <v>895</v>
      </c>
      <c r="D212" s="185" t="s">
        <v>322</v>
      </c>
      <c r="E212" s="178" t="s">
        <v>896</v>
      </c>
      <c r="F212" s="178" t="s">
        <v>897</v>
      </c>
    </row>
    <row r="213" spans="2:6" x14ac:dyDescent="0.45">
      <c r="B213" s="182">
        <v>20</v>
      </c>
      <c r="C213" s="183" t="s">
        <v>898</v>
      </c>
      <c r="D213" s="184"/>
      <c r="E213" s="184"/>
      <c r="F213" s="184"/>
    </row>
    <row r="214" spans="2:6" x14ac:dyDescent="0.45">
      <c r="B214" s="185" t="s">
        <v>593</v>
      </c>
      <c r="C214" s="190" t="s">
        <v>899</v>
      </c>
      <c r="D214" s="185"/>
      <c r="E214" s="178"/>
      <c r="F214" s="178"/>
    </row>
    <row r="215" spans="2:6" x14ac:dyDescent="0.45">
      <c r="B215" s="185" t="s">
        <v>788</v>
      </c>
      <c r="C215" s="178" t="s">
        <v>676</v>
      </c>
      <c r="D215" s="185" t="s">
        <v>322</v>
      </c>
      <c r="E215" s="178"/>
      <c r="F215" s="178"/>
    </row>
    <row r="216" spans="2:6" x14ac:dyDescent="0.45">
      <c r="B216" s="185" t="s">
        <v>789</v>
      </c>
      <c r="C216" s="178" t="s">
        <v>679</v>
      </c>
      <c r="D216" s="185" t="s">
        <v>322</v>
      </c>
      <c r="E216" s="178"/>
      <c r="F216" s="178"/>
    </row>
    <row r="217" spans="2:6" x14ac:dyDescent="0.45">
      <c r="B217" s="185" t="s">
        <v>791</v>
      </c>
      <c r="C217" s="178" t="s">
        <v>708</v>
      </c>
      <c r="D217" s="185" t="s">
        <v>322</v>
      </c>
      <c r="E217" s="178"/>
      <c r="F217" s="178"/>
    </row>
    <row r="218" spans="2:6" x14ac:dyDescent="0.45">
      <c r="B218" s="185" t="s">
        <v>596</v>
      </c>
      <c r="C218" s="190" t="s">
        <v>900</v>
      </c>
      <c r="D218" s="185"/>
      <c r="E218" s="178"/>
      <c r="F218" s="178"/>
    </row>
    <row r="219" spans="2:6" x14ac:dyDescent="0.45">
      <c r="B219" s="185" t="s">
        <v>788</v>
      </c>
      <c r="C219" s="178" t="s">
        <v>901</v>
      </c>
      <c r="D219" s="185" t="s">
        <v>322</v>
      </c>
      <c r="E219" s="178"/>
      <c r="F219" s="178"/>
    </row>
    <row r="220" spans="2:6" x14ac:dyDescent="0.45">
      <c r="B220" s="185" t="s">
        <v>789</v>
      </c>
      <c r="C220" s="178" t="s">
        <v>676</v>
      </c>
      <c r="D220" s="185" t="s">
        <v>322</v>
      </c>
      <c r="E220" s="178"/>
      <c r="F220" s="178"/>
    </row>
  </sheetData>
  <mergeCells count="10">
    <mergeCell ref="D61:D66"/>
    <mergeCell ref="D88:D96"/>
    <mergeCell ref="D165:D177"/>
    <mergeCell ref="B2:F2"/>
    <mergeCell ref="B3:C3"/>
    <mergeCell ref="D3:F3"/>
    <mergeCell ref="B4:C4"/>
    <mergeCell ref="D4:F4"/>
    <mergeCell ref="B5:C5"/>
    <mergeCell ref="D5:F5"/>
  </mergeCells>
  <printOptions horizontalCentered="1"/>
  <pageMargins left="0.31496062992125984" right="0.31496062992125984" top="0.35433070866141736" bottom="0.35433070866141736" header="0.31496062992125984" footer="0.31496062992125984"/>
  <pageSetup paperSize="9" scale="84" fitToHeight="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5C8D4-34E9-4025-92B7-44B1481B33C0}">
  <sheetPr>
    <tabColor rgb="FFFFFF00"/>
  </sheetPr>
  <dimension ref="A1:X132"/>
  <sheetViews>
    <sheetView topLeftCell="A35" zoomScale="87" zoomScaleNormal="61" workbookViewId="0">
      <selection activeCell="S42" sqref="S42"/>
    </sheetView>
  </sheetViews>
  <sheetFormatPr defaultRowHeight="14.25" x14ac:dyDescent="0.45"/>
  <cols>
    <col min="1" max="1" width="28" customWidth="1"/>
    <col min="2" max="2" width="14.3984375" customWidth="1"/>
    <col min="3" max="3" width="5.3984375" bestFit="1" customWidth="1"/>
    <col min="4" max="4" width="10.3984375" customWidth="1"/>
    <col min="5" max="5" width="22.19921875" bestFit="1" customWidth="1"/>
    <col min="6" max="6" width="15.86328125" customWidth="1"/>
    <col min="7" max="7" width="22" customWidth="1"/>
    <col min="8" max="8" width="10.1328125" customWidth="1"/>
    <col min="9" max="9" width="20.59765625" customWidth="1"/>
    <col min="10" max="10" width="16.265625" customWidth="1"/>
    <col min="11" max="11" width="11.86328125" customWidth="1"/>
    <col min="12" max="12" width="13.1328125" customWidth="1"/>
    <col min="13" max="13" width="14.59765625" customWidth="1"/>
    <col min="14" max="14" width="12.265625" customWidth="1"/>
    <col min="15" max="15" width="18.3984375" customWidth="1"/>
    <col min="16" max="16" width="13.59765625" customWidth="1"/>
    <col min="17" max="17" width="11" customWidth="1"/>
    <col min="18" max="19" width="15.86328125" customWidth="1"/>
    <col min="20" max="20" width="12.73046875" bestFit="1" customWidth="1"/>
    <col min="21" max="21" width="11.73046875" customWidth="1"/>
    <col min="23" max="23" width="17.73046875" customWidth="1"/>
    <col min="24" max="24" width="11.3984375" customWidth="1"/>
  </cols>
  <sheetData>
    <row r="1" spans="1:24" ht="18" x14ac:dyDescent="0.55000000000000004">
      <c r="A1" s="520" t="s">
        <v>0</v>
      </c>
      <c r="B1" s="520" t="s">
        <v>1</v>
      </c>
      <c r="C1" s="520" t="s">
        <v>2</v>
      </c>
      <c r="D1" s="592" t="s">
        <v>902</v>
      </c>
      <c r="E1" s="592"/>
      <c r="R1" s="591" t="s">
        <v>903</v>
      </c>
      <c r="S1" s="591"/>
      <c r="T1" s="591" t="s">
        <v>904</v>
      </c>
      <c r="U1" s="591"/>
      <c r="W1" t="s">
        <v>905</v>
      </c>
    </row>
    <row r="2" spans="1:24" x14ac:dyDescent="0.45">
      <c r="A2" s="520"/>
      <c r="B2" s="520"/>
      <c r="C2" s="520"/>
      <c r="D2" s="488" t="s">
        <v>5</v>
      </c>
      <c r="E2" s="488" t="s">
        <v>6</v>
      </c>
      <c r="F2" s="488" t="s">
        <v>906</v>
      </c>
      <c r="G2" s="488" t="s">
        <v>907</v>
      </c>
      <c r="H2" s="488" t="s">
        <v>908</v>
      </c>
      <c r="I2" s="488" t="s">
        <v>909</v>
      </c>
      <c r="J2" s="488" t="s">
        <v>910</v>
      </c>
      <c r="K2" s="488" t="s">
        <v>911</v>
      </c>
      <c r="L2" s="488" t="s">
        <v>912</v>
      </c>
      <c r="M2" s="488" t="s">
        <v>913</v>
      </c>
      <c r="N2" s="488" t="s">
        <v>914</v>
      </c>
      <c r="O2" s="488" t="s">
        <v>94</v>
      </c>
      <c r="P2" s="9" t="s">
        <v>915</v>
      </c>
      <c r="Q2" s="9" t="s">
        <v>129</v>
      </c>
      <c r="R2" s="9" t="s">
        <v>916</v>
      </c>
      <c r="S2" s="9" t="s">
        <v>917</v>
      </c>
      <c r="T2" s="9" t="s">
        <v>916</v>
      </c>
      <c r="U2" s="9" t="s">
        <v>917</v>
      </c>
      <c r="W2" s="25" t="s">
        <v>918</v>
      </c>
      <c r="X2" s="25" t="s">
        <v>919</v>
      </c>
    </row>
    <row r="3" spans="1:24" x14ac:dyDescent="0.45">
      <c r="A3" s="490" t="s">
        <v>11</v>
      </c>
      <c r="B3" s="479">
        <v>1</v>
      </c>
      <c r="C3" s="45" t="s">
        <v>12</v>
      </c>
      <c r="D3" s="479">
        <v>3472</v>
      </c>
      <c r="E3" s="2">
        <f t="shared" ref="E3:E19" si="0">D3/4047</f>
        <v>0.85791944650358287</v>
      </c>
      <c r="F3" s="5">
        <v>52</v>
      </c>
      <c r="G3" s="6">
        <v>32</v>
      </c>
      <c r="H3" s="6">
        <v>52</v>
      </c>
      <c r="I3" s="6">
        <v>24</v>
      </c>
      <c r="J3" s="1">
        <f>(I3+H3-4)/8</f>
        <v>9</v>
      </c>
      <c r="K3" s="4">
        <f t="shared" ref="K3:K19" si="1">F3*H3+G3*I3</f>
        <v>3472</v>
      </c>
      <c r="L3" s="1" t="str">
        <f>IF(F3&gt;52,"Yes", "No")</f>
        <v>No</v>
      </c>
      <c r="M3" s="4">
        <f>IF(F3&gt;52,4*(H3+I3-4), 0)</f>
        <v>0</v>
      </c>
      <c r="N3" s="4">
        <f t="shared" ref="N3:N19" si="2">4*IF(F3&gt;G3,F3,G3)+4*(H3+I3-4)</f>
        <v>496</v>
      </c>
      <c r="O3" s="4">
        <f>K3-N3-M3</f>
        <v>2976</v>
      </c>
      <c r="P3" s="1">
        <v>3.125</v>
      </c>
      <c r="Q3" s="11">
        <f>O3*P3</f>
        <v>9300</v>
      </c>
      <c r="R3" s="12">
        <v>12</v>
      </c>
      <c r="S3" s="12">
        <v>12</v>
      </c>
      <c r="T3" s="21">
        <f>R3*O3</f>
        <v>35712</v>
      </c>
      <c r="U3" s="21">
        <f>S3*O3</f>
        <v>35712</v>
      </c>
      <c r="W3" s="1">
        <f>IF(L3="yes",F3-8,F3-4)</f>
        <v>48</v>
      </c>
      <c r="X3" s="11">
        <f>IF(G3&gt;0,(IF(L3="Yes", G3-8,G3-4)), 0)</f>
        <v>28</v>
      </c>
    </row>
    <row r="4" spans="1:24" x14ac:dyDescent="0.45">
      <c r="A4" s="490" t="s">
        <v>11</v>
      </c>
      <c r="B4" s="479">
        <v>2</v>
      </c>
      <c r="C4" s="479" t="s">
        <v>14</v>
      </c>
      <c r="D4" s="479">
        <v>10000</v>
      </c>
      <c r="E4" s="2">
        <f t="shared" si="0"/>
        <v>2.4709661477637757</v>
      </c>
      <c r="F4" s="5">
        <v>100</v>
      </c>
      <c r="G4" s="5">
        <v>0</v>
      </c>
      <c r="H4" s="5">
        <v>100</v>
      </c>
      <c r="I4" s="5">
        <v>0</v>
      </c>
      <c r="J4" s="1">
        <f t="shared" ref="J4:J19" si="3">(I4+H4-4)/8</f>
        <v>12</v>
      </c>
      <c r="K4" s="4">
        <f t="shared" si="1"/>
        <v>10000</v>
      </c>
      <c r="L4" s="1" t="str">
        <f t="shared" ref="L4:L19" si="4">IF(F4&gt;52,"Yes", "No")</f>
        <v>Yes</v>
      </c>
      <c r="M4" s="4">
        <f t="shared" ref="M4:M19" si="5">IF(F4&gt;52,4*(H4+I4-4), 0)</f>
        <v>384</v>
      </c>
      <c r="N4" s="4">
        <f t="shared" si="2"/>
        <v>784</v>
      </c>
      <c r="O4" s="4">
        <f>K4-N4-M4</f>
        <v>8832</v>
      </c>
      <c r="P4" s="1">
        <v>3.125</v>
      </c>
      <c r="Q4" s="11">
        <f t="shared" ref="Q4:Q19" si="6">O4*P4</f>
        <v>27600</v>
      </c>
      <c r="R4" s="12">
        <v>12</v>
      </c>
      <c r="S4" s="12">
        <v>12</v>
      </c>
      <c r="T4" s="21">
        <f t="shared" ref="T4:T19" si="7">R4*O4</f>
        <v>105984</v>
      </c>
      <c r="U4" s="21">
        <f t="shared" ref="U4:U19" si="8">S4*O4</f>
        <v>105984</v>
      </c>
      <c r="W4" s="1">
        <f t="shared" ref="W4:W19" si="9">IF(L4="yes",F4-8,F4-4)</f>
        <v>92</v>
      </c>
      <c r="X4" s="11">
        <f t="shared" ref="X4:X19" si="10">IF(G4&gt;0,(IF(L4="Yes", G4-8,G4-4)), 0)</f>
        <v>0</v>
      </c>
    </row>
    <row r="5" spans="1:24" x14ac:dyDescent="0.45">
      <c r="A5" s="490" t="s">
        <v>11</v>
      </c>
      <c r="B5" s="479">
        <v>3</v>
      </c>
      <c r="C5" s="45" t="s">
        <v>16</v>
      </c>
      <c r="D5" s="479">
        <v>3952</v>
      </c>
      <c r="E5" s="2">
        <f t="shared" si="0"/>
        <v>0.97652582159624413</v>
      </c>
      <c r="F5" s="5">
        <v>52</v>
      </c>
      <c r="G5" s="5">
        <v>0</v>
      </c>
      <c r="H5" s="5">
        <v>76</v>
      </c>
      <c r="I5" s="5">
        <v>0</v>
      </c>
      <c r="J5" s="1">
        <f t="shared" si="3"/>
        <v>9</v>
      </c>
      <c r="K5" s="4">
        <f t="shared" si="1"/>
        <v>3952</v>
      </c>
      <c r="L5" s="1" t="str">
        <f t="shared" si="4"/>
        <v>No</v>
      </c>
      <c r="M5" s="4">
        <f t="shared" si="5"/>
        <v>0</v>
      </c>
      <c r="N5" s="4">
        <f t="shared" si="2"/>
        <v>496</v>
      </c>
      <c r="O5" s="4">
        <f t="shared" ref="O5:O18" si="11">K5-N5-M5</f>
        <v>3456</v>
      </c>
      <c r="P5" s="1">
        <v>3.125</v>
      </c>
      <c r="Q5" s="11">
        <f t="shared" si="6"/>
        <v>10800</v>
      </c>
      <c r="R5" s="12">
        <v>12</v>
      </c>
      <c r="S5" s="12">
        <v>12</v>
      </c>
      <c r="T5" s="21">
        <f t="shared" si="7"/>
        <v>41472</v>
      </c>
      <c r="U5" s="21">
        <f t="shared" si="8"/>
        <v>41472</v>
      </c>
      <c r="W5" s="1">
        <f t="shared" si="9"/>
        <v>48</v>
      </c>
      <c r="X5" s="11">
        <f t="shared" si="10"/>
        <v>0</v>
      </c>
    </row>
    <row r="6" spans="1:24" x14ac:dyDescent="0.45">
      <c r="A6" s="490" t="s">
        <v>11</v>
      </c>
      <c r="B6" s="479">
        <v>4</v>
      </c>
      <c r="C6" s="479" t="s">
        <v>18</v>
      </c>
      <c r="D6" s="479">
        <v>10000</v>
      </c>
      <c r="E6" s="2">
        <f t="shared" si="0"/>
        <v>2.4709661477637757</v>
      </c>
      <c r="F6" s="5">
        <v>100</v>
      </c>
      <c r="G6" s="5">
        <v>0</v>
      </c>
      <c r="H6" s="5">
        <v>100</v>
      </c>
      <c r="I6" s="5">
        <v>0</v>
      </c>
      <c r="J6" s="1">
        <f t="shared" si="3"/>
        <v>12</v>
      </c>
      <c r="K6" s="4">
        <f t="shared" si="1"/>
        <v>10000</v>
      </c>
      <c r="L6" s="1" t="str">
        <f t="shared" si="4"/>
        <v>Yes</v>
      </c>
      <c r="M6" s="4">
        <f t="shared" si="5"/>
        <v>384</v>
      </c>
      <c r="N6" s="4">
        <f t="shared" si="2"/>
        <v>784</v>
      </c>
      <c r="O6" s="4">
        <f t="shared" si="11"/>
        <v>8832</v>
      </c>
      <c r="P6" s="1">
        <v>3.125</v>
      </c>
      <c r="Q6" s="11">
        <f t="shared" si="6"/>
        <v>27600</v>
      </c>
      <c r="R6" s="12">
        <v>12</v>
      </c>
      <c r="S6" s="12">
        <v>12</v>
      </c>
      <c r="T6" s="21">
        <f t="shared" si="7"/>
        <v>105984</v>
      </c>
      <c r="U6" s="21">
        <f t="shared" si="8"/>
        <v>105984</v>
      </c>
      <c r="W6" s="1">
        <f t="shared" si="9"/>
        <v>92</v>
      </c>
      <c r="X6" s="11">
        <f t="shared" si="10"/>
        <v>0</v>
      </c>
    </row>
    <row r="7" spans="1:24" x14ac:dyDescent="0.45">
      <c r="A7" s="490" t="s">
        <v>11</v>
      </c>
      <c r="B7" s="479">
        <v>5</v>
      </c>
      <c r="C7" s="479" t="s">
        <v>20</v>
      </c>
      <c r="D7" s="479">
        <v>9600</v>
      </c>
      <c r="E7" s="2">
        <f t="shared" si="0"/>
        <v>2.3721275018532246</v>
      </c>
      <c r="F7" s="5">
        <v>96</v>
      </c>
      <c r="G7" s="5">
        <v>0</v>
      </c>
      <c r="H7" s="5">
        <v>100</v>
      </c>
      <c r="I7" s="5">
        <v>0</v>
      </c>
      <c r="J7" s="1">
        <f t="shared" si="3"/>
        <v>12</v>
      </c>
      <c r="K7" s="4">
        <f t="shared" si="1"/>
        <v>9600</v>
      </c>
      <c r="L7" s="1" t="str">
        <f t="shared" si="4"/>
        <v>Yes</v>
      </c>
      <c r="M7" s="4">
        <f t="shared" si="5"/>
        <v>384</v>
      </c>
      <c r="N7" s="4">
        <f t="shared" si="2"/>
        <v>768</v>
      </c>
      <c r="O7" s="4">
        <f t="shared" si="11"/>
        <v>8448</v>
      </c>
      <c r="P7" s="1">
        <v>3.125</v>
      </c>
      <c r="Q7" s="11">
        <f t="shared" si="6"/>
        <v>26400</v>
      </c>
      <c r="R7" s="12">
        <v>12</v>
      </c>
      <c r="S7" s="12">
        <v>12</v>
      </c>
      <c r="T7" s="21">
        <f t="shared" si="7"/>
        <v>101376</v>
      </c>
      <c r="U7" s="21">
        <f t="shared" si="8"/>
        <v>101376</v>
      </c>
      <c r="W7" s="1">
        <f t="shared" si="9"/>
        <v>88</v>
      </c>
      <c r="X7" s="11">
        <f t="shared" si="10"/>
        <v>0</v>
      </c>
    </row>
    <row r="8" spans="1:24" x14ac:dyDescent="0.45">
      <c r="A8" s="490" t="s">
        <v>11</v>
      </c>
      <c r="B8" s="479">
        <v>6</v>
      </c>
      <c r="C8" s="479" t="s">
        <v>22</v>
      </c>
      <c r="D8" s="479">
        <v>4160</v>
      </c>
      <c r="E8" s="2">
        <f t="shared" si="0"/>
        <v>1.0279219174697307</v>
      </c>
      <c r="F8" s="5">
        <v>80</v>
      </c>
      <c r="G8" s="5">
        <v>0</v>
      </c>
      <c r="H8" s="5">
        <v>52</v>
      </c>
      <c r="I8" s="5">
        <v>0</v>
      </c>
      <c r="J8" s="1">
        <f t="shared" si="3"/>
        <v>6</v>
      </c>
      <c r="K8" s="4">
        <f t="shared" si="1"/>
        <v>4160</v>
      </c>
      <c r="L8" s="1" t="str">
        <f t="shared" si="4"/>
        <v>Yes</v>
      </c>
      <c r="M8" s="4">
        <f t="shared" si="5"/>
        <v>192</v>
      </c>
      <c r="N8" s="4">
        <f t="shared" si="2"/>
        <v>512</v>
      </c>
      <c r="O8" s="4">
        <f t="shared" si="11"/>
        <v>3456</v>
      </c>
      <c r="P8" s="1">
        <v>3.125</v>
      </c>
      <c r="Q8" s="11">
        <f t="shared" si="6"/>
        <v>10800</v>
      </c>
      <c r="R8" s="12">
        <v>12</v>
      </c>
      <c r="S8" s="12">
        <v>12</v>
      </c>
      <c r="T8" s="21">
        <f t="shared" si="7"/>
        <v>41472</v>
      </c>
      <c r="U8" s="21">
        <f t="shared" si="8"/>
        <v>41472</v>
      </c>
      <c r="W8" s="1">
        <f t="shared" si="9"/>
        <v>72</v>
      </c>
      <c r="X8" s="11">
        <f t="shared" si="10"/>
        <v>0</v>
      </c>
    </row>
    <row r="9" spans="1:24" x14ac:dyDescent="0.45">
      <c r="A9" s="490" t="s">
        <v>11</v>
      </c>
      <c r="B9" s="479">
        <v>7</v>
      </c>
      <c r="C9" s="479" t="s">
        <v>24</v>
      </c>
      <c r="D9" s="479">
        <v>8400</v>
      </c>
      <c r="E9" s="2">
        <f t="shared" si="0"/>
        <v>2.0756115641215716</v>
      </c>
      <c r="F9" s="5">
        <v>100</v>
      </c>
      <c r="G9" s="5">
        <v>0</v>
      </c>
      <c r="H9" s="5">
        <v>84</v>
      </c>
      <c r="I9" s="7">
        <v>0</v>
      </c>
      <c r="J9" s="1">
        <f t="shared" si="3"/>
        <v>10</v>
      </c>
      <c r="K9" s="4">
        <f t="shared" si="1"/>
        <v>8400</v>
      </c>
      <c r="L9" s="1" t="str">
        <f t="shared" si="4"/>
        <v>Yes</v>
      </c>
      <c r="M9" s="4">
        <f t="shared" si="5"/>
        <v>320</v>
      </c>
      <c r="N9" s="4">
        <f t="shared" si="2"/>
        <v>720</v>
      </c>
      <c r="O9" s="4">
        <f t="shared" si="11"/>
        <v>7360</v>
      </c>
      <c r="P9" s="1">
        <v>3.125</v>
      </c>
      <c r="Q9" s="11">
        <f t="shared" si="6"/>
        <v>23000</v>
      </c>
      <c r="R9" s="12">
        <v>12</v>
      </c>
      <c r="S9" s="12">
        <v>12</v>
      </c>
      <c r="T9" s="21">
        <f t="shared" si="7"/>
        <v>88320</v>
      </c>
      <c r="U9" s="21">
        <f t="shared" si="8"/>
        <v>88320</v>
      </c>
      <c r="W9" s="1">
        <f t="shared" si="9"/>
        <v>92</v>
      </c>
      <c r="X9" s="11">
        <f t="shared" si="10"/>
        <v>0</v>
      </c>
    </row>
    <row r="10" spans="1:24" x14ac:dyDescent="0.45">
      <c r="A10" s="490" t="s">
        <v>26</v>
      </c>
      <c r="B10" s="479">
        <v>8</v>
      </c>
      <c r="C10" s="479" t="s">
        <v>27</v>
      </c>
      <c r="D10" s="479">
        <v>6000</v>
      </c>
      <c r="E10" s="2">
        <f t="shared" si="0"/>
        <v>1.4825796886582654</v>
      </c>
      <c r="F10" s="5">
        <v>100</v>
      </c>
      <c r="G10" s="5">
        <v>0</v>
      </c>
      <c r="H10" s="5">
        <v>60</v>
      </c>
      <c r="I10" s="5">
        <v>0</v>
      </c>
      <c r="J10" s="1">
        <f t="shared" si="3"/>
        <v>7</v>
      </c>
      <c r="K10" s="4">
        <f t="shared" si="1"/>
        <v>6000</v>
      </c>
      <c r="L10" s="1" t="str">
        <f t="shared" si="4"/>
        <v>Yes</v>
      </c>
      <c r="M10" s="4">
        <f t="shared" si="5"/>
        <v>224</v>
      </c>
      <c r="N10" s="4">
        <f t="shared" si="2"/>
        <v>624</v>
      </c>
      <c r="O10" s="4">
        <f t="shared" si="11"/>
        <v>5152</v>
      </c>
      <c r="P10" s="1">
        <v>3.125</v>
      </c>
      <c r="Q10" s="11">
        <f t="shared" si="6"/>
        <v>16100</v>
      </c>
      <c r="R10" s="12">
        <v>12</v>
      </c>
      <c r="S10" s="12">
        <v>12</v>
      </c>
      <c r="T10" s="21">
        <f t="shared" si="7"/>
        <v>61824</v>
      </c>
      <c r="U10" s="21">
        <f t="shared" si="8"/>
        <v>61824</v>
      </c>
      <c r="W10" s="1">
        <f t="shared" si="9"/>
        <v>92</v>
      </c>
      <c r="X10" s="11">
        <f t="shared" si="10"/>
        <v>0</v>
      </c>
    </row>
    <row r="11" spans="1:24" x14ac:dyDescent="0.45">
      <c r="A11" s="490" t="s">
        <v>26</v>
      </c>
      <c r="B11" s="479">
        <v>9</v>
      </c>
      <c r="C11" s="479" t="s">
        <v>29</v>
      </c>
      <c r="D11" s="479">
        <v>4320</v>
      </c>
      <c r="E11" s="2">
        <f t="shared" si="0"/>
        <v>1.0674573758339512</v>
      </c>
      <c r="F11" s="5">
        <v>72</v>
      </c>
      <c r="G11" s="5">
        <v>0</v>
      </c>
      <c r="H11" s="5">
        <v>60</v>
      </c>
      <c r="I11" s="5">
        <v>0</v>
      </c>
      <c r="J11" s="1">
        <f t="shared" si="3"/>
        <v>7</v>
      </c>
      <c r="K11" s="4">
        <f t="shared" si="1"/>
        <v>4320</v>
      </c>
      <c r="L11" s="1" t="str">
        <f t="shared" si="4"/>
        <v>Yes</v>
      </c>
      <c r="M11" s="4">
        <f t="shared" si="5"/>
        <v>224</v>
      </c>
      <c r="N11" s="4">
        <f t="shared" si="2"/>
        <v>512</v>
      </c>
      <c r="O11" s="4">
        <f t="shared" si="11"/>
        <v>3584</v>
      </c>
      <c r="P11" s="1">
        <v>3.125</v>
      </c>
      <c r="Q11" s="11">
        <f t="shared" si="6"/>
        <v>11200</v>
      </c>
      <c r="R11" s="12">
        <v>12</v>
      </c>
      <c r="S11" s="12">
        <v>12</v>
      </c>
      <c r="T11" s="21">
        <f t="shared" si="7"/>
        <v>43008</v>
      </c>
      <c r="U11" s="21">
        <f t="shared" si="8"/>
        <v>43008</v>
      </c>
      <c r="W11" s="1">
        <f t="shared" si="9"/>
        <v>64</v>
      </c>
      <c r="X11" s="11">
        <f t="shared" si="10"/>
        <v>0</v>
      </c>
    </row>
    <row r="12" spans="1:24" x14ac:dyDescent="0.45">
      <c r="A12" s="490" t="s">
        <v>26</v>
      </c>
      <c r="B12" s="479">
        <v>10</v>
      </c>
      <c r="C12" s="45" t="s">
        <v>31</v>
      </c>
      <c r="D12" s="479">
        <v>3952</v>
      </c>
      <c r="E12" s="2">
        <f t="shared" si="0"/>
        <v>0.97652582159624413</v>
      </c>
      <c r="F12" s="5">
        <v>52</v>
      </c>
      <c r="G12" s="5">
        <v>0</v>
      </c>
      <c r="H12" s="5">
        <v>76</v>
      </c>
      <c r="I12" s="5">
        <v>0</v>
      </c>
      <c r="J12" s="1">
        <f t="shared" si="3"/>
        <v>9</v>
      </c>
      <c r="K12" s="4">
        <f t="shared" si="1"/>
        <v>3952</v>
      </c>
      <c r="L12" s="1" t="str">
        <f t="shared" si="4"/>
        <v>No</v>
      </c>
      <c r="M12" s="4">
        <f t="shared" si="5"/>
        <v>0</v>
      </c>
      <c r="N12" s="4">
        <f t="shared" si="2"/>
        <v>496</v>
      </c>
      <c r="O12" s="4">
        <f t="shared" si="11"/>
        <v>3456</v>
      </c>
      <c r="P12" s="1">
        <v>3.125</v>
      </c>
      <c r="Q12" s="11">
        <f t="shared" si="6"/>
        <v>10800</v>
      </c>
      <c r="R12" s="12">
        <v>12</v>
      </c>
      <c r="S12" s="12">
        <v>12</v>
      </c>
      <c r="T12" s="21">
        <f t="shared" si="7"/>
        <v>41472</v>
      </c>
      <c r="U12" s="21">
        <f t="shared" si="8"/>
        <v>41472</v>
      </c>
      <c r="W12" s="1">
        <f t="shared" si="9"/>
        <v>48</v>
      </c>
      <c r="X12" s="11">
        <f t="shared" si="10"/>
        <v>0</v>
      </c>
    </row>
    <row r="13" spans="1:24" x14ac:dyDescent="0.45">
      <c r="A13" s="490" t="s">
        <v>26</v>
      </c>
      <c r="B13" s="479">
        <v>11</v>
      </c>
      <c r="C13" s="45" t="s">
        <v>33</v>
      </c>
      <c r="D13" s="479">
        <v>3312</v>
      </c>
      <c r="E13" s="2">
        <f t="shared" si="0"/>
        <v>0.81838398813936253</v>
      </c>
      <c r="F13" s="5">
        <v>36</v>
      </c>
      <c r="G13" s="5">
        <v>0</v>
      </c>
      <c r="H13" s="5">
        <v>92</v>
      </c>
      <c r="I13" s="5">
        <v>0</v>
      </c>
      <c r="J13" s="1">
        <f t="shared" si="3"/>
        <v>11</v>
      </c>
      <c r="K13" s="4">
        <f t="shared" si="1"/>
        <v>3312</v>
      </c>
      <c r="L13" s="1" t="str">
        <f t="shared" si="4"/>
        <v>No</v>
      </c>
      <c r="M13" s="4">
        <f t="shared" si="5"/>
        <v>0</v>
      </c>
      <c r="N13" s="4">
        <f t="shared" si="2"/>
        <v>496</v>
      </c>
      <c r="O13" s="4">
        <f t="shared" si="11"/>
        <v>2816</v>
      </c>
      <c r="P13" s="1">
        <v>3.125</v>
      </c>
      <c r="Q13" s="11">
        <f t="shared" si="6"/>
        <v>8800</v>
      </c>
      <c r="R13" s="12">
        <v>12</v>
      </c>
      <c r="S13" s="12">
        <v>12</v>
      </c>
      <c r="T13" s="21">
        <f t="shared" si="7"/>
        <v>33792</v>
      </c>
      <c r="U13" s="21">
        <f t="shared" si="8"/>
        <v>33792</v>
      </c>
      <c r="W13" s="1">
        <f t="shared" si="9"/>
        <v>32</v>
      </c>
      <c r="X13" s="11">
        <f t="shared" si="10"/>
        <v>0</v>
      </c>
    </row>
    <row r="14" spans="1:24" x14ac:dyDescent="0.45">
      <c r="A14" s="490" t="s">
        <v>26</v>
      </c>
      <c r="B14" s="479">
        <v>12</v>
      </c>
      <c r="C14" s="479" t="s">
        <v>35</v>
      </c>
      <c r="D14" s="479">
        <v>7200</v>
      </c>
      <c r="E14" s="2">
        <f t="shared" si="0"/>
        <v>1.7790956263899185</v>
      </c>
      <c r="F14" s="5">
        <v>72</v>
      </c>
      <c r="G14" s="5">
        <v>0</v>
      </c>
      <c r="H14" s="5">
        <v>100</v>
      </c>
      <c r="I14" s="5">
        <v>0</v>
      </c>
      <c r="J14" s="1">
        <f t="shared" si="3"/>
        <v>12</v>
      </c>
      <c r="K14" s="4">
        <f t="shared" si="1"/>
        <v>7200</v>
      </c>
      <c r="L14" s="1" t="str">
        <f t="shared" si="4"/>
        <v>Yes</v>
      </c>
      <c r="M14" s="4">
        <f t="shared" si="5"/>
        <v>384</v>
      </c>
      <c r="N14" s="4">
        <f t="shared" si="2"/>
        <v>672</v>
      </c>
      <c r="O14" s="4">
        <f t="shared" si="11"/>
        <v>6144</v>
      </c>
      <c r="P14" s="1">
        <v>3.125</v>
      </c>
      <c r="Q14" s="11">
        <f t="shared" si="6"/>
        <v>19200</v>
      </c>
      <c r="R14" s="12">
        <v>12</v>
      </c>
      <c r="S14" s="12">
        <v>12</v>
      </c>
      <c r="T14" s="21">
        <f t="shared" si="7"/>
        <v>73728</v>
      </c>
      <c r="U14" s="21">
        <f t="shared" si="8"/>
        <v>73728</v>
      </c>
      <c r="W14" s="1">
        <f t="shared" si="9"/>
        <v>64</v>
      </c>
      <c r="X14" s="11">
        <f t="shared" si="10"/>
        <v>0</v>
      </c>
    </row>
    <row r="15" spans="1:24" x14ac:dyDescent="0.45">
      <c r="A15" s="490" t="s">
        <v>26</v>
      </c>
      <c r="B15" s="479">
        <v>13</v>
      </c>
      <c r="C15" s="45" t="s">
        <v>37</v>
      </c>
      <c r="D15" s="479">
        <v>2736</v>
      </c>
      <c r="E15" s="2">
        <f t="shared" si="0"/>
        <v>0.676056338028169</v>
      </c>
      <c r="F15" s="5">
        <v>36</v>
      </c>
      <c r="G15" s="5">
        <v>0</v>
      </c>
      <c r="H15" s="5">
        <v>76</v>
      </c>
      <c r="I15" s="5">
        <v>0</v>
      </c>
      <c r="J15" s="1">
        <f t="shared" si="3"/>
        <v>9</v>
      </c>
      <c r="K15" s="4">
        <f t="shared" si="1"/>
        <v>2736</v>
      </c>
      <c r="L15" s="1" t="str">
        <f t="shared" si="4"/>
        <v>No</v>
      </c>
      <c r="M15" s="4">
        <f t="shared" si="5"/>
        <v>0</v>
      </c>
      <c r="N15" s="4">
        <f t="shared" si="2"/>
        <v>432</v>
      </c>
      <c r="O15" s="4">
        <f t="shared" si="11"/>
        <v>2304</v>
      </c>
      <c r="P15" s="1">
        <v>3.125</v>
      </c>
      <c r="Q15" s="11">
        <f t="shared" si="6"/>
        <v>7200</v>
      </c>
      <c r="R15" s="12">
        <v>12</v>
      </c>
      <c r="S15" s="12">
        <v>12</v>
      </c>
      <c r="T15" s="21">
        <f t="shared" si="7"/>
        <v>27648</v>
      </c>
      <c r="U15" s="21">
        <f t="shared" si="8"/>
        <v>27648</v>
      </c>
      <c r="W15" s="1">
        <f t="shared" si="9"/>
        <v>32</v>
      </c>
      <c r="X15" s="11">
        <f t="shared" si="10"/>
        <v>0</v>
      </c>
    </row>
    <row r="16" spans="1:24" x14ac:dyDescent="0.45">
      <c r="A16" s="490" t="s">
        <v>26</v>
      </c>
      <c r="B16" s="479">
        <v>14</v>
      </c>
      <c r="C16" s="479" t="s">
        <v>39</v>
      </c>
      <c r="D16" s="479">
        <v>9200</v>
      </c>
      <c r="E16" s="2">
        <f t="shared" si="0"/>
        <v>2.2732888559426736</v>
      </c>
      <c r="F16" s="5">
        <v>92</v>
      </c>
      <c r="G16" s="5">
        <v>0</v>
      </c>
      <c r="H16" s="5">
        <v>100</v>
      </c>
      <c r="I16" s="5">
        <v>0</v>
      </c>
      <c r="J16" s="1">
        <f t="shared" si="3"/>
        <v>12</v>
      </c>
      <c r="K16" s="4">
        <f t="shared" si="1"/>
        <v>9200</v>
      </c>
      <c r="L16" s="1" t="str">
        <f t="shared" si="4"/>
        <v>Yes</v>
      </c>
      <c r="M16" s="4">
        <f t="shared" si="5"/>
        <v>384</v>
      </c>
      <c r="N16" s="4">
        <f t="shared" si="2"/>
        <v>752</v>
      </c>
      <c r="O16" s="4">
        <f t="shared" si="11"/>
        <v>8064</v>
      </c>
      <c r="P16" s="1">
        <v>3.125</v>
      </c>
      <c r="Q16" s="11">
        <f t="shared" si="6"/>
        <v>25200</v>
      </c>
      <c r="R16" s="12">
        <v>12</v>
      </c>
      <c r="S16" s="12">
        <v>12</v>
      </c>
      <c r="T16" s="21">
        <f t="shared" si="7"/>
        <v>96768</v>
      </c>
      <c r="U16" s="21">
        <f t="shared" si="8"/>
        <v>96768</v>
      </c>
      <c r="W16" s="1">
        <f t="shared" si="9"/>
        <v>84</v>
      </c>
      <c r="X16" s="11">
        <f t="shared" si="10"/>
        <v>0</v>
      </c>
    </row>
    <row r="17" spans="1:24" x14ac:dyDescent="0.45">
      <c r="A17" s="490" t="s">
        <v>26</v>
      </c>
      <c r="B17" s="479">
        <v>15</v>
      </c>
      <c r="C17" s="479" t="s">
        <v>42</v>
      </c>
      <c r="D17" s="479">
        <v>8400</v>
      </c>
      <c r="E17" s="2">
        <f t="shared" si="0"/>
        <v>2.0756115641215716</v>
      </c>
      <c r="F17" s="5">
        <v>84</v>
      </c>
      <c r="G17" s="5">
        <v>0</v>
      </c>
      <c r="H17" s="5">
        <v>100</v>
      </c>
      <c r="I17" s="5">
        <v>0</v>
      </c>
      <c r="J17" s="1">
        <f t="shared" si="3"/>
        <v>12</v>
      </c>
      <c r="K17" s="4">
        <f t="shared" si="1"/>
        <v>8400</v>
      </c>
      <c r="L17" s="1" t="str">
        <f t="shared" si="4"/>
        <v>Yes</v>
      </c>
      <c r="M17" s="4">
        <f t="shared" si="5"/>
        <v>384</v>
      </c>
      <c r="N17" s="4">
        <f t="shared" si="2"/>
        <v>720</v>
      </c>
      <c r="O17" s="4">
        <f t="shared" si="11"/>
        <v>7296</v>
      </c>
      <c r="P17" s="1">
        <v>3.125</v>
      </c>
      <c r="Q17" s="11">
        <f t="shared" si="6"/>
        <v>22800</v>
      </c>
      <c r="R17" s="12">
        <v>12</v>
      </c>
      <c r="S17" s="12">
        <v>12</v>
      </c>
      <c r="T17" s="21">
        <f t="shared" si="7"/>
        <v>87552</v>
      </c>
      <c r="U17" s="21">
        <f t="shared" si="8"/>
        <v>87552</v>
      </c>
      <c r="W17" s="1">
        <f t="shared" si="9"/>
        <v>76</v>
      </c>
      <c r="X17" s="11">
        <f t="shared" si="10"/>
        <v>0</v>
      </c>
    </row>
    <row r="18" spans="1:24" x14ac:dyDescent="0.45">
      <c r="A18" s="490" t="s">
        <v>920</v>
      </c>
      <c r="B18" s="479">
        <v>16</v>
      </c>
      <c r="C18" s="479" t="s">
        <v>295</v>
      </c>
      <c r="D18" s="479">
        <v>7712</v>
      </c>
      <c r="E18" s="2">
        <f t="shared" si="0"/>
        <v>1.9056090931554237</v>
      </c>
      <c r="F18" s="5">
        <v>88</v>
      </c>
      <c r="G18" s="5">
        <v>64</v>
      </c>
      <c r="H18" s="5">
        <v>76</v>
      </c>
      <c r="I18" s="5">
        <v>16</v>
      </c>
      <c r="J18" s="1">
        <f t="shared" si="3"/>
        <v>11</v>
      </c>
      <c r="K18" s="4">
        <f t="shared" si="1"/>
        <v>7712</v>
      </c>
      <c r="L18" s="1" t="str">
        <f t="shared" si="4"/>
        <v>Yes</v>
      </c>
      <c r="M18" s="4">
        <f t="shared" si="5"/>
        <v>352</v>
      </c>
      <c r="N18" s="4">
        <f t="shared" si="2"/>
        <v>704</v>
      </c>
      <c r="O18" s="4">
        <f t="shared" si="11"/>
        <v>6656</v>
      </c>
      <c r="P18" s="1">
        <v>3.125</v>
      </c>
      <c r="Q18" s="11">
        <f t="shared" si="6"/>
        <v>20800</v>
      </c>
      <c r="R18" s="12">
        <v>12</v>
      </c>
      <c r="S18" s="12">
        <v>12</v>
      </c>
      <c r="T18" s="21">
        <f t="shared" si="7"/>
        <v>79872</v>
      </c>
      <c r="U18" s="21">
        <f t="shared" si="8"/>
        <v>79872</v>
      </c>
      <c r="W18" s="1">
        <f t="shared" si="9"/>
        <v>80</v>
      </c>
      <c r="X18" s="11">
        <f t="shared" si="10"/>
        <v>56</v>
      </c>
    </row>
    <row r="19" spans="1:24" x14ac:dyDescent="0.45">
      <c r="A19" s="490" t="s">
        <v>920</v>
      </c>
      <c r="B19" s="479">
        <v>17</v>
      </c>
      <c r="C19" s="479" t="s">
        <v>921</v>
      </c>
      <c r="D19" s="479">
        <v>8400</v>
      </c>
      <c r="E19" s="2">
        <f t="shared" si="0"/>
        <v>2.0756115641215716</v>
      </c>
      <c r="F19" s="5">
        <v>100</v>
      </c>
      <c r="G19" s="5">
        <v>0</v>
      </c>
      <c r="H19" s="5">
        <v>84</v>
      </c>
      <c r="I19" s="5">
        <v>0</v>
      </c>
      <c r="J19" s="1">
        <f t="shared" si="3"/>
        <v>10</v>
      </c>
      <c r="K19" s="4">
        <f t="shared" si="1"/>
        <v>8400</v>
      </c>
      <c r="L19" s="1" t="str">
        <f t="shared" si="4"/>
        <v>Yes</v>
      </c>
      <c r="M19" s="4">
        <f t="shared" si="5"/>
        <v>320</v>
      </c>
      <c r="N19" s="4">
        <f t="shared" si="2"/>
        <v>720</v>
      </c>
      <c r="O19" s="4">
        <f>K19-N19-M19</f>
        <v>7360</v>
      </c>
      <c r="P19" s="1">
        <v>3.125</v>
      </c>
      <c r="Q19" s="11">
        <f t="shared" si="6"/>
        <v>23000</v>
      </c>
      <c r="R19" s="12">
        <v>12</v>
      </c>
      <c r="S19" s="12">
        <v>12</v>
      </c>
      <c r="T19" s="21">
        <f t="shared" si="7"/>
        <v>88320</v>
      </c>
      <c r="U19" s="21">
        <f t="shared" si="8"/>
        <v>88320</v>
      </c>
      <c r="W19" s="1">
        <f t="shared" si="9"/>
        <v>92</v>
      </c>
      <c r="X19" s="11">
        <f t="shared" si="10"/>
        <v>0</v>
      </c>
    </row>
    <row r="20" spans="1:24" x14ac:dyDescent="0.45">
      <c r="A20" s="521" t="s">
        <v>44</v>
      </c>
      <c r="B20" s="521"/>
      <c r="C20" s="521"/>
      <c r="D20" s="487">
        <f>SUM(D3:D19)</f>
        <v>110816</v>
      </c>
      <c r="E20" s="3">
        <f>SUM(E3:E19)</f>
        <v>27.382258463059056</v>
      </c>
      <c r="F20" s="1"/>
      <c r="G20" s="1"/>
      <c r="J20" s="42">
        <f>SUM(J3:J19)</f>
        <v>170</v>
      </c>
      <c r="K20" s="8">
        <f t="shared" ref="K20:O20" si="12">SUM(K3:K19)</f>
        <v>110816</v>
      </c>
      <c r="L20" s="8"/>
      <c r="M20" s="8">
        <f t="shared" si="12"/>
        <v>3936</v>
      </c>
      <c r="N20" s="8">
        <f t="shared" si="12"/>
        <v>10688</v>
      </c>
      <c r="O20" s="8">
        <f t="shared" si="12"/>
        <v>96192</v>
      </c>
      <c r="P20" s="8"/>
      <c r="Q20" s="10">
        <f>SUM(Q3:Q19)</f>
        <v>300600</v>
      </c>
      <c r="T20" s="22">
        <f t="shared" ref="T20:U20" si="13">SUM(T3:T19)</f>
        <v>1154304</v>
      </c>
      <c r="U20" s="22">
        <f t="shared" si="13"/>
        <v>1154304</v>
      </c>
      <c r="X20" s="10"/>
    </row>
    <row r="21" spans="1:24" x14ac:dyDescent="0.45">
      <c r="A21" s="521" t="s">
        <v>46</v>
      </c>
      <c r="B21" s="521"/>
      <c r="C21" s="521"/>
      <c r="D21" s="490">
        <v>170263</v>
      </c>
      <c r="E21" s="2">
        <f>D21/4047</f>
        <v>42.07141092167037</v>
      </c>
      <c r="F21" s="1"/>
      <c r="G21" s="1"/>
    </row>
    <row r="22" spans="1:24" x14ac:dyDescent="0.45">
      <c r="A22" s="589" t="s">
        <v>48</v>
      </c>
      <c r="B22" s="589"/>
      <c r="C22" s="589"/>
      <c r="D22" s="590">
        <f>D20/D21*100</f>
        <v>65.085191732789866</v>
      </c>
      <c r="E22" s="590"/>
      <c r="F22" s="1"/>
      <c r="G22" s="1"/>
    </row>
    <row r="23" spans="1:24" x14ac:dyDescent="0.45">
      <c r="F23" s="1"/>
      <c r="G23" s="1"/>
    </row>
    <row r="26" spans="1:24" x14ac:dyDescent="0.45">
      <c r="A26" s="18" t="s">
        <v>922</v>
      </c>
    </row>
    <row r="27" spans="1:24" x14ac:dyDescent="0.45">
      <c r="A27" t="s">
        <v>923</v>
      </c>
      <c r="B27" s="58">
        <v>12</v>
      </c>
    </row>
    <row r="28" spans="1:24" x14ac:dyDescent="0.45">
      <c r="A28" t="s">
        <v>924</v>
      </c>
      <c r="B28" s="15">
        <f>B27*8+4</f>
        <v>100</v>
      </c>
    </row>
    <row r="29" spans="1:24" x14ac:dyDescent="0.45">
      <c r="A29" t="s">
        <v>925</v>
      </c>
      <c r="B29" s="59">
        <v>100</v>
      </c>
    </row>
    <row r="30" spans="1:24" x14ac:dyDescent="0.45">
      <c r="A30" t="s">
        <v>926</v>
      </c>
      <c r="B30" s="20">
        <f>B29*B28</f>
        <v>10000</v>
      </c>
    </row>
    <row r="31" spans="1:24" x14ac:dyDescent="0.45">
      <c r="A31" t="s">
        <v>94</v>
      </c>
      <c r="B31" s="20">
        <f>(B28-4)*(B29-4)</f>
        <v>9216</v>
      </c>
    </row>
    <row r="32" spans="1:24" x14ac:dyDescent="0.45">
      <c r="A32" t="s">
        <v>616</v>
      </c>
      <c r="B32" s="56">
        <v>5.5</v>
      </c>
      <c r="F32" t="s">
        <v>927</v>
      </c>
      <c r="G32" s="24" t="s">
        <v>928</v>
      </c>
    </row>
    <row r="33" spans="1:21" x14ac:dyDescent="0.45">
      <c r="A33" t="s">
        <v>621</v>
      </c>
      <c r="B33" s="56">
        <v>8</v>
      </c>
      <c r="F33" t="s">
        <v>929</v>
      </c>
      <c r="G33" s="24" t="s">
        <v>930</v>
      </c>
    </row>
    <row r="34" spans="1:21" x14ac:dyDescent="0.45">
      <c r="A34" t="s">
        <v>931</v>
      </c>
      <c r="B34" s="57">
        <v>14.32</v>
      </c>
    </row>
    <row r="35" spans="1:21" x14ac:dyDescent="0.45">
      <c r="A35" t="s">
        <v>932</v>
      </c>
      <c r="B35" s="16">
        <f>B32*B33</f>
        <v>44</v>
      </c>
    </row>
    <row r="36" spans="1:21" x14ac:dyDescent="0.45">
      <c r="A36" t="s">
        <v>933</v>
      </c>
      <c r="B36" s="16">
        <f>1/2*2*B32</f>
        <v>5.5</v>
      </c>
    </row>
    <row r="37" spans="1:21" x14ac:dyDescent="0.45">
      <c r="A37" t="s">
        <v>934</v>
      </c>
      <c r="B37" s="17">
        <f>B35*B27*(B29-4)+B34*B27*(B29-4)+2*B28*B36+2*B36*(B29-4)</f>
        <v>69340.639999999999</v>
      </c>
    </row>
    <row r="38" spans="1:21" x14ac:dyDescent="0.45">
      <c r="A38" t="s">
        <v>935</v>
      </c>
      <c r="B38" s="58">
        <v>0.4</v>
      </c>
    </row>
    <row r="40" spans="1:21" x14ac:dyDescent="0.45">
      <c r="A40" s="588" t="s">
        <v>936</v>
      </c>
      <c r="B40" s="588"/>
      <c r="C40" s="588"/>
      <c r="D40" s="588"/>
      <c r="E40" s="588"/>
      <c r="F40" s="588"/>
      <c r="G40" s="588"/>
      <c r="H40" s="588"/>
      <c r="I40" s="588"/>
      <c r="J40" s="588"/>
      <c r="K40" s="588"/>
      <c r="M40" s="588" t="s">
        <v>312</v>
      </c>
      <c r="N40" s="588"/>
      <c r="O40" s="588"/>
      <c r="P40" s="588"/>
      <c r="R40" s="588" t="s">
        <v>312</v>
      </c>
      <c r="S40" s="588"/>
      <c r="T40" s="588"/>
      <c r="U40" s="588"/>
    </row>
    <row r="41" spans="1:21" s="14" customFormat="1" ht="42.75" x14ac:dyDescent="0.45">
      <c r="A41" s="46" t="s">
        <v>937</v>
      </c>
      <c r="B41" s="46" t="s">
        <v>938</v>
      </c>
      <c r="C41" s="46" t="s">
        <v>939</v>
      </c>
      <c r="D41" s="46" t="s">
        <v>940</v>
      </c>
      <c r="E41" s="46" t="s">
        <v>941</v>
      </c>
      <c r="F41" s="46" t="s">
        <v>942</v>
      </c>
      <c r="G41" s="46" t="s">
        <v>943</v>
      </c>
      <c r="H41" s="46" t="s">
        <v>944</v>
      </c>
      <c r="I41" s="46" t="s">
        <v>945</v>
      </c>
      <c r="J41" s="46" t="s">
        <v>945</v>
      </c>
      <c r="K41" s="46" t="s">
        <v>946</v>
      </c>
      <c r="M41" s="47" t="s">
        <v>947</v>
      </c>
      <c r="N41" s="48" t="s">
        <v>948</v>
      </c>
      <c r="O41" s="48" t="s">
        <v>949</v>
      </c>
      <c r="P41" s="48" t="s">
        <v>950</v>
      </c>
      <c r="R41" s="47" t="s">
        <v>951</v>
      </c>
      <c r="S41" s="48" t="s">
        <v>948</v>
      </c>
      <c r="T41" s="48" t="s">
        <v>949</v>
      </c>
      <c r="U41" s="48" t="s">
        <v>950</v>
      </c>
    </row>
    <row r="42" spans="1:21" x14ac:dyDescent="0.45">
      <c r="A42" s="479" t="s">
        <v>952</v>
      </c>
      <c r="B42" s="479">
        <v>31</v>
      </c>
      <c r="C42" s="2">
        <v>36.91401759530789</v>
      </c>
      <c r="D42" s="2">
        <v>20.716891495601175</v>
      </c>
      <c r="E42" s="479">
        <v>6.64</v>
      </c>
      <c r="F42" s="479">
        <v>14</v>
      </c>
      <c r="G42" s="479">
        <v>9.6</v>
      </c>
      <c r="H42" s="479">
        <f>G42-E42</f>
        <v>2.96</v>
      </c>
      <c r="I42" s="19">
        <f>H42*$B$37*$B$38/1000*60</f>
        <v>4925.9590656</v>
      </c>
      <c r="J42" s="23">
        <f>I42*11</f>
        <v>54185.5497216</v>
      </c>
      <c r="K42" s="2">
        <f>J42/$B$31</f>
        <v>5.8795084333333332</v>
      </c>
      <c r="M42" s="19">
        <f>I59</f>
        <v>1697.4588672000007</v>
      </c>
      <c r="N42" s="2">
        <f>M42*11/$B$31</f>
        <v>2.0260468250000008</v>
      </c>
      <c r="O42" s="19">
        <f t="shared" ref="O42:O53" si="14">I42-M42</f>
        <v>3228.5001983999991</v>
      </c>
      <c r="P42" s="2">
        <f>O42*11/$B$31</f>
        <v>3.8534616083333324</v>
      </c>
      <c r="R42" s="19">
        <f>I76</f>
        <v>3361.6342272000011</v>
      </c>
      <c r="S42" s="2">
        <f>R42*11/$B$31</f>
        <v>4.0123672416666682</v>
      </c>
      <c r="T42" s="19">
        <f>I42-R42</f>
        <v>1564.324838399999</v>
      </c>
      <c r="U42" s="2">
        <f>T42*11/$B$31</f>
        <v>1.8671411916666654</v>
      </c>
    </row>
    <row r="43" spans="1:21" x14ac:dyDescent="0.45">
      <c r="A43" s="479" t="s">
        <v>953</v>
      </c>
      <c r="B43" s="479">
        <v>28</v>
      </c>
      <c r="C43" s="2">
        <v>23.965956112852659</v>
      </c>
      <c r="D43" s="2">
        <v>24.966677115987448</v>
      </c>
      <c r="E43" s="479">
        <v>5.52</v>
      </c>
      <c r="F43" s="479">
        <v>15</v>
      </c>
      <c r="G43" s="479">
        <v>10.199999999999999</v>
      </c>
      <c r="H43" s="479">
        <f t="shared" ref="H43:H53" si="15">G43-E43</f>
        <v>4.68</v>
      </c>
      <c r="I43" s="19">
        <f t="shared" ref="I43:I53" si="16">H43*$B$37*$B$38/1000*60</f>
        <v>7788.3406847999986</v>
      </c>
      <c r="J43" s="23">
        <f t="shared" ref="J43:J53" si="17">I43*11</f>
        <v>85671.747532799985</v>
      </c>
      <c r="K43" s="2">
        <f t="shared" ref="K43:K53" si="18">J43/$B$31</f>
        <v>9.2959795499999984</v>
      </c>
      <c r="M43" s="19">
        <f t="shared" ref="M43:M53" si="19">I60</f>
        <v>5158.9436159999996</v>
      </c>
      <c r="N43" s="2">
        <f t="shared" ref="N43:N53" si="20">M43*11/$B$31</f>
        <v>6.1575932916666662</v>
      </c>
      <c r="O43" s="19">
        <f t="shared" si="14"/>
        <v>2629.397068799999</v>
      </c>
      <c r="P43" s="2">
        <f t="shared" ref="P43:P53" si="21">O43*11/$B$31</f>
        <v>3.1383862583333322</v>
      </c>
      <c r="R43" s="19">
        <f t="shared" ref="R43:R53" si="22">I77</f>
        <v>6124.1653247999993</v>
      </c>
      <c r="S43" s="2">
        <f t="shared" ref="S43:S53" si="23">R43*11/$B$31</f>
        <v>7.3096591333333327</v>
      </c>
      <c r="T43" s="19">
        <f t="shared" ref="T43:T53" si="24">I43-R43</f>
        <v>1664.1753599999993</v>
      </c>
      <c r="U43" s="2">
        <f t="shared" ref="U43:U53" si="25">T43*11/$B$31</f>
        <v>1.9863204166666657</v>
      </c>
    </row>
    <row r="44" spans="1:21" x14ac:dyDescent="0.45">
      <c r="A44" s="479" t="s">
        <v>954</v>
      </c>
      <c r="B44" s="479">
        <v>31</v>
      </c>
      <c r="C44" s="2">
        <v>16.780879765395895</v>
      </c>
      <c r="D44" s="2">
        <v>31.364105571847475</v>
      </c>
      <c r="E44" s="479">
        <v>5.54</v>
      </c>
      <c r="F44" s="479">
        <v>17</v>
      </c>
      <c r="G44" s="479">
        <v>11.5</v>
      </c>
      <c r="H44" s="479">
        <f t="shared" si="15"/>
        <v>5.96</v>
      </c>
      <c r="I44" s="19">
        <f t="shared" si="16"/>
        <v>9918.4851456000015</v>
      </c>
      <c r="J44" s="23">
        <f t="shared" si="17"/>
        <v>109103.33660160002</v>
      </c>
      <c r="K44" s="2">
        <f t="shared" si="18"/>
        <v>11.838469683333336</v>
      </c>
      <c r="M44" s="19">
        <f t="shared" si="19"/>
        <v>6889.6859903999994</v>
      </c>
      <c r="N44" s="2">
        <f t="shared" si="20"/>
        <v>8.2233665249999994</v>
      </c>
      <c r="O44" s="19">
        <f t="shared" si="14"/>
        <v>3028.7991552000021</v>
      </c>
      <c r="P44" s="2">
        <f t="shared" si="21"/>
        <v>3.6151031583333357</v>
      </c>
      <c r="R44" s="19">
        <f t="shared" si="22"/>
        <v>8503.9360896000017</v>
      </c>
      <c r="S44" s="2">
        <f t="shared" si="23"/>
        <v>10.150097329166668</v>
      </c>
      <c r="T44" s="19">
        <f t="shared" si="24"/>
        <v>1414.5490559999998</v>
      </c>
      <c r="U44" s="2">
        <f t="shared" si="25"/>
        <v>1.6883723541666664</v>
      </c>
    </row>
    <row r="45" spans="1:21" x14ac:dyDescent="0.45">
      <c r="A45" s="479" t="s">
        <v>955</v>
      </c>
      <c r="B45" s="479">
        <v>30</v>
      </c>
      <c r="C45" s="2">
        <v>17.164424242424236</v>
      </c>
      <c r="D45" s="2">
        <v>36.61181818181818</v>
      </c>
      <c r="E45" s="479">
        <v>7.29</v>
      </c>
      <c r="F45" s="479">
        <v>21</v>
      </c>
      <c r="G45" s="479">
        <v>14.63</v>
      </c>
      <c r="H45" s="479">
        <f t="shared" si="15"/>
        <v>7.3400000000000007</v>
      </c>
      <c r="I45" s="19">
        <f t="shared" si="16"/>
        <v>12215.047142400001</v>
      </c>
      <c r="J45" s="23">
        <f t="shared" si="17"/>
        <v>134365.51856640002</v>
      </c>
      <c r="K45" s="2">
        <f t="shared" si="18"/>
        <v>14.579591858333336</v>
      </c>
      <c r="M45" s="19">
        <f t="shared" si="19"/>
        <v>9252.8150016</v>
      </c>
      <c r="N45" s="2">
        <f t="shared" si="20"/>
        <v>11.043941516666667</v>
      </c>
      <c r="O45" s="19">
        <f t="shared" si="14"/>
        <v>2962.2321408000007</v>
      </c>
      <c r="P45" s="2">
        <f t="shared" si="21"/>
        <v>3.5356503416666678</v>
      </c>
      <c r="R45" s="19">
        <f t="shared" si="22"/>
        <v>10817.13984</v>
      </c>
      <c r="S45" s="2">
        <f t="shared" si="23"/>
        <v>12.911082708333332</v>
      </c>
      <c r="T45" s="19">
        <f t="shared" si="24"/>
        <v>1397.9073024000008</v>
      </c>
      <c r="U45" s="2">
        <f t="shared" si="25"/>
        <v>1.6685091500000011</v>
      </c>
    </row>
    <row r="46" spans="1:21" x14ac:dyDescent="0.45">
      <c r="A46" s="479" t="s">
        <v>956</v>
      </c>
      <c r="B46" s="479">
        <v>31</v>
      </c>
      <c r="C46" s="2">
        <v>13.807214076246337</v>
      </c>
      <c r="D46" s="2">
        <v>42.263020527859204</v>
      </c>
      <c r="E46" s="479">
        <v>8.1</v>
      </c>
      <c r="F46" s="479">
        <v>24</v>
      </c>
      <c r="G46" s="479">
        <v>17.37</v>
      </c>
      <c r="H46" s="479">
        <f t="shared" si="15"/>
        <v>9.2700000000000014</v>
      </c>
      <c r="I46" s="19">
        <f t="shared" si="16"/>
        <v>15426.905587200003</v>
      </c>
      <c r="J46" s="23">
        <f>I46*11</f>
        <v>169695.96145920001</v>
      </c>
      <c r="K46" s="2">
        <f t="shared" si="18"/>
        <v>18.413190262500002</v>
      </c>
      <c r="M46" s="19">
        <f t="shared" si="19"/>
        <v>10384.454246400001</v>
      </c>
      <c r="N46" s="2">
        <f t="shared" si="20"/>
        <v>12.394639400000001</v>
      </c>
      <c r="O46" s="19">
        <f t="shared" si="14"/>
        <v>5042.4513408000021</v>
      </c>
      <c r="P46" s="2">
        <f t="shared" si="21"/>
        <v>6.0185508625000024</v>
      </c>
      <c r="R46" s="19">
        <f t="shared" si="22"/>
        <v>12181.763635200001</v>
      </c>
      <c r="S46" s="2">
        <f t="shared" si="23"/>
        <v>14.539865450000001</v>
      </c>
      <c r="T46" s="19">
        <f t="shared" si="24"/>
        <v>3245.1419520000018</v>
      </c>
      <c r="U46" s="2">
        <f t="shared" si="25"/>
        <v>3.8733248125000017</v>
      </c>
    </row>
    <row r="47" spans="1:21" x14ac:dyDescent="0.45">
      <c r="A47" s="479" t="s">
        <v>957</v>
      </c>
      <c r="B47" s="479">
        <v>30</v>
      </c>
      <c r="C47" s="2">
        <v>29.960787878787876</v>
      </c>
      <c r="D47" s="2">
        <v>39.936727272727254</v>
      </c>
      <c r="E47" s="479">
        <v>15.3</v>
      </c>
      <c r="F47" s="479">
        <v>28</v>
      </c>
      <c r="G47" s="479">
        <v>21.72</v>
      </c>
      <c r="H47" s="479">
        <f t="shared" si="15"/>
        <v>6.4199999999999982</v>
      </c>
      <c r="I47" s="19">
        <f t="shared" si="16"/>
        <v>10684.005811199997</v>
      </c>
      <c r="J47" s="23">
        <f t="shared" si="17"/>
        <v>117524.06392319997</v>
      </c>
      <c r="K47" s="2">
        <f t="shared" si="18"/>
        <v>12.752177074999997</v>
      </c>
      <c r="M47" s="19">
        <f t="shared" si="19"/>
        <v>5724.7632383999971</v>
      </c>
      <c r="N47" s="2">
        <f t="shared" si="20"/>
        <v>6.8329422333333305</v>
      </c>
      <c r="O47" s="19">
        <f t="shared" si="14"/>
        <v>4959.2425727999998</v>
      </c>
      <c r="P47" s="2">
        <f t="shared" si="21"/>
        <v>5.9192348416666665</v>
      </c>
      <c r="R47" s="19">
        <f t="shared" si="22"/>
        <v>7355.6550911999975</v>
      </c>
      <c r="S47" s="2">
        <f t="shared" si="23"/>
        <v>8.7795362416666638</v>
      </c>
      <c r="T47" s="19">
        <f t="shared" si="24"/>
        <v>3328.3507199999995</v>
      </c>
      <c r="U47" s="2">
        <f t="shared" si="25"/>
        <v>3.9726408333333327</v>
      </c>
    </row>
    <row r="48" spans="1:21" x14ac:dyDescent="0.45">
      <c r="A48" s="479" t="s">
        <v>958</v>
      </c>
      <c r="B48" s="479">
        <v>31</v>
      </c>
      <c r="C48" s="2">
        <v>67.51275974025971</v>
      </c>
      <c r="D48" s="2">
        <v>32.754383116883119</v>
      </c>
      <c r="E48" s="479">
        <v>24.18</v>
      </c>
      <c r="F48" s="479">
        <v>30.5</v>
      </c>
      <c r="G48" s="479">
        <v>24.89</v>
      </c>
      <c r="H48" s="479">
        <f t="shared" si="15"/>
        <v>0.71000000000000085</v>
      </c>
      <c r="I48" s="19">
        <f t="shared" si="16"/>
        <v>1181.5645056000014</v>
      </c>
      <c r="J48" s="23">
        <f t="shared" si="17"/>
        <v>12997.209561600015</v>
      </c>
      <c r="K48" s="2">
        <f t="shared" si="18"/>
        <v>1.4102874958333349</v>
      </c>
      <c r="M48" s="19">
        <f t="shared" si="19"/>
        <v>0</v>
      </c>
      <c r="N48" s="2">
        <f t="shared" si="20"/>
        <v>0</v>
      </c>
      <c r="O48" s="19">
        <f t="shared" si="14"/>
        <v>1181.5645056000014</v>
      </c>
      <c r="P48" s="2">
        <f t="shared" si="21"/>
        <v>1.4102874958333349</v>
      </c>
      <c r="R48" s="19">
        <f t="shared" si="22"/>
        <v>0</v>
      </c>
      <c r="S48" s="2">
        <f t="shared" si="23"/>
        <v>0</v>
      </c>
      <c r="T48" s="19">
        <f t="shared" si="24"/>
        <v>1181.5645056000014</v>
      </c>
      <c r="U48" s="2">
        <f t="shared" si="25"/>
        <v>1.4102874958333349</v>
      </c>
    </row>
    <row r="49" spans="1:21" x14ac:dyDescent="0.45">
      <c r="A49" s="479" t="s">
        <v>959</v>
      </c>
      <c r="B49" s="479">
        <v>31</v>
      </c>
      <c r="C49" s="2">
        <v>66.080674486803559</v>
      </c>
      <c r="D49" s="2">
        <v>30.76416422287387</v>
      </c>
      <c r="E49" s="479">
        <v>21.09</v>
      </c>
      <c r="F49" s="479">
        <v>28</v>
      </c>
      <c r="G49" s="479">
        <v>21.72</v>
      </c>
      <c r="H49" s="479">
        <f t="shared" si="15"/>
        <v>0.62999999999999901</v>
      </c>
      <c r="I49" s="19">
        <f t="shared" si="16"/>
        <v>1048.4304767999984</v>
      </c>
      <c r="J49" s="23">
        <f t="shared" si="17"/>
        <v>11532.735244799982</v>
      </c>
      <c r="K49" s="2">
        <f t="shared" si="18"/>
        <v>1.2513818624999979</v>
      </c>
      <c r="M49" s="19">
        <f t="shared" si="19"/>
        <v>0</v>
      </c>
      <c r="N49" s="2">
        <f t="shared" si="20"/>
        <v>0</v>
      </c>
      <c r="O49" s="19">
        <f t="shared" si="14"/>
        <v>1048.4304767999984</v>
      </c>
      <c r="P49" s="2">
        <f t="shared" si="21"/>
        <v>1.2513818624999979</v>
      </c>
      <c r="R49" s="19">
        <f t="shared" si="22"/>
        <v>0</v>
      </c>
      <c r="S49" s="2">
        <f t="shared" si="23"/>
        <v>0</v>
      </c>
      <c r="T49" s="19">
        <f t="shared" si="24"/>
        <v>1048.4304767999984</v>
      </c>
      <c r="U49" s="2">
        <f t="shared" si="25"/>
        <v>1.2513818624999979</v>
      </c>
    </row>
    <row r="50" spans="1:21" x14ac:dyDescent="0.45">
      <c r="A50" s="479" t="s">
        <v>960</v>
      </c>
      <c r="B50" s="479">
        <v>30</v>
      </c>
      <c r="C50" s="2">
        <v>57.02087878787875</v>
      </c>
      <c r="D50" s="2">
        <v>32.0773333333333</v>
      </c>
      <c r="E50" s="479">
        <v>19.22</v>
      </c>
      <c r="F50" s="479">
        <v>28</v>
      </c>
      <c r="G50" s="479">
        <v>21.72</v>
      </c>
      <c r="H50" s="479">
        <f t="shared" si="15"/>
        <v>2.5</v>
      </c>
      <c r="I50" s="19">
        <f t="shared" si="16"/>
        <v>4160.4384</v>
      </c>
      <c r="J50" s="23">
        <f t="shared" si="17"/>
        <v>45764.822399999997</v>
      </c>
      <c r="K50" s="2">
        <f t="shared" si="18"/>
        <v>4.9658010416666665</v>
      </c>
      <c r="M50" s="19">
        <f t="shared" si="19"/>
        <v>0</v>
      </c>
      <c r="N50" s="2">
        <f t="shared" si="20"/>
        <v>0</v>
      </c>
      <c r="O50" s="19">
        <f t="shared" si="14"/>
        <v>4160.4384</v>
      </c>
      <c r="P50" s="2">
        <f t="shared" si="21"/>
        <v>4.9658010416666665</v>
      </c>
      <c r="R50" s="19">
        <f t="shared" si="22"/>
        <v>66.567014400004496</v>
      </c>
      <c r="S50" s="2">
        <f t="shared" si="23"/>
        <v>7.9452816666672033E-2</v>
      </c>
      <c r="T50" s="19">
        <f t="shared" si="24"/>
        <v>4093.8713855999954</v>
      </c>
      <c r="U50" s="2">
        <f t="shared" si="25"/>
        <v>4.8863482249999945</v>
      </c>
    </row>
    <row r="51" spans="1:21" x14ac:dyDescent="0.45">
      <c r="A51" s="479" t="s">
        <v>961</v>
      </c>
      <c r="B51" s="479">
        <v>31</v>
      </c>
      <c r="C51" s="2">
        <v>33.271290322580654</v>
      </c>
      <c r="D51" s="2">
        <v>32.197360703812322</v>
      </c>
      <c r="E51" s="479">
        <v>9.4600000000000009</v>
      </c>
      <c r="F51" s="479">
        <v>22.5</v>
      </c>
      <c r="G51" s="479">
        <v>15.95</v>
      </c>
      <c r="H51" s="479">
        <f t="shared" si="15"/>
        <v>6.4899999999999984</v>
      </c>
      <c r="I51" s="19">
        <f t="shared" si="16"/>
        <v>10800.498086399997</v>
      </c>
      <c r="J51" s="23">
        <f t="shared" si="17"/>
        <v>118805.47895039996</v>
      </c>
      <c r="K51" s="2">
        <f>J51/$B$31</f>
        <v>12.891219504166664</v>
      </c>
      <c r="M51" s="19">
        <f t="shared" si="19"/>
        <v>6839.7607295999987</v>
      </c>
      <c r="N51" s="2">
        <f t="shared" si="20"/>
        <v>8.1637769124999977</v>
      </c>
      <c r="O51" s="19">
        <f t="shared" si="14"/>
        <v>3960.7373567999985</v>
      </c>
      <c r="P51" s="2">
        <f t="shared" si="21"/>
        <v>4.7274425916666649</v>
      </c>
      <c r="R51" s="19">
        <f t="shared" si="22"/>
        <v>8520.5778431999988</v>
      </c>
      <c r="S51" s="2">
        <f t="shared" si="23"/>
        <v>10.169960533333331</v>
      </c>
      <c r="T51" s="19">
        <f t="shared" si="24"/>
        <v>2279.9202431999984</v>
      </c>
      <c r="U51" s="2">
        <f t="shared" si="25"/>
        <v>2.7212589708333312</v>
      </c>
    </row>
    <row r="52" spans="1:21" x14ac:dyDescent="0.45">
      <c r="A52" s="479" t="s">
        <v>962</v>
      </c>
      <c r="B52" s="479">
        <v>30</v>
      </c>
      <c r="C52" s="2">
        <v>32.090818181818157</v>
      </c>
      <c r="D52" s="2">
        <v>27.126909090909088</v>
      </c>
      <c r="E52" s="479">
        <v>8.2200000000000006</v>
      </c>
      <c r="F52" s="479">
        <v>19</v>
      </c>
      <c r="G52" s="479">
        <v>13.01</v>
      </c>
      <c r="H52" s="479">
        <f t="shared" si="15"/>
        <v>4.7899999999999991</v>
      </c>
      <c r="I52" s="19">
        <f t="shared" si="16"/>
        <v>7971.3999743999993</v>
      </c>
      <c r="J52" s="23">
        <f t="shared" si="17"/>
        <v>87685.399718399989</v>
      </c>
      <c r="K52" s="2">
        <f t="shared" si="18"/>
        <v>9.5144747958333316</v>
      </c>
      <c r="M52" s="19">
        <f t="shared" si="19"/>
        <v>3394.9177343999991</v>
      </c>
      <c r="N52" s="2">
        <f t="shared" si="20"/>
        <v>4.0520936499999989</v>
      </c>
      <c r="O52" s="19">
        <f t="shared" si="14"/>
        <v>4576.4822400000003</v>
      </c>
      <c r="P52" s="2">
        <f t="shared" si="21"/>
        <v>5.4623811458333336</v>
      </c>
      <c r="R52" s="19">
        <f t="shared" si="22"/>
        <v>4576.4822400000012</v>
      </c>
      <c r="S52" s="2">
        <f t="shared" si="23"/>
        <v>5.4623811458333353</v>
      </c>
      <c r="T52" s="19">
        <f t="shared" si="24"/>
        <v>3394.9177343999982</v>
      </c>
      <c r="U52" s="2">
        <f t="shared" si="25"/>
        <v>4.052093649999998</v>
      </c>
    </row>
    <row r="53" spans="1:21" x14ac:dyDescent="0.45">
      <c r="A53" s="479" t="s">
        <v>963</v>
      </c>
      <c r="B53" s="479">
        <v>31</v>
      </c>
      <c r="C53" s="2">
        <v>43.180703812316729</v>
      </c>
      <c r="D53" s="2">
        <v>21.647008797653946</v>
      </c>
      <c r="E53" s="479">
        <v>7.86</v>
      </c>
      <c r="F53" s="479">
        <v>16</v>
      </c>
      <c r="G53" s="479">
        <v>10.88</v>
      </c>
      <c r="H53" s="479">
        <f t="shared" si="15"/>
        <v>3.0200000000000005</v>
      </c>
      <c r="I53" s="19">
        <f t="shared" si="16"/>
        <v>5025.8095872000004</v>
      </c>
      <c r="J53" s="23">
        <f t="shared" si="17"/>
        <v>55283.905459200003</v>
      </c>
      <c r="K53" s="2">
        <f t="shared" si="18"/>
        <v>5.9986876583333339</v>
      </c>
      <c r="M53" s="19">
        <f t="shared" si="19"/>
        <v>1264.7732735999982</v>
      </c>
      <c r="N53" s="2">
        <f t="shared" si="20"/>
        <v>1.5096035166666644</v>
      </c>
      <c r="O53" s="19">
        <f t="shared" si="14"/>
        <v>3761.0363136000024</v>
      </c>
      <c r="P53" s="2">
        <f t="shared" si="21"/>
        <v>4.4890841416666696</v>
      </c>
      <c r="R53" s="19">
        <f t="shared" si="22"/>
        <v>2229.9949823999982</v>
      </c>
      <c r="S53" s="2">
        <f t="shared" si="23"/>
        <v>2.6616693583333313</v>
      </c>
      <c r="T53" s="19">
        <f t="shared" si="24"/>
        <v>2795.8146048000021</v>
      </c>
      <c r="U53" s="2">
        <f t="shared" si="25"/>
        <v>3.3370183000000022</v>
      </c>
    </row>
    <row r="54" spans="1:21" x14ac:dyDescent="0.45">
      <c r="B54" s="1"/>
      <c r="K54" s="13"/>
    </row>
    <row r="56" spans="1:21" x14ac:dyDescent="0.45">
      <c r="M56" s="107"/>
    </row>
    <row r="57" spans="1:21" x14ac:dyDescent="0.45">
      <c r="A57" s="588" t="s">
        <v>936</v>
      </c>
      <c r="B57" s="588"/>
      <c r="C57" s="588"/>
      <c r="D57" s="588"/>
      <c r="E57" s="588"/>
      <c r="F57" s="588"/>
      <c r="G57" s="588"/>
      <c r="H57" s="588"/>
      <c r="I57" s="588"/>
      <c r="J57" s="588"/>
      <c r="K57" s="588"/>
    </row>
    <row r="58" spans="1:21" ht="42.75" x14ac:dyDescent="0.45">
      <c r="A58" s="46" t="s">
        <v>937</v>
      </c>
      <c r="B58" s="46" t="s">
        <v>938</v>
      </c>
      <c r="C58" s="46" t="s">
        <v>939</v>
      </c>
      <c r="D58" s="46" t="s">
        <v>940</v>
      </c>
      <c r="E58" s="46" t="s">
        <v>941</v>
      </c>
      <c r="F58" s="46" t="s">
        <v>964</v>
      </c>
      <c r="G58" s="46" t="s">
        <v>965</v>
      </c>
      <c r="H58" s="46" t="s">
        <v>944</v>
      </c>
      <c r="I58" s="46" t="s">
        <v>945</v>
      </c>
      <c r="J58" s="46" t="s">
        <v>945</v>
      </c>
      <c r="K58" s="46" t="s">
        <v>946</v>
      </c>
    </row>
    <row r="59" spans="1:21" x14ac:dyDescent="0.45">
      <c r="A59" s="479" t="s">
        <v>952</v>
      </c>
      <c r="B59" s="479">
        <v>31</v>
      </c>
      <c r="C59" s="2">
        <v>36.91401759530789</v>
      </c>
      <c r="D59" s="2">
        <v>20.716891495601175</v>
      </c>
      <c r="E59" s="479">
        <v>6.64</v>
      </c>
      <c r="F59" s="479">
        <v>18</v>
      </c>
      <c r="G59" s="479">
        <v>7.66</v>
      </c>
      <c r="H59" s="479">
        <f>G59-E59</f>
        <v>1.0200000000000005</v>
      </c>
      <c r="I59" s="19">
        <f>H59*$B$37*$B$38/1000*60</f>
        <v>1697.4588672000007</v>
      </c>
      <c r="J59" s="23">
        <f>I59*11</f>
        <v>18672.047539200008</v>
      </c>
      <c r="K59" s="2">
        <f>J59/$B$31</f>
        <v>2.0260468250000008</v>
      </c>
    </row>
    <row r="60" spans="1:21" x14ac:dyDescent="0.45">
      <c r="A60" s="479" t="s">
        <v>953</v>
      </c>
      <c r="B60" s="479">
        <v>28</v>
      </c>
      <c r="C60" s="2">
        <v>23.965956112852659</v>
      </c>
      <c r="D60" s="2">
        <v>24.966677115987448</v>
      </c>
      <c r="E60" s="479">
        <v>5.52</v>
      </c>
      <c r="F60" s="479">
        <v>20</v>
      </c>
      <c r="G60" s="479">
        <v>8.6199999999999992</v>
      </c>
      <c r="H60" s="479">
        <f t="shared" ref="H60:H70" si="26">G60-E60</f>
        <v>3.0999999999999996</v>
      </c>
      <c r="I60" s="19">
        <f t="shared" ref="I60:I70" si="27">H60*$B$37*$B$38/1000*60</f>
        <v>5158.9436159999996</v>
      </c>
      <c r="J60" s="23">
        <f t="shared" ref="J60:J70" si="28">I60*11</f>
        <v>56748.379775999994</v>
      </c>
      <c r="K60" s="2">
        <f t="shared" ref="K60:K70" si="29">J60/$B$31</f>
        <v>6.1575932916666662</v>
      </c>
      <c r="L60" s="1"/>
    </row>
    <row r="61" spans="1:21" x14ac:dyDescent="0.45">
      <c r="A61" s="479" t="s">
        <v>954</v>
      </c>
      <c r="B61" s="479">
        <v>31</v>
      </c>
      <c r="C61" s="2">
        <v>16.780879765395895</v>
      </c>
      <c r="D61" s="2">
        <v>31.364105571847475</v>
      </c>
      <c r="E61" s="479">
        <v>5.54</v>
      </c>
      <c r="F61" s="479">
        <v>22</v>
      </c>
      <c r="G61" s="479">
        <v>9.68</v>
      </c>
      <c r="H61" s="479">
        <f>G61-E61</f>
        <v>4.1399999999999997</v>
      </c>
      <c r="I61" s="19">
        <f>H61*$B$37*$B$38/1000*60</f>
        <v>6889.6859903999994</v>
      </c>
      <c r="J61" s="23">
        <f t="shared" si="28"/>
        <v>75786.545894399998</v>
      </c>
      <c r="K61" s="2">
        <f t="shared" si="29"/>
        <v>8.2233665249999994</v>
      </c>
    </row>
    <row r="62" spans="1:21" x14ac:dyDescent="0.45">
      <c r="A62" s="479" t="s">
        <v>955</v>
      </c>
      <c r="B62" s="479">
        <v>30</v>
      </c>
      <c r="C62" s="2">
        <v>17.164424242424236</v>
      </c>
      <c r="D62" s="2">
        <v>36.61181818181818</v>
      </c>
      <c r="E62" s="479">
        <v>7.29</v>
      </c>
      <c r="F62" s="479">
        <v>27</v>
      </c>
      <c r="G62" s="479">
        <v>12.85</v>
      </c>
      <c r="H62" s="479">
        <f t="shared" si="26"/>
        <v>5.56</v>
      </c>
      <c r="I62" s="19">
        <f t="shared" si="27"/>
        <v>9252.8150016</v>
      </c>
      <c r="J62" s="23">
        <f t="shared" si="28"/>
        <v>101780.9650176</v>
      </c>
      <c r="K62" s="2">
        <f t="shared" si="29"/>
        <v>11.043941516666667</v>
      </c>
    </row>
    <row r="63" spans="1:21" x14ac:dyDescent="0.45">
      <c r="A63" s="479" t="s">
        <v>956</v>
      </c>
      <c r="B63" s="479">
        <v>31</v>
      </c>
      <c r="C63" s="2">
        <v>13.807214076246337</v>
      </c>
      <c r="D63" s="2">
        <v>42.263020527859204</v>
      </c>
      <c r="E63" s="479">
        <v>8.1</v>
      </c>
      <c r="F63" s="479">
        <v>29</v>
      </c>
      <c r="G63" s="479">
        <v>14.34</v>
      </c>
      <c r="H63" s="479">
        <f t="shared" si="26"/>
        <v>6.24</v>
      </c>
      <c r="I63" s="19">
        <f t="shared" si="27"/>
        <v>10384.454246400001</v>
      </c>
      <c r="J63" s="23">
        <f t="shared" si="28"/>
        <v>114228.99671040001</v>
      </c>
      <c r="K63" s="2">
        <f t="shared" si="29"/>
        <v>12.394639400000001</v>
      </c>
    </row>
    <row r="64" spans="1:21" x14ac:dyDescent="0.45">
      <c r="A64" s="479" t="s">
        <v>957</v>
      </c>
      <c r="B64" s="479">
        <v>30</v>
      </c>
      <c r="C64" s="2">
        <v>29.960787878787876</v>
      </c>
      <c r="D64" s="2">
        <v>39.936727272727254</v>
      </c>
      <c r="E64" s="479">
        <v>15.3</v>
      </c>
      <c r="F64" s="479">
        <v>34</v>
      </c>
      <c r="G64" s="479">
        <v>18.739999999999998</v>
      </c>
      <c r="H64" s="479">
        <f t="shared" si="26"/>
        <v>3.4399999999999977</v>
      </c>
      <c r="I64" s="19">
        <f t="shared" si="27"/>
        <v>5724.7632383999971</v>
      </c>
      <c r="J64" s="23">
        <f t="shared" si="28"/>
        <v>62972.39562239997</v>
      </c>
      <c r="K64" s="2">
        <f t="shared" si="29"/>
        <v>6.8329422333333305</v>
      </c>
    </row>
    <row r="65" spans="1:11" x14ac:dyDescent="0.45">
      <c r="A65" s="479" t="s">
        <v>958</v>
      </c>
      <c r="B65" s="479">
        <v>31</v>
      </c>
      <c r="C65" s="2">
        <v>67.51275974025971</v>
      </c>
      <c r="D65" s="2">
        <v>32.754383116883119</v>
      </c>
      <c r="E65" s="479">
        <v>24.18</v>
      </c>
      <c r="F65" s="479" t="s">
        <v>322</v>
      </c>
      <c r="G65" s="479" t="s">
        <v>322</v>
      </c>
      <c r="H65" s="479">
        <v>0</v>
      </c>
      <c r="I65" s="19">
        <f t="shared" si="27"/>
        <v>0</v>
      </c>
      <c r="J65" s="23">
        <f t="shared" si="28"/>
        <v>0</v>
      </c>
      <c r="K65" s="2">
        <f t="shared" si="29"/>
        <v>0</v>
      </c>
    </row>
    <row r="66" spans="1:11" x14ac:dyDescent="0.45">
      <c r="A66" s="479" t="s">
        <v>959</v>
      </c>
      <c r="B66" s="479">
        <v>31</v>
      </c>
      <c r="C66" s="2">
        <v>66.080674486803559</v>
      </c>
      <c r="D66" s="2">
        <v>30.76416422287387</v>
      </c>
      <c r="E66" s="479">
        <v>21.09</v>
      </c>
      <c r="F66" s="479" t="s">
        <v>322</v>
      </c>
      <c r="G66" s="479" t="s">
        <v>322</v>
      </c>
      <c r="H66" s="479">
        <v>0</v>
      </c>
      <c r="I66" s="19">
        <f t="shared" si="27"/>
        <v>0</v>
      </c>
      <c r="J66" s="23">
        <f t="shared" si="28"/>
        <v>0</v>
      </c>
      <c r="K66" s="2">
        <f t="shared" si="29"/>
        <v>0</v>
      </c>
    </row>
    <row r="67" spans="1:11" x14ac:dyDescent="0.45">
      <c r="A67" s="479" t="s">
        <v>960</v>
      </c>
      <c r="B67" s="479">
        <v>30</v>
      </c>
      <c r="C67" s="2">
        <v>57.02087878787875</v>
      </c>
      <c r="D67" s="2">
        <v>32.0773333333333</v>
      </c>
      <c r="E67" s="479">
        <v>19.22</v>
      </c>
      <c r="F67" s="479" t="s">
        <v>322</v>
      </c>
      <c r="G67" s="479" t="s">
        <v>322</v>
      </c>
      <c r="H67" s="479">
        <v>0</v>
      </c>
      <c r="I67" s="19">
        <f>H67*$B$37*$B$38/1000*60</f>
        <v>0</v>
      </c>
      <c r="J67" s="23">
        <f t="shared" si="28"/>
        <v>0</v>
      </c>
      <c r="K67" s="2">
        <f t="shared" si="29"/>
        <v>0</v>
      </c>
    </row>
    <row r="68" spans="1:11" x14ac:dyDescent="0.45">
      <c r="A68" s="479" t="s">
        <v>961</v>
      </c>
      <c r="B68" s="479">
        <v>31</v>
      </c>
      <c r="C68" s="2">
        <v>33.271290322580654</v>
      </c>
      <c r="D68" s="2">
        <v>32.197360703812322</v>
      </c>
      <c r="E68" s="479">
        <v>9.4600000000000009</v>
      </c>
      <c r="F68" s="479">
        <v>28</v>
      </c>
      <c r="G68" s="479">
        <v>13.57</v>
      </c>
      <c r="H68" s="479">
        <f t="shared" si="26"/>
        <v>4.1099999999999994</v>
      </c>
      <c r="I68" s="19">
        <f t="shared" si="27"/>
        <v>6839.7607295999987</v>
      </c>
      <c r="J68" s="23">
        <f t="shared" si="28"/>
        <v>75237.368025599979</v>
      </c>
      <c r="K68" s="2">
        <f t="shared" si="29"/>
        <v>8.1637769124999977</v>
      </c>
    </row>
    <row r="69" spans="1:11" x14ac:dyDescent="0.45">
      <c r="A69" s="479" t="s">
        <v>962</v>
      </c>
      <c r="B69" s="479">
        <v>30</v>
      </c>
      <c r="C69" s="2">
        <v>32.090818181818157</v>
      </c>
      <c r="D69" s="2">
        <v>27.126909090909088</v>
      </c>
      <c r="E69" s="479">
        <v>8.2200000000000006</v>
      </c>
      <c r="F69" s="479">
        <v>23</v>
      </c>
      <c r="G69" s="479">
        <v>10.26</v>
      </c>
      <c r="H69" s="479">
        <f t="shared" si="26"/>
        <v>2.0399999999999991</v>
      </c>
      <c r="I69" s="19">
        <f t="shared" si="27"/>
        <v>3394.9177343999991</v>
      </c>
      <c r="J69" s="23">
        <f t="shared" si="28"/>
        <v>37344.095078399987</v>
      </c>
      <c r="K69" s="2">
        <f t="shared" si="29"/>
        <v>4.0520936499999989</v>
      </c>
    </row>
    <row r="70" spans="1:11" x14ac:dyDescent="0.45">
      <c r="A70" s="479" t="s">
        <v>963</v>
      </c>
      <c r="B70" s="479">
        <v>31</v>
      </c>
      <c r="C70" s="2">
        <v>43.180703812316729</v>
      </c>
      <c r="D70" s="2">
        <v>21.647008797653946</v>
      </c>
      <c r="E70" s="479">
        <v>7.86</v>
      </c>
      <c r="F70" s="479">
        <v>20</v>
      </c>
      <c r="G70" s="479">
        <v>8.6199999999999992</v>
      </c>
      <c r="H70" s="479">
        <f t="shared" si="26"/>
        <v>0.7599999999999989</v>
      </c>
      <c r="I70" s="19">
        <f t="shared" si="27"/>
        <v>1264.7732735999982</v>
      </c>
      <c r="J70" s="23">
        <f t="shared" si="28"/>
        <v>13912.50600959998</v>
      </c>
      <c r="K70" s="2">
        <f t="shared" si="29"/>
        <v>1.5096035166666644</v>
      </c>
    </row>
    <row r="71" spans="1:11" x14ac:dyDescent="0.45">
      <c r="F71" s="1"/>
      <c r="I71" s="13"/>
      <c r="K71" s="13"/>
    </row>
    <row r="72" spans="1:11" x14ac:dyDescent="0.45">
      <c r="F72" s="1"/>
      <c r="I72" s="13"/>
      <c r="K72" s="13"/>
    </row>
    <row r="73" spans="1:11" x14ac:dyDescent="0.45">
      <c r="F73" s="1"/>
      <c r="I73" s="13"/>
      <c r="K73" s="13"/>
    </row>
    <row r="74" spans="1:11" x14ac:dyDescent="0.45">
      <c r="A74" s="588" t="s">
        <v>936</v>
      </c>
      <c r="B74" s="588"/>
      <c r="C74" s="588"/>
      <c r="D74" s="588"/>
      <c r="E74" s="588"/>
      <c r="F74" s="588"/>
      <c r="G74" s="588"/>
      <c r="H74" s="588"/>
      <c r="I74" s="588"/>
      <c r="J74" s="588"/>
      <c r="K74" s="588"/>
    </row>
    <row r="75" spans="1:11" ht="42.75" x14ac:dyDescent="0.45">
      <c r="A75" s="46" t="s">
        <v>937</v>
      </c>
      <c r="B75" s="46" t="s">
        <v>938</v>
      </c>
      <c r="C75" s="46" t="s">
        <v>939</v>
      </c>
      <c r="D75" s="46" t="s">
        <v>940</v>
      </c>
      <c r="E75" s="46" t="s">
        <v>941</v>
      </c>
      <c r="F75" s="46" t="s">
        <v>966</v>
      </c>
      <c r="G75" s="46" t="s">
        <v>967</v>
      </c>
      <c r="H75" s="46" t="s">
        <v>944</v>
      </c>
      <c r="I75" s="46" t="s">
        <v>945</v>
      </c>
      <c r="J75" s="46" t="s">
        <v>945</v>
      </c>
      <c r="K75" s="46" t="s">
        <v>946</v>
      </c>
    </row>
    <row r="76" spans="1:11" x14ac:dyDescent="0.45">
      <c r="A76" s="479" t="s">
        <v>952</v>
      </c>
      <c r="B76" s="479">
        <v>31</v>
      </c>
      <c r="C76" s="2">
        <v>36.91401759530789</v>
      </c>
      <c r="D76" s="2">
        <v>20.716891495601175</v>
      </c>
      <c r="E76" s="479">
        <v>6.64</v>
      </c>
      <c r="F76" s="479">
        <v>17</v>
      </c>
      <c r="G76" s="479">
        <v>8.66</v>
      </c>
      <c r="H76" s="479">
        <f>G76-E76</f>
        <v>2.0200000000000005</v>
      </c>
      <c r="I76" s="19">
        <f>H76*$B$37*$B$38/1000*60</f>
        <v>3361.6342272000011</v>
      </c>
      <c r="J76" s="23">
        <f>I76*11</f>
        <v>36977.976499200013</v>
      </c>
      <c r="K76" s="2">
        <f>J76/$B$31</f>
        <v>4.0123672416666682</v>
      </c>
    </row>
    <row r="77" spans="1:11" x14ac:dyDescent="0.45">
      <c r="A77" s="479" t="s">
        <v>953</v>
      </c>
      <c r="B77" s="479">
        <v>28</v>
      </c>
      <c r="C77" s="2">
        <v>23.965956112852659</v>
      </c>
      <c r="D77" s="2">
        <v>24.966677115987448</v>
      </c>
      <c r="E77" s="479">
        <v>5.52</v>
      </c>
      <c r="F77" s="479">
        <v>18</v>
      </c>
      <c r="G77" s="479">
        <v>9.1999999999999993</v>
      </c>
      <c r="H77" s="479">
        <f t="shared" ref="H77:H87" si="30">G77-E77</f>
        <v>3.6799999999999997</v>
      </c>
      <c r="I77" s="19">
        <f t="shared" ref="I77:I83" si="31">H77*$B$37*$B$38/1000*60</f>
        <v>6124.1653247999993</v>
      </c>
      <c r="J77" s="23">
        <f t="shared" ref="J77:J87" si="32">I77*11</f>
        <v>67365.818572799995</v>
      </c>
      <c r="K77" s="2">
        <f t="shared" ref="K77:K87" si="33">J77/$B$31</f>
        <v>7.3096591333333327</v>
      </c>
    </row>
    <row r="78" spans="1:11" x14ac:dyDescent="0.45">
      <c r="A78" s="479" t="s">
        <v>954</v>
      </c>
      <c r="B78" s="479">
        <v>31</v>
      </c>
      <c r="C78" s="2">
        <v>16.780879765395895</v>
      </c>
      <c r="D78" s="2">
        <v>31.364105571847475</v>
      </c>
      <c r="E78" s="479">
        <v>5.54</v>
      </c>
      <c r="F78" s="479">
        <v>20.5</v>
      </c>
      <c r="G78" s="479">
        <v>10.65</v>
      </c>
      <c r="H78" s="479">
        <f t="shared" si="30"/>
        <v>5.1100000000000003</v>
      </c>
      <c r="I78" s="19">
        <f t="shared" si="31"/>
        <v>8503.9360896000017</v>
      </c>
      <c r="J78" s="23">
        <f t="shared" si="32"/>
        <v>93543.296985600013</v>
      </c>
      <c r="K78" s="2">
        <f t="shared" si="33"/>
        <v>10.150097329166668</v>
      </c>
    </row>
    <row r="79" spans="1:11" x14ac:dyDescent="0.45">
      <c r="A79" s="479" t="s">
        <v>955</v>
      </c>
      <c r="B79" s="479">
        <v>30</v>
      </c>
      <c r="C79" s="2">
        <v>17.164424242424236</v>
      </c>
      <c r="D79" s="2">
        <v>36.61181818181818</v>
      </c>
      <c r="E79" s="479">
        <v>7.29</v>
      </c>
      <c r="F79" s="479">
        <v>25</v>
      </c>
      <c r="G79" s="479">
        <v>13.79</v>
      </c>
      <c r="H79" s="479">
        <f t="shared" si="30"/>
        <v>6.4999999999999991</v>
      </c>
      <c r="I79" s="19">
        <f t="shared" si="31"/>
        <v>10817.13984</v>
      </c>
      <c r="J79" s="23">
        <f t="shared" si="32"/>
        <v>118988.53823999999</v>
      </c>
      <c r="K79" s="2">
        <f t="shared" si="33"/>
        <v>12.911082708333332</v>
      </c>
    </row>
    <row r="80" spans="1:11" s="218" customFormat="1" x14ac:dyDescent="0.45">
      <c r="A80" s="487" t="s">
        <v>956</v>
      </c>
      <c r="B80" s="487">
        <v>31</v>
      </c>
      <c r="C80" s="3">
        <v>13.807214076246337</v>
      </c>
      <c r="D80" s="3">
        <v>42.263020527859204</v>
      </c>
      <c r="E80" s="487">
        <v>8.1</v>
      </c>
      <c r="F80" s="487">
        <v>27</v>
      </c>
      <c r="G80" s="487">
        <v>15.42</v>
      </c>
      <c r="H80" s="487">
        <f>G80-E80</f>
        <v>7.32</v>
      </c>
      <c r="I80" s="511">
        <f t="shared" si="31"/>
        <v>12181.763635200001</v>
      </c>
      <c r="J80" s="512">
        <f t="shared" si="32"/>
        <v>133999.39998720001</v>
      </c>
      <c r="K80" s="3">
        <f t="shared" si="33"/>
        <v>14.539865450000001</v>
      </c>
    </row>
    <row r="81" spans="1:11" x14ac:dyDescent="0.45">
      <c r="A81" s="479" t="s">
        <v>957</v>
      </c>
      <c r="B81" s="479">
        <v>30</v>
      </c>
      <c r="C81" s="2">
        <v>29.960787878787876</v>
      </c>
      <c r="D81" s="2">
        <v>39.936727272727254</v>
      </c>
      <c r="E81" s="479">
        <v>15.3</v>
      </c>
      <c r="F81" s="479">
        <v>31.5</v>
      </c>
      <c r="G81" s="479">
        <v>19.72</v>
      </c>
      <c r="H81" s="479">
        <f t="shared" si="30"/>
        <v>4.4199999999999982</v>
      </c>
      <c r="I81" s="19">
        <f t="shared" si="31"/>
        <v>7355.6550911999975</v>
      </c>
      <c r="J81" s="23">
        <f t="shared" si="32"/>
        <v>80912.206003199972</v>
      </c>
      <c r="K81" s="2">
        <f t="shared" si="33"/>
        <v>8.7795362416666638</v>
      </c>
    </row>
    <row r="82" spans="1:11" x14ac:dyDescent="0.45">
      <c r="A82" s="479" t="s">
        <v>958</v>
      </c>
      <c r="B82" s="479">
        <v>31</v>
      </c>
      <c r="C82" s="2">
        <v>67.51275974025971</v>
      </c>
      <c r="D82" s="2">
        <v>32.754383116883119</v>
      </c>
      <c r="E82" s="479">
        <v>24.18</v>
      </c>
      <c r="F82" s="479" t="s">
        <v>322</v>
      </c>
      <c r="G82" s="479" t="s">
        <v>322</v>
      </c>
      <c r="H82" s="479">
        <v>0</v>
      </c>
      <c r="I82" s="19">
        <f t="shared" si="31"/>
        <v>0</v>
      </c>
      <c r="J82" s="23">
        <f t="shared" si="32"/>
        <v>0</v>
      </c>
      <c r="K82" s="2">
        <f t="shared" si="33"/>
        <v>0</v>
      </c>
    </row>
    <row r="83" spans="1:11" x14ac:dyDescent="0.45">
      <c r="A83" s="479" t="s">
        <v>959</v>
      </c>
      <c r="B83" s="479">
        <v>31</v>
      </c>
      <c r="C83" s="2">
        <v>66.080674486803559</v>
      </c>
      <c r="D83" s="2">
        <v>30.76416422287387</v>
      </c>
      <c r="E83" s="479">
        <v>21.09</v>
      </c>
      <c r="F83" s="479" t="s">
        <v>322</v>
      </c>
      <c r="G83" s="479" t="s">
        <v>322</v>
      </c>
      <c r="H83" s="479">
        <v>0</v>
      </c>
      <c r="I83" s="19">
        <f t="shared" si="31"/>
        <v>0</v>
      </c>
      <c r="J83" s="23">
        <f t="shared" si="32"/>
        <v>0</v>
      </c>
      <c r="K83" s="2">
        <f t="shared" si="33"/>
        <v>0</v>
      </c>
    </row>
    <row r="84" spans="1:11" x14ac:dyDescent="0.45">
      <c r="A84" s="479" t="s">
        <v>960</v>
      </c>
      <c r="B84" s="479">
        <v>30</v>
      </c>
      <c r="C84" s="2">
        <v>57.02087878787875</v>
      </c>
      <c r="D84" s="2">
        <v>32.0773333333333</v>
      </c>
      <c r="E84" s="479">
        <v>19.22</v>
      </c>
      <c r="F84" s="479">
        <v>31</v>
      </c>
      <c r="G84" s="479">
        <v>19.260000000000002</v>
      </c>
      <c r="H84" s="479">
        <f t="shared" si="30"/>
        <v>4.00000000000027E-2</v>
      </c>
      <c r="I84" s="19">
        <f>H84*$B$37*$B$38/1000*60</f>
        <v>66.567014400004496</v>
      </c>
      <c r="J84" s="23">
        <f t="shared" si="32"/>
        <v>732.23715840004945</v>
      </c>
      <c r="K84" s="2">
        <f t="shared" si="33"/>
        <v>7.9452816666672033E-2</v>
      </c>
    </row>
    <row r="85" spans="1:11" x14ac:dyDescent="0.45">
      <c r="A85" s="479" t="s">
        <v>961</v>
      </c>
      <c r="B85" s="479">
        <v>31</v>
      </c>
      <c r="C85" s="2">
        <v>33.271290322580654</v>
      </c>
      <c r="D85" s="2">
        <v>32.197360703812322</v>
      </c>
      <c r="E85" s="479">
        <v>9.4600000000000009</v>
      </c>
      <c r="F85" s="479">
        <v>26</v>
      </c>
      <c r="G85" s="479">
        <v>14.58</v>
      </c>
      <c r="H85" s="479">
        <f t="shared" si="30"/>
        <v>5.1199999999999992</v>
      </c>
      <c r="I85" s="19">
        <f t="shared" ref="I85:I87" si="34">H85*$B$37*$B$38/1000*60</f>
        <v>8520.5778431999988</v>
      </c>
      <c r="J85" s="23">
        <f t="shared" si="32"/>
        <v>93726.356275199985</v>
      </c>
      <c r="K85" s="2">
        <f t="shared" si="33"/>
        <v>10.169960533333331</v>
      </c>
    </row>
    <row r="86" spans="1:11" x14ac:dyDescent="0.45">
      <c r="A86" s="479" t="s">
        <v>962</v>
      </c>
      <c r="B86" s="479">
        <v>30</v>
      </c>
      <c r="C86" s="2">
        <v>32.090818181818157</v>
      </c>
      <c r="D86" s="2">
        <v>27.126909090909088</v>
      </c>
      <c r="E86" s="479">
        <v>8.2200000000000006</v>
      </c>
      <c r="F86" s="479">
        <v>21</v>
      </c>
      <c r="G86" s="479">
        <v>10.97</v>
      </c>
      <c r="H86" s="479">
        <f t="shared" si="30"/>
        <v>2.75</v>
      </c>
      <c r="I86" s="19">
        <f t="shared" si="34"/>
        <v>4576.4822400000012</v>
      </c>
      <c r="J86" s="23">
        <f t="shared" si="32"/>
        <v>50341.304640000017</v>
      </c>
      <c r="K86" s="2">
        <f t="shared" si="33"/>
        <v>5.4623811458333353</v>
      </c>
    </row>
    <row r="87" spans="1:11" x14ac:dyDescent="0.45">
      <c r="A87" s="479" t="s">
        <v>963</v>
      </c>
      <c r="B87" s="479">
        <v>31</v>
      </c>
      <c r="C87" s="2">
        <v>43.180703812316729</v>
      </c>
      <c r="D87" s="2">
        <v>21.647008797653946</v>
      </c>
      <c r="E87" s="479">
        <v>7.86</v>
      </c>
      <c r="F87" s="479">
        <v>18</v>
      </c>
      <c r="G87" s="479">
        <v>9.1999999999999993</v>
      </c>
      <c r="H87" s="479">
        <f t="shared" si="30"/>
        <v>1.339999999999999</v>
      </c>
      <c r="I87" s="19">
        <f t="shared" si="34"/>
        <v>2229.9949823999982</v>
      </c>
      <c r="J87" s="23">
        <f t="shared" si="32"/>
        <v>24529.944806399981</v>
      </c>
      <c r="K87" s="2">
        <f t="shared" si="33"/>
        <v>2.6616693583333313</v>
      </c>
    </row>
    <row r="95" spans="1:11" x14ac:dyDescent="0.45">
      <c r="H95" t="s">
        <v>1668</v>
      </c>
      <c r="I95" t="s">
        <v>1669</v>
      </c>
    </row>
    <row r="96" spans="1:11" x14ac:dyDescent="0.45">
      <c r="G96">
        <f>H46*B37/B28/B29*B38*60</f>
        <v>1542.6905587200004</v>
      </c>
      <c r="H96">
        <f>G96/1000*2200*1000</f>
        <v>3393919.2291840008</v>
      </c>
      <c r="I96">
        <f>1000*3600</f>
        <v>3600000</v>
      </c>
      <c r="J96">
        <f>H96/I96</f>
        <v>0.94275534144000017</v>
      </c>
    </row>
    <row r="100" spans="7:11" x14ac:dyDescent="0.45">
      <c r="H100" t="s">
        <v>1670</v>
      </c>
    </row>
    <row r="101" spans="7:11" x14ac:dyDescent="0.45">
      <c r="G101">
        <f>B38*7*H46</f>
        <v>25.956000000000007</v>
      </c>
      <c r="H101">
        <v>4180</v>
      </c>
      <c r="I101">
        <f>G101/1000*H101</f>
        <v>108.49608000000003</v>
      </c>
      <c r="J101">
        <f>1000*60*0.3</f>
        <v>18000</v>
      </c>
      <c r="K101">
        <f>J101/I101</f>
        <v>165.90461148458078</v>
      </c>
    </row>
    <row r="119" spans="5:7" x14ac:dyDescent="0.45">
      <c r="E119" t="s">
        <v>1659</v>
      </c>
      <c r="F119" s="499">
        <v>1000</v>
      </c>
      <c r="G119" t="s">
        <v>1662</v>
      </c>
    </row>
    <row r="120" spans="5:7" x14ac:dyDescent="0.45">
      <c r="E120" t="s">
        <v>1660</v>
      </c>
      <c r="F120" s="1">
        <v>4200</v>
      </c>
      <c r="G120" t="s">
        <v>1661</v>
      </c>
    </row>
    <row r="121" spans="5:7" x14ac:dyDescent="0.45">
      <c r="E121" t="s">
        <v>1663</v>
      </c>
      <c r="F121" s="499">
        <v>0.3</v>
      </c>
    </row>
    <row r="122" spans="5:7" x14ac:dyDescent="0.45">
      <c r="E122" t="s">
        <v>1664</v>
      </c>
      <c r="F122" s="1">
        <v>7</v>
      </c>
      <c r="G122" t="s">
        <v>1665</v>
      </c>
    </row>
    <row r="123" spans="5:7" x14ac:dyDescent="0.45">
      <c r="E123" t="s">
        <v>1666</v>
      </c>
      <c r="F123" s="499">
        <v>3</v>
      </c>
    </row>
    <row r="124" spans="5:7" x14ac:dyDescent="0.45">
      <c r="F124" s="1"/>
    </row>
    <row r="125" spans="5:7" x14ac:dyDescent="0.45">
      <c r="E125" t="s">
        <v>1667</v>
      </c>
      <c r="F125" s="13">
        <f>F119*3600/F120/1000*F121/F122/F123*1000</f>
        <v>12.244897959183673</v>
      </c>
    </row>
    <row r="126" spans="5:7" x14ac:dyDescent="0.45">
      <c r="F126" s="1"/>
    </row>
    <row r="127" spans="5:7" x14ac:dyDescent="0.45">
      <c r="F127" s="1"/>
    </row>
    <row r="129" spans="6:6" x14ac:dyDescent="0.45">
      <c r="F129" s="1"/>
    </row>
    <row r="130" spans="6:6" x14ac:dyDescent="0.45">
      <c r="F130" s="1"/>
    </row>
    <row r="131" spans="6:6" x14ac:dyDescent="0.45">
      <c r="F131" s="1"/>
    </row>
    <row r="132" spans="6:6" x14ac:dyDescent="0.45">
      <c r="F132" s="1"/>
    </row>
  </sheetData>
  <mergeCells count="15">
    <mergeCell ref="R1:S1"/>
    <mergeCell ref="T1:U1"/>
    <mergeCell ref="A40:K40"/>
    <mergeCell ref="A1:A2"/>
    <mergeCell ref="B1:B2"/>
    <mergeCell ref="C1:C2"/>
    <mergeCell ref="D1:E1"/>
    <mergeCell ref="A20:C20"/>
    <mergeCell ref="A21:C21"/>
    <mergeCell ref="A57:K57"/>
    <mergeCell ref="A74:K74"/>
    <mergeCell ref="M40:P40"/>
    <mergeCell ref="R40:U40"/>
    <mergeCell ref="A22:C22"/>
    <mergeCell ref="D22:E22"/>
  </mergeCells>
  <phoneticPr fontId="2" type="noConversion"/>
  <conditionalFormatting sqref="C4:C19">
    <cfRule type="expression" dxfId="0" priority="1">
      <formula>"IF($L$3=""NO"")"</formula>
    </cfRule>
  </conditionalFormatting>
  <hyperlinks>
    <hyperlink ref="G32" r:id="rId1" display="https://1drv.ms/x/s!An7mfAz2S-6Ro282T8ymsHwOL8Ra?e=8WUCgG" xr:uid="{E044E965-8F4D-44DD-A9BC-9774561E6776}"/>
    <hyperlink ref="G33" r:id="rId2" display="https://1drv.ms/x/s!An7mfAz2S-6Ro3GoUqcbxgIaD5cD?e=83OflJ" xr:uid="{A686A3A1-47B9-44E3-B85E-69DAC545A13F}"/>
  </hyperlinks>
  <pageMargins left="0.7" right="0.7" top="0.75" bottom="0.75" header="0.3" footer="0.3"/>
  <pageSetup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762DF-050F-4108-9E0A-1EB57F1FB110}">
  <sheetPr>
    <tabColor theme="2" tint="-9.9978637043366805E-2"/>
  </sheetPr>
  <dimension ref="A1:B14"/>
  <sheetViews>
    <sheetView zoomScale="72" workbookViewId="0">
      <selection activeCell="B13" sqref="B13"/>
    </sheetView>
  </sheetViews>
  <sheetFormatPr defaultRowHeight="14.25" x14ac:dyDescent="0.45"/>
  <cols>
    <col min="1" max="1" width="17.73046875" customWidth="1"/>
    <col min="2" max="2" width="21" style="1" bestFit="1" customWidth="1"/>
  </cols>
  <sheetData>
    <row r="1" spans="1:2" x14ac:dyDescent="0.45">
      <c r="A1" s="593" t="s">
        <v>968</v>
      </c>
      <c r="B1" s="593"/>
    </row>
    <row r="2" spans="1:2" x14ac:dyDescent="0.45">
      <c r="A2" s="67" t="s">
        <v>969</v>
      </c>
      <c r="B2" s="75" t="s">
        <v>970</v>
      </c>
    </row>
    <row r="3" spans="1:2" x14ac:dyDescent="0.45">
      <c r="A3" s="67" t="s">
        <v>971</v>
      </c>
      <c r="B3" s="68">
        <v>0.03</v>
      </c>
    </row>
    <row r="4" spans="1:2" x14ac:dyDescent="0.45">
      <c r="A4" s="67" t="s">
        <v>972</v>
      </c>
      <c r="B4" s="69">
        <v>1.6</v>
      </c>
    </row>
    <row r="5" spans="1:2" x14ac:dyDescent="0.45">
      <c r="A5" s="67" t="s">
        <v>973</v>
      </c>
      <c r="B5" s="68">
        <f>1/200</f>
        <v>5.0000000000000001E-3</v>
      </c>
    </row>
    <row r="6" spans="1:2" x14ac:dyDescent="0.45">
      <c r="A6" s="67" t="s">
        <v>974</v>
      </c>
      <c r="B6" s="70">
        <f>B9*1.1</f>
        <v>0.76210235533030612</v>
      </c>
    </row>
    <row r="7" spans="1:2" x14ac:dyDescent="0.45">
      <c r="A7" s="67" t="s">
        <v>975</v>
      </c>
      <c r="B7" s="70">
        <f>B4/2</f>
        <v>0.8</v>
      </c>
    </row>
    <row r="8" spans="1:2" x14ac:dyDescent="0.45">
      <c r="A8" s="67" t="s">
        <v>9</v>
      </c>
      <c r="B8" s="71">
        <f>1.732*B9^2</f>
        <v>0.83135999999999999</v>
      </c>
    </row>
    <row r="9" spans="1:2" x14ac:dyDescent="0.45">
      <c r="A9" s="67" t="s">
        <v>976</v>
      </c>
      <c r="B9" s="70">
        <f>B4/4*(3)^(0.5)</f>
        <v>0.69282032302755092</v>
      </c>
    </row>
    <row r="10" spans="1:2" x14ac:dyDescent="0.45">
      <c r="A10" s="67" t="s">
        <v>977</v>
      </c>
      <c r="B10" s="70">
        <f>B9/2</f>
        <v>0.34641016151377546</v>
      </c>
    </row>
    <row r="11" spans="1:2" x14ac:dyDescent="0.45">
      <c r="A11" s="67" t="s">
        <v>978</v>
      </c>
      <c r="B11" s="70">
        <f>2*1.732*B9</f>
        <v>2.3999295989674363</v>
      </c>
    </row>
    <row r="12" spans="1:2" x14ac:dyDescent="0.45">
      <c r="A12" s="67" t="s">
        <v>979</v>
      </c>
      <c r="B12" s="72">
        <f>B6-B9</f>
        <v>6.9282032302755203E-2</v>
      </c>
    </row>
    <row r="13" spans="1:2" x14ac:dyDescent="0.45">
      <c r="A13" s="67" t="s">
        <v>864</v>
      </c>
      <c r="B13" s="73">
        <f>1.732*(B9^2)/B3*((B9/2)^(2/3))*(B5^0.5)*3600</f>
        <v>3479.4915698727618</v>
      </c>
    </row>
    <row r="14" spans="1:2" x14ac:dyDescent="0.45">
      <c r="A14" s="67" t="s">
        <v>980</v>
      </c>
      <c r="B14" s="74">
        <f>B13/B8/3600</f>
        <v>1.1625835210688116</v>
      </c>
    </row>
  </sheetData>
  <mergeCells count="1">
    <mergeCell ref="A1:B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86E6D-8AAF-4794-9E08-E70978615432}">
  <sheetPr filterMode="1">
    <tabColor theme="2" tint="-9.9978637043366805E-2"/>
    <pageSetUpPr fitToPage="1"/>
  </sheetPr>
  <dimension ref="A1:AI368"/>
  <sheetViews>
    <sheetView zoomScale="67" zoomScaleNormal="75" zoomScaleSheetLayoutView="90" workbookViewId="0">
      <selection activeCell="K240" sqref="K240"/>
    </sheetView>
  </sheetViews>
  <sheetFormatPr defaultRowHeight="14.25" x14ac:dyDescent="0.45"/>
  <cols>
    <col min="1" max="1" width="6.73046875" customWidth="1"/>
    <col min="2" max="2" width="15.86328125" bestFit="1" customWidth="1"/>
    <col min="3" max="3" width="17.73046875" bestFit="1" customWidth="1"/>
    <col min="4" max="4" width="15.59765625" bestFit="1" customWidth="1"/>
    <col min="5" max="5" width="14.59765625" customWidth="1"/>
    <col min="6" max="6" width="17.1328125" bestFit="1" customWidth="1"/>
    <col min="7" max="7" width="14.1328125" customWidth="1"/>
    <col min="8" max="8" width="15.3984375" customWidth="1"/>
    <col min="9" max="9" width="16" customWidth="1"/>
    <col min="10" max="10" width="17.86328125" bestFit="1" customWidth="1"/>
    <col min="11" max="11" width="11.265625" customWidth="1"/>
    <col min="12" max="12" width="16.265625" bestFit="1" customWidth="1"/>
    <col min="13" max="13" width="12.86328125" customWidth="1"/>
    <col min="14" max="14" width="11.265625" bestFit="1" customWidth="1"/>
    <col min="15" max="17" width="15.1328125" customWidth="1"/>
    <col min="18" max="18" width="12.86328125" customWidth="1"/>
    <col min="19" max="19" width="9.73046875" customWidth="1"/>
    <col min="20" max="20" width="8.73046875" bestFit="1" customWidth="1"/>
    <col min="21" max="21" width="7.86328125" bestFit="1" customWidth="1"/>
    <col min="22" max="22" width="11" bestFit="1" customWidth="1"/>
    <col min="23" max="23" width="12.59765625" bestFit="1" customWidth="1"/>
    <col min="24" max="25" width="7.265625" bestFit="1" customWidth="1"/>
    <col min="26" max="26" width="10.265625" bestFit="1" customWidth="1"/>
    <col min="27" max="27" width="14.59765625" bestFit="1" customWidth="1"/>
    <col min="28" max="28" width="4.265625" bestFit="1" customWidth="1"/>
    <col min="29" max="29" width="17.73046875" bestFit="1" customWidth="1"/>
    <col min="30" max="30" width="14.3984375" bestFit="1" customWidth="1"/>
    <col min="31" max="31" width="17.73046875" style="103" bestFit="1" customWidth="1"/>
    <col min="32" max="32" width="12.73046875" style="103" bestFit="1" customWidth="1"/>
    <col min="35" max="35" width="12.1328125" bestFit="1" customWidth="1"/>
  </cols>
  <sheetData>
    <row r="1" spans="1:12" ht="21.4" thickBot="1" x14ac:dyDescent="0.7">
      <c r="A1" s="533" t="str">
        <f>"Mangal - "&amp;ROUND(J31/4047,2)&amp;" Acres"</f>
        <v>Mangal - 27.92 Acres</v>
      </c>
      <c r="B1" s="534"/>
      <c r="C1" s="534"/>
      <c r="D1" s="534"/>
      <c r="E1" s="534"/>
      <c r="F1" s="534"/>
      <c r="G1" s="534"/>
      <c r="H1" s="534"/>
      <c r="I1" s="534"/>
      <c r="J1" s="534"/>
      <c r="K1" s="534"/>
      <c r="L1" s="534"/>
    </row>
    <row r="2" spans="1:12" ht="28.9" thickBot="1" x14ac:dyDescent="0.5">
      <c r="A2" s="477" t="s">
        <v>84</v>
      </c>
      <c r="B2" s="476" t="s">
        <v>85</v>
      </c>
      <c r="C2" s="476" t="s">
        <v>493</v>
      </c>
      <c r="D2" s="476" t="s">
        <v>86</v>
      </c>
      <c r="E2" s="476" t="s">
        <v>88</v>
      </c>
      <c r="F2" s="476" t="s">
        <v>89</v>
      </c>
      <c r="G2" s="476" t="s">
        <v>90</v>
      </c>
      <c r="H2" s="476" t="s">
        <v>91</v>
      </c>
      <c r="I2" s="476" t="s">
        <v>92</v>
      </c>
      <c r="J2" s="476" t="s">
        <v>93</v>
      </c>
      <c r="K2" s="476" t="s">
        <v>981</v>
      </c>
      <c r="L2" s="476" t="s">
        <v>864</v>
      </c>
    </row>
    <row r="3" spans="1:12" ht="14.25" customHeight="1" x14ac:dyDescent="0.45">
      <c r="A3" s="1">
        <v>1</v>
      </c>
      <c r="B3" s="1" t="s">
        <v>12</v>
      </c>
      <c r="C3" s="1" t="s">
        <v>151</v>
      </c>
      <c r="D3" s="1">
        <v>9</v>
      </c>
      <c r="E3" s="1">
        <f>D3*8+3*2</f>
        <v>78</v>
      </c>
      <c r="F3" s="49">
        <v>6</v>
      </c>
      <c r="G3" s="49">
        <v>3</v>
      </c>
      <c r="H3" s="1">
        <v>46</v>
      </c>
      <c r="I3" s="1">
        <v>26</v>
      </c>
      <c r="J3" s="4">
        <f>8*(F3*H3+G3*I3)+6*H3</f>
        <v>3108</v>
      </c>
      <c r="K3" s="62">
        <v>50</v>
      </c>
      <c r="L3" s="64">
        <f t="shared" ref="L3:L30" si="0">J3*K3/1000</f>
        <v>155.4</v>
      </c>
    </row>
    <row r="4" spans="1:12" x14ac:dyDescent="0.45">
      <c r="A4" s="1">
        <v>2</v>
      </c>
      <c r="B4" s="1" t="s">
        <v>14</v>
      </c>
      <c r="C4" s="1" t="s">
        <v>152</v>
      </c>
      <c r="D4" s="1">
        <v>10</v>
      </c>
      <c r="E4" s="1">
        <f t="shared" ref="E4:E30" si="1">D4*8+3*2</f>
        <v>86</v>
      </c>
      <c r="F4" s="49">
        <v>8</v>
      </c>
      <c r="G4" s="49">
        <v>2</v>
      </c>
      <c r="H4" s="1">
        <v>51</v>
      </c>
      <c r="I4" s="1">
        <v>47</v>
      </c>
      <c r="J4" s="4">
        <f t="shared" ref="J4:J30" si="2">8*(F4*H4+G4*I4)+6*H4</f>
        <v>4322</v>
      </c>
      <c r="K4" s="62">
        <f>K3</f>
        <v>50</v>
      </c>
      <c r="L4" s="64">
        <f t="shared" si="0"/>
        <v>216.1</v>
      </c>
    </row>
    <row r="5" spans="1:12" x14ac:dyDescent="0.45">
      <c r="A5" s="1">
        <v>3</v>
      </c>
      <c r="B5" s="1" t="s">
        <v>14</v>
      </c>
      <c r="C5" s="1" t="s">
        <v>153</v>
      </c>
      <c r="D5" s="1">
        <v>10</v>
      </c>
      <c r="E5" s="1">
        <f t="shared" si="1"/>
        <v>86</v>
      </c>
      <c r="F5" s="49">
        <v>8</v>
      </c>
      <c r="G5" s="49">
        <v>2</v>
      </c>
      <c r="H5" s="1">
        <v>51</v>
      </c>
      <c r="I5" s="1">
        <v>51</v>
      </c>
      <c r="J5" s="4">
        <f t="shared" si="2"/>
        <v>4386</v>
      </c>
      <c r="K5" s="62">
        <f t="shared" ref="K5:K30" si="3">K4</f>
        <v>50</v>
      </c>
      <c r="L5" s="64">
        <f t="shared" si="0"/>
        <v>219.3</v>
      </c>
    </row>
    <row r="6" spans="1:12" x14ac:dyDescent="0.45">
      <c r="A6" s="1">
        <v>4</v>
      </c>
      <c r="B6" s="1" t="s">
        <v>16</v>
      </c>
      <c r="C6" s="1" t="s">
        <v>154</v>
      </c>
      <c r="D6" s="1">
        <v>9</v>
      </c>
      <c r="E6" s="1">
        <f t="shared" si="1"/>
        <v>78</v>
      </c>
      <c r="F6" s="49">
        <v>9</v>
      </c>
      <c r="G6" s="49">
        <v>0</v>
      </c>
      <c r="H6" s="1">
        <v>58</v>
      </c>
      <c r="I6" s="1">
        <v>0</v>
      </c>
      <c r="J6" s="4">
        <f t="shared" si="2"/>
        <v>4524</v>
      </c>
      <c r="K6" s="62">
        <f t="shared" si="3"/>
        <v>50</v>
      </c>
      <c r="L6" s="64">
        <f t="shared" si="0"/>
        <v>226.2</v>
      </c>
    </row>
    <row r="7" spans="1:12" x14ac:dyDescent="0.45">
      <c r="A7" s="1">
        <v>5</v>
      </c>
      <c r="B7" s="1" t="s">
        <v>18</v>
      </c>
      <c r="C7" s="1" t="s">
        <v>155</v>
      </c>
      <c r="D7" s="1">
        <v>10</v>
      </c>
      <c r="E7" s="1">
        <f t="shared" si="1"/>
        <v>86</v>
      </c>
      <c r="F7" s="49">
        <v>10</v>
      </c>
      <c r="G7" s="49">
        <v>0</v>
      </c>
      <c r="H7" s="1">
        <v>51</v>
      </c>
      <c r="I7" s="1">
        <v>0</v>
      </c>
      <c r="J7" s="4">
        <f t="shared" si="2"/>
        <v>4386</v>
      </c>
      <c r="K7" s="62">
        <f t="shared" si="3"/>
        <v>50</v>
      </c>
      <c r="L7" s="64">
        <f t="shared" si="0"/>
        <v>219.3</v>
      </c>
    </row>
    <row r="8" spans="1:12" x14ac:dyDescent="0.45">
      <c r="A8" s="1">
        <v>6</v>
      </c>
      <c r="B8" s="1" t="s">
        <v>18</v>
      </c>
      <c r="C8" s="1" t="s">
        <v>156</v>
      </c>
      <c r="D8" s="1">
        <v>10</v>
      </c>
      <c r="E8" s="1">
        <f t="shared" si="1"/>
        <v>86</v>
      </c>
      <c r="F8" s="49">
        <v>10</v>
      </c>
      <c r="G8" s="49">
        <v>0</v>
      </c>
      <c r="H8" s="1">
        <v>51</v>
      </c>
      <c r="I8" s="1">
        <v>0</v>
      </c>
      <c r="J8" s="4">
        <f t="shared" si="2"/>
        <v>4386</v>
      </c>
      <c r="K8" s="62">
        <f t="shared" si="3"/>
        <v>50</v>
      </c>
      <c r="L8" s="64">
        <f t="shared" si="0"/>
        <v>219.3</v>
      </c>
    </row>
    <row r="9" spans="1:12" x14ac:dyDescent="0.45">
      <c r="A9" s="1">
        <v>7</v>
      </c>
      <c r="B9" s="1" t="s">
        <v>20</v>
      </c>
      <c r="C9" s="1" t="s">
        <v>157</v>
      </c>
      <c r="D9" s="1">
        <v>10</v>
      </c>
      <c r="E9" s="1">
        <f t="shared" si="1"/>
        <v>86</v>
      </c>
      <c r="F9" s="49">
        <v>10</v>
      </c>
      <c r="G9" s="49">
        <v>0</v>
      </c>
      <c r="H9" s="1">
        <v>39</v>
      </c>
      <c r="I9" s="1">
        <v>0</v>
      </c>
      <c r="J9" s="4">
        <f t="shared" si="2"/>
        <v>3354</v>
      </c>
      <c r="K9" s="62">
        <f t="shared" si="3"/>
        <v>50</v>
      </c>
      <c r="L9" s="64">
        <f t="shared" si="0"/>
        <v>167.7</v>
      </c>
    </row>
    <row r="10" spans="1:12" x14ac:dyDescent="0.45">
      <c r="A10" s="1">
        <v>8</v>
      </c>
      <c r="B10" s="1" t="s">
        <v>20</v>
      </c>
      <c r="C10" s="1" t="s">
        <v>158</v>
      </c>
      <c r="D10" s="1">
        <v>10</v>
      </c>
      <c r="E10" s="1">
        <f t="shared" si="1"/>
        <v>86</v>
      </c>
      <c r="F10" s="49">
        <v>10</v>
      </c>
      <c r="G10" s="49">
        <v>0</v>
      </c>
      <c r="H10" s="1">
        <v>39</v>
      </c>
      <c r="I10" s="1">
        <v>0</v>
      </c>
      <c r="J10" s="4">
        <f t="shared" si="2"/>
        <v>3354</v>
      </c>
      <c r="K10" s="62">
        <f t="shared" si="3"/>
        <v>50</v>
      </c>
      <c r="L10" s="64">
        <f t="shared" si="0"/>
        <v>167.7</v>
      </c>
    </row>
    <row r="11" spans="1:12" x14ac:dyDescent="0.45">
      <c r="A11" s="1">
        <v>9</v>
      </c>
      <c r="B11" s="1" t="s">
        <v>22</v>
      </c>
      <c r="C11" s="1" t="s">
        <v>159</v>
      </c>
      <c r="D11" s="1">
        <v>10</v>
      </c>
      <c r="E11" s="1">
        <f t="shared" si="1"/>
        <v>86</v>
      </c>
      <c r="F11" s="49">
        <v>4</v>
      </c>
      <c r="G11" s="49">
        <v>6</v>
      </c>
      <c r="H11" s="1">
        <v>43</v>
      </c>
      <c r="I11" s="1">
        <v>19</v>
      </c>
      <c r="J11" s="4">
        <f t="shared" si="2"/>
        <v>2546</v>
      </c>
      <c r="K11" s="62">
        <f t="shared" si="3"/>
        <v>50</v>
      </c>
      <c r="L11" s="64">
        <f t="shared" si="0"/>
        <v>127.3</v>
      </c>
    </row>
    <row r="12" spans="1:12" x14ac:dyDescent="0.45">
      <c r="A12" s="1">
        <v>10</v>
      </c>
      <c r="B12" s="1" t="s">
        <v>22</v>
      </c>
      <c r="C12" s="1" t="s">
        <v>160</v>
      </c>
      <c r="D12" s="1">
        <v>10</v>
      </c>
      <c r="E12" s="1">
        <f t="shared" si="1"/>
        <v>86</v>
      </c>
      <c r="F12" s="49">
        <v>4</v>
      </c>
      <c r="G12" s="49">
        <v>6</v>
      </c>
      <c r="H12" s="1">
        <v>43</v>
      </c>
      <c r="I12" s="1">
        <v>43</v>
      </c>
      <c r="J12" s="4">
        <f t="shared" si="2"/>
        <v>3698</v>
      </c>
      <c r="K12" s="62">
        <f t="shared" si="3"/>
        <v>50</v>
      </c>
      <c r="L12" s="64">
        <f t="shared" si="0"/>
        <v>184.9</v>
      </c>
    </row>
    <row r="13" spans="1:12" x14ac:dyDescent="0.45">
      <c r="A13" s="1">
        <v>11</v>
      </c>
      <c r="B13" s="1" t="s">
        <v>24</v>
      </c>
      <c r="C13" s="1" t="s">
        <v>161</v>
      </c>
      <c r="D13" s="1">
        <v>11</v>
      </c>
      <c r="E13" s="1">
        <f t="shared" si="1"/>
        <v>94</v>
      </c>
      <c r="F13" s="49">
        <v>11</v>
      </c>
      <c r="G13" s="49">
        <v>0</v>
      </c>
      <c r="H13" s="1">
        <v>37</v>
      </c>
      <c r="I13" s="1">
        <v>0</v>
      </c>
      <c r="J13" s="4">
        <f t="shared" si="2"/>
        <v>3478</v>
      </c>
      <c r="K13" s="62">
        <f t="shared" si="3"/>
        <v>50</v>
      </c>
      <c r="L13" s="64">
        <f t="shared" si="0"/>
        <v>173.9</v>
      </c>
    </row>
    <row r="14" spans="1:12" x14ac:dyDescent="0.45">
      <c r="A14" s="1">
        <v>12</v>
      </c>
      <c r="B14" s="1" t="s">
        <v>24</v>
      </c>
      <c r="C14" s="1" t="s">
        <v>162</v>
      </c>
      <c r="D14" s="1">
        <v>11</v>
      </c>
      <c r="E14" s="1">
        <f t="shared" si="1"/>
        <v>94</v>
      </c>
      <c r="F14" s="49">
        <v>11</v>
      </c>
      <c r="G14" s="49">
        <v>0</v>
      </c>
      <c r="H14" s="1">
        <v>37</v>
      </c>
      <c r="I14" s="1">
        <v>0</v>
      </c>
      <c r="J14" s="4">
        <f t="shared" si="2"/>
        <v>3478</v>
      </c>
      <c r="K14" s="62">
        <f t="shared" si="3"/>
        <v>50</v>
      </c>
      <c r="L14" s="64">
        <f t="shared" si="0"/>
        <v>173.9</v>
      </c>
    </row>
    <row r="15" spans="1:12" x14ac:dyDescent="0.45">
      <c r="A15" s="1">
        <v>13</v>
      </c>
      <c r="B15" s="1" t="s">
        <v>27</v>
      </c>
      <c r="C15" s="1" t="s">
        <v>163</v>
      </c>
      <c r="D15" s="1">
        <v>12</v>
      </c>
      <c r="E15" s="1">
        <f t="shared" si="1"/>
        <v>102</v>
      </c>
      <c r="F15" s="49">
        <v>12</v>
      </c>
      <c r="G15" s="49">
        <v>0</v>
      </c>
      <c r="H15" s="1">
        <v>51</v>
      </c>
      <c r="I15" s="1">
        <v>0</v>
      </c>
      <c r="J15" s="4">
        <f t="shared" si="2"/>
        <v>5202</v>
      </c>
      <c r="K15" s="62">
        <f t="shared" si="3"/>
        <v>50</v>
      </c>
      <c r="L15" s="64">
        <f t="shared" si="0"/>
        <v>260.10000000000002</v>
      </c>
    </row>
    <row r="16" spans="1:12" x14ac:dyDescent="0.45">
      <c r="A16" s="1">
        <v>14</v>
      </c>
      <c r="B16" s="1" t="s">
        <v>27</v>
      </c>
      <c r="C16" s="1" t="s">
        <v>164</v>
      </c>
      <c r="D16" s="1">
        <v>12</v>
      </c>
      <c r="E16" s="1">
        <f t="shared" si="1"/>
        <v>102</v>
      </c>
      <c r="F16" s="49">
        <v>12</v>
      </c>
      <c r="G16" s="49">
        <v>0</v>
      </c>
      <c r="H16" s="1">
        <v>51</v>
      </c>
      <c r="I16" s="1">
        <v>0</v>
      </c>
      <c r="J16" s="4">
        <f t="shared" si="2"/>
        <v>5202</v>
      </c>
      <c r="K16" s="62">
        <f t="shared" si="3"/>
        <v>50</v>
      </c>
      <c r="L16" s="64">
        <f t="shared" si="0"/>
        <v>260.10000000000002</v>
      </c>
    </row>
    <row r="17" spans="1:12" x14ac:dyDescent="0.45">
      <c r="A17" s="1">
        <v>15</v>
      </c>
      <c r="B17" s="1" t="s">
        <v>29</v>
      </c>
      <c r="C17" s="1" t="s">
        <v>165</v>
      </c>
      <c r="D17" s="1">
        <v>12</v>
      </c>
      <c r="E17" s="1">
        <f t="shared" si="1"/>
        <v>102</v>
      </c>
      <c r="F17" s="49">
        <v>12</v>
      </c>
      <c r="G17" s="49">
        <v>0</v>
      </c>
      <c r="H17" s="1">
        <v>51</v>
      </c>
      <c r="I17" s="1">
        <v>0</v>
      </c>
      <c r="J17" s="4">
        <f t="shared" si="2"/>
        <v>5202</v>
      </c>
      <c r="K17" s="62">
        <f t="shared" si="3"/>
        <v>50</v>
      </c>
      <c r="L17" s="64">
        <f t="shared" si="0"/>
        <v>260.10000000000002</v>
      </c>
    </row>
    <row r="18" spans="1:12" x14ac:dyDescent="0.45">
      <c r="A18" s="1">
        <v>16</v>
      </c>
      <c r="B18" s="1" t="s">
        <v>29</v>
      </c>
      <c r="C18" s="1" t="s">
        <v>166</v>
      </c>
      <c r="D18" s="1">
        <v>12</v>
      </c>
      <c r="E18" s="1">
        <f t="shared" si="1"/>
        <v>102</v>
      </c>
      <c r="F18" s="49">
        <v>12</v>
      </c>
      <c r="G18" s="49">
        <v>0</v>
      </c>
      <c r="H18" s="1">
        <v>51</v>
      </c>
      <c r="I18" s="1">
        <v>0</v>
      </c>
      <c r="J18" s="4">
        <f t="shared" si="2"/>
        <v>5202</v>
      </c>
      <c r="K18" s="62">
        <f t="shared" si="3"/>
        <v>50</v>
      </c>
      <c r="L18" s="64">
        <f t="shared" si="0"/>
        <v>260.10000000000002</v>
      </c>
    </row>
    <row r="19" spans="1:12" x14ac:dyDescent="0.45">
      <c r="A19" s="1">
        <v>17</v>
      </c>
      <c r="B19" s="1" t="s">
        <v>31</v>
      </c>
      <c r="C19" s="1" t="s">
        <v>167</v>
      </c>
      <c r="D19" s="1">
        <v>12</v>
      </c>
      <c r="E19" s="1">
        <f t="shared" si="1"/>
        <v>102</v>
      </c>
      <c r="F19" s="49">
        <v>12</v>
      </c>
      <c r="G19" s="49">
        <v>0</v>
      </c>
      <c r="H19" s="1">
        <v>37</v>
      </c>
      <c r="I19" s="1">
        <v>0</v>
      </c>
      <c r="J19" s="4">
        <f t="shared" si="2"/>
        <v>3774</v>
      </c>
      <c r="K19" s="62">
        <f t="shared" si="3"/>
        <v>50</v>
      </c>
      <c r="L19" s="64">
        <f t="shared" si="0"/>
        <v>188.7</v>
      </c>
    </row>
    <row r="20" spans="1:12" x14ac:dyDescent="0.45">
      <c r="A20" s="1">
        <v>18</v>
      </c>
      <c r="B20" s="1" t="s">
        <v>31</v>
      </c>
      <c r="C20" s="1" t="s">
        <v>168</v>
      </c>
      <c r="D20" s="1">
        <v>12</v>
      </c>
      <c r="E20" s="1">
        <f t="shared" si="1"/>
        <v>102</v>
      </c>
      <c r="F20" s="49">
        <v>12</v>
      </c>
      <c r="G20" s="49">
        <v>0</v>
      </c>
      <c r="H20" s="1">
        <v>37</v>
      </c>
      <c r="I20" s="1">
        <v>0</v>
      </c>
      <c r="J20" s="4">
        <f t="shared" si="2"/>
        <v>3774</v>
      </c>
      <c r="K20" s="62">
        <f t="shared" si="3"/>
        <v>50</v>
      </c>
      <c r="L20" s="64">
        <f t="shared" si="0"/>
        <v>188.7</v>
      </c>
    </row>
    <row r="21" spans="1:12" x14ac:dyDescent="0.45">
      <c r="A21" s="1">
        <v>19</v>
      </c>
      <c r="B21" s="1" t="s">
        <v>33</v>
      </c>
      <c r="C21" s="1" t="s">
        <v>169</v>
      </c>
      <c r="D21" s="1">
        <v>12</v>
      </c>
      <c r="E21" s="1">
        <f t="shared" si="1"/>
        <v>102</v>
      </c>
      <c r="F21" s="49">
        <v>9</v>
      </c>
      <c r="G21" s="49">
        <v>3</v>
      </c>
      <c r="H21" s="1">
        <v>42</v>
      </c>
      <c r="I21" s="1">
        <v>38</v>
      </c>
      <c r="J21" s="4">
        <f t="shared" si="2"/>
        <v>4188</v>
      </c>
      <c r="K21" s="62">
        <f t="shared" si="3"/>
        <v>50</v>
      </c>
      <c r="L21" s="64">
        <f t="shared" si="0"/>
        <v>209.4</v>
      </c>
    </row>
    <row r="22" spans="1:12" x14ac:dyDescent="0.45">
      <c r="A22" s="1">
        <v>20</v>
      </c>
      <c r="B22" s="1" t="s">
        <v>35</v>
      </c>
      <c r="C22" s="1" t="s">
        <v>170</v>
      </c>
      <c r="D22" s="1">
        <v>12</v>
      </c>
      <c r="E22" s="1">
        <f t="shared" si="1"/>
        <v>102</v>
      </c>
      <c r="F22" s="49">
        <v>12</v>
      </c>
      <c r="G22" s="49">
        <v>0</v>
      </c>
      <c r="H22" s="1">
        <v>42</v>
      </c>
      <c r="I22" s="1">
        <v>0</v>
      </c>
      <c r="J22" s="4">
        <f t="shared" si="2"/>
        <v>4284</v>
      </c>
      <c r="K22" s="62">
        <f t="shared" si="3"/>
        <v>50</v>
      </c>
      <c r="L22" s="64">
        <f t="shared" si="0"/>
        <v>214.2</v>
      </c>
    </row>
    <row r="23" spans="1:12" x14ac:dyDescent="0.45">
      <c r="A23" s="1">
        <v>21</v>
      </c>
      <c r="B23" s="1" t="s">
        <v>37</v>
      </c>
      <c r="C23" s="1" t="s">
        <v>171</v>
      </c>
      <c r="D23" s="1">
        <v>12</v>
      </c>
      <c r="E23" s="1">
        <f t="shared" si="1"/>
        <v>102</v>
      </c>
      <c r="F23" s="49">
        <v>12</v>
      </c>
      <c r="G23" s="49">
        <v>0</v>
      </c>
      <c r="H23" s="1">
        <v>31</v>
      </c>
      <c r="I23" s="1">
        <v>0</v>
      </c>
      <c r="J23" s="4">
        <f t="shared" si="2"/>
        <v>3162</v>
      </c>
      <c r="K23" s="62">
        <f t="shared" si="3"/>
        <v>50</v>
      </c>
      <c r="L23" s="64">
        <f t="shared" si="0"/>
        <v>158.1</v>
      </c>
    </row>
    <row r="24" spans="1:12" x14ac:dyDescent="0.45">
      <c r="A24" s="1">
        <v>22</v>
      </c>
      <c r="B24" s="1" t="s">
        <v>37</v>
      </c>
      <c r="C24" s="1" t="s">
        <v>172</v>
      </c>
      <c r="D24" s="1">
        <v>12</v>
      </c>
      <c r="E24" s="1">
        <f t="shared" si="1"/>
        <v>102</v>
      </c>
      <c r="F24" s="49">
        <v>12</v>
      </c>
      <c r="G24" s="49">
        <v>0</v>
      </c>
      <c r="H24" s="1">
        <v>31</v>
      </c>
      <c r="I24" s="1">
        <v>0</v>
      </c>
      <c r="J24" s="4">
        <f t="shared" si="2"/>
        <v>3162</v>
      </c>
      <c r="K24" s="62">
        <f t="shared" si="3"/>
        <v>50</v>
      </c>
      <c r="L24" s="64">
        <f t="shared" si="0"/>
        <v>158.1</v>
      </c>
    </row>
    <row r="25" spans="1:12" x14ac:dyDescent="0.45">
      <c r="A25" s="1">
        <v>23</v>
      </c>
      <c r="B25" s="1" t="s">
        <v>39</v>
      </c>
      <c r="C25" s="1" t="s">
        <v>173</v>
      </c>
      <c r="D25" s="1">
        <v>12</v>
      </c>
      <c r="E25" s="1">
        <f t="shared" si="1"/>
        <v>102</v>
      </c>
      <c r="F25" s="49">
        <v>12</v>
      </c>
      <c r="G25" s="49">
        <v>0</v>
      </c>
      <c r="H25" s="1">
        <v>39</v>
      </c>
      <c r="I25" s="1">
        <v>0</v>
      </c>
      <c r="J25" s="4">
        <f t="shared" si="2"/>
        <v>3978</v>
      </c>
      <c r="K25" s="62">
        <f>K24</f>
        <v>50</v>
      </c>
      <c r="L25" s="64">
        <f t="shared" si="0"/>
        <v>198.9</v>
      </c>
    </row>
    <row r="26" spans="1:12" x14ac:dyDescent="0.45">
      <c r="A26" s="1">
        <v>24</v>
      </c>
      <c r="B26" s="1" t="s">
        <v>39</v>
      </c>
      <c r="C26" s="1" t="s">
        <v>174</v>
      </c>
      <c r="D26" s="1">
        <v>12</v>
      </c>
      <c r="E26" s="1">
        <f t="shared" si="1"/>
        <v>102</v>
      </c>
      <c r="F26" s="49">
        <v>12</v>
      </c>
      <c r="G26" s="49">
        <v>0</v>
      </c>
      <c r="H26" s="1">
        <v>39</v>
      </c>
      <c r="I26" s="1">
        <v>0</v>
      </c>
      <c r="J26" s="4">
        <f t="shared" si="2"/>
        <v>3978</v>
      </c>
      <c r="K26" s="62">
        <f t="shared" si="3"/>
        <v>50</v>
      </c>
      <c r="L26" s="64">
        <f t="shared" si="0"/>
        <v>198.9</v>
      </c>
    </row>
    <row r="27" spans="1:12" x14ac:dyDescent="0.45">
      <c r="A27" s="1">
        <v>25</v>
      </c>
      <c r="B27" s="1" t="s">
        <v>42</v>
      </c>
      <c r="C27" s="1" t="s">
        <v>175</v>
      </c>
      <c r="D27" s="1">
        <v>11</v>
      </c>
      <c r="E27" s="1">
        <f t="shared" si="1"/>
        <v>94</v>
      </c>
      <c r="F27" s="49">
        <v>9</v>
      </c>
      <c r="G27" s="49">
        <v>2</v>
      </c>
      <c r="H27" s="1">
        <v>45</v>
      </c>
      <c r="I27" s="1">
        <v>21</v>
      </c>
      <c r="J27" s="4">
        <f t="shared" si="2"/>
        <v>3846</v>
      </c>
      <c r="K27" s="62">
        <f t="shared" si="3"/>
        <v>50</v>
      </c>
      <c r="L27" s="64">
        <f t="shared" si="0"/>
        <v>192.3</v>
      </c>
    </row>
    <row r="28" spans="1:12" x14ac:dyDescent="0.45">
      <c r="A28" s="1">
        <v>26</v>
      </c>
      <c r="B28" s="1" t="s">
        <v>42</v>
      </c>
      <c r="C28" s="1" t="s">
        <v>176</v>
      </c>
      <c r="D28" s="1">
        <v>11</v>
      </c>
      <c r="E28" s="1">
        <f t="shared" si="1"/>
        <v>94</v>
      </c>
      <c r="F28" s="49">
        <v>9</v>
      </c>
      <c r="G28" s="49">
        <v>2</v>
      </c>
      <c r="H28" s="1">
        <v>45</v>
      </c>
      <c r="I28" s="1">
        <v>45</v>
      </c>
      <c r="J28" s="4">
        <f t="shared" si="2"/>
        <v>4230</v>
      </c>
      <c r="K28" s="62">
        <f t="shared" si="3"/>
        <v>50</v>
      </c>
      <c r="L28" s="64">
        <f t="shared" si="0"/>
        <v>211.5</v>
      </c>
    </row>
    <row r="29" spans="1:12" x14ac:dyDescent="0.45">
      <c r="A29" s="1">
        <v>27</v>
      </c>
      <c r="B29" s="1" t="s">
        <v>295</v>
      </c>
      <c r="C29" s="1" t="s">
        <v>197</v>
      </c>
      <c r="D29" s="1">
        <v>10</v>
      </c>
      <c r="E29" s="1">
        <f t="shared" si="1"/>
        <v>86</v>
      </c>
      <c r="F29" s="49">
        <v>10</v>
      </c>
      <c r="G29" s="49">
        <v>0</v>
      </c>
      <c r="H29" s="1">
        <v>51</v>
      </c>
      <c r="I29" s="1">
        <v>0</v>
      </c>
      <c r="J29" s="4">
        <f t="shared" si="2"/>
        <v>4386</v>
      </c>
      <c r="K29" s="62">
        <f t="shared" si="3"/>
        <v>50</v>
      </c>
      <c r="L29" s="64">
        <f t="shared" si="0"/>
        <v>219.3</v>
      </c>
    </row>
    <row r="30" spans="1:12" ht="14.65" thickBot="1" x14ac:dyDescent="0.5">
      <c r="A30" s="34">
        <v>28</v>
      </c>
      <c r="B30" s="34" t="s">
        <v>295</v>
      </c>
      <c r="C30" s="34" t="s">
        <v>198</v>
      </c>
      <c r="D30" s="34">
        <v>10</v>
      </c>
      <c r="E30" s="34">
        <f t="shared" si="1"/>
        <v>86</v>
      </c>
      <c r="F30" s="50">
        <v>10</v>
      </c>
      <c r="G30" s="50">
        <v>0</v>
      </c>
      <c r="H30" s="34">
        <v>51</v>
      </c>
      <c r="I30" s="34">
        <v>0</v>
      </c>
      <c r="J30" s="35">
        <f t="shared" si="2"/>
        <v>4386</v>
      </c>
      <c r="K30" s="63">
        <f t="shared" si="3"/>
        <v>50</v>
      </c>
      <c r="L30" s="65">
        <f t="shared" si="0"/>
        <v>219.3</v>
      </c>
    </row>
    <row r="31" spans="1:12" s="1" customFormat="1" ht="14.65" thickTop="1" x14ac:dyDescent="0.45">
      <c r="A31" s="42"/>
      <c r="B31" s="42"/>
      <c r="C31" s="42"/>
      <c r="D31" s="42"/>
      <c r="E31" s="42"/>
      <c r="F31" s="42"/>
      <c r="G31" s="42"/>
      <c r="H31" s="42"/>
      <c r="I31" s="42"/>
      <c r="J31" s="8">
        <f>SUM(J3:J30)</f>
        <v>112976</v>
      </c>
      <c r="K31" s="8"/>
      <c r="L31" s="66">
        <f>SUM(L3:L30)</f>
        <v>5648.7999999999993</v>
      </c>
    </row>
    <row r="34" spans="1:9" x14ac:dyDescent="0.45">
      <c r="A34" t="s">
        <v>982</v>
      </c>
      <c r="C34" t="s">
        <v>983</v>
      </c>
    </row>
    <row r="35" spans="1:9" x14ac:dyDescent="0.45">
      <c r="A35" t="s">
        <v>984</v>
      </c>
      <c r="C35" t="s">
        <v>985</v>
      </c>
    </row>
    <row r="36" spans="1:9" x14ac:dyDescent="0.45">
      <c r="A36" t="s">
        <v>986</v>
      </c>
    </row>
    <row r="43" spans="1:9" s="42" customFormat="1" ht="15.75" x14ac:dyDescent="0.5">
      <c r="A43" s="484" t="s">
        <v>987</v>
      </c>
      <c r="B43" s="484" t="s">
        <v>2</v>
      </c>
      <c r="C43" s="484" t="s">
        <v>988</v>
      </c>
      <c r="D43" s="484" t="s">
        <v>9</v>
      </c>
      <c r="E43" s="484" t="s">
        <v>989</v>
      </c>
      <c r="F43" s="484" t="s">
        <v>990</v>
      </c>
      <c r="G43" s="484" t="s">
        <v>219</v>
      </c>
      <c r="H43" s="484" t="s">
        <v>991</v>
      </c>
      <c r="I43" s="484" t="s">
        <v>992</v>
      </c>
    </row>
    <row r="44" spans="1:9" x14ac:dyDescent="0.45">
      <c r="A44" s="79">
        <v>2</v>
      </c>
      <c r="B44" s="1" t="s">
        <v>42</v>
      </c>
      <c r="C44" s="1" t="s">
        <v>993</v>
      </c>
      <c r="D44" s="4">
        <v>1076.76</v>
      </c>
      <c r="E44" s="62">
        <v>50</v>
      </c>
      <c r="F44" s="1">
        <v>0.5</v>
      </c>
      <c r="G44" s="64">
        <f t="shared" ref="G44:G75" si="4">D44*E44*F44/1000</f>
        <v>26.919</v>
      </c>
      <c r="H44" s="1">
        <v>1</v>
      </c>
      <c r="I44" s="1">
        <v>7</v>
      </c>
    </row>
    <row r="45" spans="1:9" x14ac:dyDescent="0.45">
      <c r="A45" s="79" t="s">
        <v>85</v>
      </c>
      <c r="B45" s="1" t="s">
        <v>42</v>
      </c>
      <c r="C45" s="1" t="s">
        <v>994</v>
      </c>
      <c r="D45" s="16">
        <v>3510</v>
      </c>
      <c r="E45" s="62">
        <v>50</v>
      </c>
      <c r="F45" s="1">
        <v>1</v>
      </c>
      <c r="G45" s="64">
        <f t="shared" si="4"/>
        <v>175.5</v>
      </c>
      <c r="H45" s="1">
        <v>2</v>
      </c>
      <c r="I45" s="1">
        <v>1</v>
      </c>
    </row>
    <row r="46" spans="1:9" x14ac:dyDescent="0.45">
      <c r="A46" s="79">
        <v>1</v>
      </c>
      <c r="B46" s="1" t="s">
        <v>42</v>
      </c>
      <c r="C46" s="1" t="s">
        <v>995</v>
      </c>
      <c r="D46" s="4">
        <v>1325.42</v>
      </c>
      <c r="E46" s="62">
        <v>50</v>
      </c>
      <c r="F46" s="1">
        <v>0.5</v>
      </c>
      <c r="G46" s="64">
        <f t="shared" si="4"/>
        <v>33.1355</v>
      </c>
      <c r="H46" s="1">
        <v>2</v>
      </c>
      <c r="I46" s="1">
        <v>1</v>
      </c>
    </row>
    <row r="47" spans="1:9" x14ac:dyDescent="0.45">
      <c r="A47" s="79" t="s">
        <v>85</v>
      </c>
      <c r="B47" s="1" t="s">
        <v>42</v>
      </c>
      <c r="C47" s="1" t="s">
        <v>996</v>
      </c>
      <c r="D47" s="16">
        <v>336</v>
      </c>
      <c r="E47" s="62">
        <v>50</v>
      </c>
      <c r="F47" s="1">
        <v>1</v>
      </c>
      <c r="G47" s="64">
        <f t="shared" si="4"/>
        <v>16.8</v>
      </c>
      <c r="H47" s="1">
        <v>3</v>
      </c>
      <c r="I47" s="1" t="s">
        <v>997</v>
      </c>
    </row>
    <row r="48" spans="1:9" x14ac:dyDescent="0.45">
      <c r="A48" s="79" t="s">
        <v>998</v>
      </c>
      <c r="B48" s="1" t="s">
        <v>42</v>
      </c>
      <c r="C48" s="1" t="s">
        <v>994</v>
      </c>
      <c r="D48" s="4">
        <v>275.02999999999997</v>
      </c>
      <c r="E48" s="62">
        <v>50</v>
      </c>
      <c r="F48" s="1">
        <v>0.5</v>
      </c>
      <c r="G48" s="64">
        <f t="shared" si="4"/>
        <v>6.8757499999999991</v>
      </c>
      <c r="H48" s="1">
        <v>3</v>
      </c>
      <c r="I48" s="1" t="s">
        <v>997</v>
      </c>
    </row>
    <row r="49" spans="1:9" x14ac:dyDescent="0.45">
      <c r="A49" s="79" t="s">
        <v>85</v>
      </c>
      <c r="B49" s="1" t="s">
        <v>39</v>
      </c>
      <c r="C49" s="1" t="s">
        <v>11</v>
      </c>
      <c r="D49" s="16">
        <v>3978</v>
      </c>
      <c r="E49" s="62">
        <v>50</v>
      </c>
      <c r="F49" s="1">
        <v>1</v>
      </c>
      <c r="G49" s="64">
        <f t="shared" si="4"/>
        <v>198.9</v>
      </c>
      <c r="H49" s="1">
        <v>4</v>
      </c>
      <c r="I49" s="1">
        <v>5</v>
      </c>
    </row>
    <row r="50" spans="1:9" x14ac:dyDescent="0.45">
      <c r="A50" s="79" t="s">
        <v>999</v>
      </c>
      <c r="B50" s="1" t="s">
        <v>39</v>
      </c>
      <c r="C50" s="1" t="s">
        <v>996</v>
      </c>
      <c r="D50" s="4">
        <v>539.21</v>
      </c>
      <c r="E50" s="62">
        <v>50</v>
      </c>
      <c r="F50" s="1">
        <v>0.5</v>
      </c>
      <c r="G50" s="64">
        <f t="shared" si="4"/>
        <v>13.48025</v>
      </c>
      <c r="H50" s="1">
        <v>4</v>
      </c>
      <c r="I50" s="1">
        <v>5</v>
      </c>
    </row>
    <row r="51" spans="1:9" x14ac:dyDescent="0.45">
      <c r="A51" s="79" t="s">
        <v>1000</v>
      </c>
      <c r="B51" s="1" t="s">
        <v>39</v>
      </c>
      <c r="C51" s="1" t="s">
        <v>995</v>
      </c>
      <c r="D51" s="4">
        <v>1482.68</v>
      </c>
      <c r="E51" s="62">
        <v>50</v>
      </c>
      <c r="F51" s="1">
        <v>0.5</v>
      </c>
      <c r="G51" s="64">
        <f t="shared" si="4"/>
        <v>37.067</v>
      </c>
      <c r="H51" s="1">
        <v>5</v>
      </c>
      <c r="I51" s="1">
        <v>6</v>
      </c>
    </row>
    <row r="52" spans="1:9" x14ac:dyDescent="0.45">
      <c r="A52" s="79" t="s">
        <v>1001</v>
      </c>
      <c r="B52" s="1" t="s">
        <v>42</v>
      </c>
      <c r="C52" s="1" t="s">
        <v>993</v>
      </c>
      <c r="D52" s="4">
        <v>906.58</v>
      </c>
      <c r="E52" s="62">
        <v>50</v>
      </c>
      <c r="F52" s="1">
        <v>0.5</v>
      </c>
      <c r="G52" s="64">
        <f t="shared" si="4"/>
        <v>22.6645</v>
      </c>
      <c r="H52" s="1">
        <v>5</v>
      </c>
      <c r="I52" s="1">
        <v>6</v>
      </c>
    </row>
    <row r="53" spans="1:9" x14ac:dyDescent="0.45">
      <c r="A53" s="79" t="s">
        <v>85</v>
      </c>
      <c r="B53" s="1" t="s">
        <v>42</v>
      </c>
      <c r="C53" s="1" t="s">
        <v>1002</v>
      </c>
      <c r="D53" s="16">
        <v>4230</v>
      </c>
      <c r="E53" s="62">
        <v>50</v>
      </c>
      <c r="F53" s="1">
        <v>1</v>
      </c>
      <c r="G53" s="64">
        <f t="shared" si="4"/>
        <v>211.5</v>
      </c>
      <c r="H53" s="1">
        <v>6</v>
      </c>
      <c r="I53" s="1">
        <v>7</v>
      </c>
    </row>
    <row r="54" spans="1:9" x14ac:dyDescent="0.45">
      <c r="A54" s="79">
        <v>3</v>
      </c>
      <c r="B54" s="1" t="s">
        <v>42</v>
      </c>
      <c r="C54" s="1" t="s">
        <v>26</v>
      </c>
      <c r="D54" s="4">
        <v>1095.98</v>
      </c>
      <c r="E54" s="62">
        <v>50</v>
      </c>
      <c r="F54" s="1">
        <v>0.5</v>
      </c>
      <c r="G54" s="64">
        <f t="shared" si="4"/>
        <v>27.3995</v>
      </c>
      <c r="H54" s="1">
        <v>6</v>
      </c>
      <c r="I54" s="1">
        <v>7</v>
      </c>
    </row>
    <row r="55" spans="1:9" x14ac:dyDescent="0.45">
      <c r="A55" s="79" t="s">
        <v>85</v>
      </c>
      <c r="B55" s="1" t="s">
        <v>295</v>
      </c>
      <c r="C55" s="1" t="s">
        <v>11</v>
      </c>
      <c r="D55" s="16">
        <v>4386</v>
      </c>
      <c r="E55" s="62">
        <v>50</v>
      </c>
      <c r="F55" s="1">
        <v>1</v>
      </c>
      <c r="G55" s="64">
        <f t="shared" si="4"/>
        <v>219.3</v>
      </c>
      <c r="H55" s="1">
        <v>8</v>
      </c>
      <c r="I55" s="1">
        <v>9</v>
      </c>
    </row>
    <row r="56" spans="1:9" x14ac:dyDescent="0.45">
      <c r="A56" s="79" t="s">
        <v>1003</v>
      </c>
      <c r="B56" s="1" t="s">
        <v>295</v>
      </c>
      <c r="C56" s="1" t="s">
        <v>996</v>
      </c>
      <c r="D56" s="4">
        <v>562.6</v>
      </c>
      <c r="E56" s="62">
        <v>50</v>
      </c>
      <c r="F56" s="1">
        <v>0.5</v>
      </c>
      <c r="G56" s="64">
        <f t="shared" si="4"/>
        <v>14.065</v>
      </c>
      <c r="H56" s="1">
        <v>8</v>
      </c>
      <c r="I56" s="1">
        <v>9</v>
      </c>
    </row>
    <row r="57" spans="1:9" x14ac:dyDescent="0.45">
      <c r="A57" s="79" t="s">
        <v>1004</v>
      </c>
      <c r="B57" s="1" t="s">
        <v>295</v>
      </c>
      <c r="C57" s="1" t="s">
        <v>994</v>
      </c>
      <c r="D57" s="4">
        <v>645.63</v>
      </c>
      <c r="E57" s="62">
        <v>50</v>
      </c>
      <c r="F57" s="1">
        <v>0.5</v>
      </c>
      <c r="G57" s="64">
        <f t="shared" si="4"/>
        <v>16.140750000000001</v>
      </c>
      <c r="H57" s="1">
        <v>9</v>
      </c>
      <c r="I57" s="1" t="s">
        <v>1005</v>
      </c>
    </row>
    <row r="58" spans="1:9" x14ac:dyDescent="0.45">
      <c r="A58" s="79" t="s">
        <v>85</v>
      </c>
      <c r="B58" s="1" t="s">
        <v>295</v>
      </c>
      <c r="C58" s="1" t="s">
        <v>1002</v>
      </c>
      <c r="D58" s="16">
        <v>4386</v>
      </c>
      <c r="E58" s="62">
        <v>50</v>
      </c>
      <c r="F58" s="1">
        <v>1</v>
      </c>
      <c r="G58" s="64">
        <f t="shared" si="4"/>
        <v>219.3</v>
      </c>
      <c r="H58" s="1">
        <v>10</v>
      </c>
      <c r="I58" s="1">
        <v>11</v>
      </c>
    </row>
    <row r="59" spans="1:9" x14ac:dyDescent="0.45">
      <c r="A59" s="79">
        <v>5</v>
      </c>
      <c r="B59" s="1" t="s">
        <v>295</v>
      </c>
      <c r="C59" s="1" t="s">
        <v>26</v>
      </c>
      <c r="D59" s="4">
        <v>591.08000000000004</v>
      </c>
      <c r="E59" s="62">
        <v>50</v>
      </c>
      <c r="F59" s="1">
        <v>0.5</v>
      </c>
      <c r="G59" s="64">
        <f t="shared" si="4"/>
        <v>14.777000000000001</v>
      </c>
      <c r="H59" s="1">
        <v>10</v>
      </c>
      <c r="I59" s="1">
        <v>11</v>
      </c>
    </row>
    <row r="60" spans="1:9" x14ac:dyDescent="0.45">
      <c r="A60" s="79" t="s">
        <v>1006</v>
      </c>
      <c r="B60" s="1" t="s">
        <v>295</v>
      </c>
      <c r="C60" s="1" t="s">
        <v>1007</v>
      </c>
      <c r="D60" s="4">
        <v>375.1</v>
      </c>
      <c r="E60" s="62">
        <v>50</v>
      </c>
      <c r="F60" s="1">
        <v>0.5</v>
      </c>
      <c r="G60" s="64">
        <f t="shared" si="4"/>
        <v>9.3774999999999995</v>
      </c>
      <c r="H60" s="1">
        <v>10</v>
      </c>
      <c r="I60" s="1">
        <v>11</v>
      </c>
    </row>
    <row r="61" spans="1:9" x14ac:dyDescent="0.45">
      <c r="A61" s="79">
        <v>6</v>
      </c>
      <c r="B61" s="1" t="s">
        <v>295</v>
      </c>
      <c r="C61" s="1" t="s">
        <v>1008</v>
      </c>
      <c r="D61" s="4">
        <v>175.76</v>
      </c>
      <c r="E61" s="62">
        <v>50</v>
      </c>
      <c r="F61" s="1">
        <v>0.5</v>
      </c>
      <c r="G61" s="64">
        <f t="shared" si="4"/>
        <v>4.3940000000000001</v>
      </c>
      <c r="H61" s="1">
        <v>11</v>
      </c>
      <c r="I61" s="1" t="s">
        <v>1009</v>
      </c>
    </row>
    <row r="62" spans="1:9" x14ac:dyDescent="0.45">
      <c r="A62" s="79" t="s">
        <v>85</v>
      </c>
      <c r="B62" s="1" t="s">
        <v>39</v>
      </c>
      <c r="C62" s="1" t="s">
        <v>1002</v>
      </c>
      <c r="D62" s="16">
        <v>3978</v>
      </c>
      <c r="E62" s="62">
        <v>50</v>
      </c>
      <c r="F62" s="1">
        <v>1</v>
      </c>
      <c r="G62" s="64">
        <f t="shared" si="4"/>
        <v>198.9</v>
      </c>
      <c r="H62" s="1">
        <v>12</v>
      </c>
      <c r="I62" s="1">
        <v>13</v>
      </c>
    </row>
    <row r="63" spans="1:9" x14ac:dyDescent="0.45">
      <c r="A63" s="79">
        <v>10</v>
      </c>
      <c r="B63" s="1" t="s">
        <v>39</v>
      </c>
      <c r="C63" s="1" t="s">
        <v>1002</v>
      </c>
      <c r="D63" s="4">
        <v>871</v>
      </c>
      <c r="E63" s="62">
        <v>50</v>
      </c>
      <c r="F63" s="1">
        <v>0.5</v>
      </c>
      <c r="G63" s="64">
        <f t="shared" si="4"/>
        <v>21.774999999999999</v>
      </c>
      <c r="H63" s="1">
        <v>12</v>
      </c>
      <c r="I63" s="1">
        <v>13</v>
      </c>
    </row>
    <row r="64" spans="1:9" x14ac:dyDescent="0.45">
      <c r="A64" s="79" t="s">
        <v>1010</v>
      </c>
      <c r="B64" s="1" t="s">
        <v>295</v>
      </c>
      <c r="C64" s="1" t="s">
        <v>1008</v>
      </c>
      <c r="D64" s="4">
        <v>388.8</v>
      </c>
      <c r="E64" s="62">
        <v>50</v>
      </c>
      <c r="F64" s="1">
        <v>0.5</v>
      </c>
      <c r="G64" s="64">
        <f t="shared" si="4"/>
        <v>9.7200000000000006</v>
      </c>
      <c r="H64" s="1">
        <v>12</v>
      </c>
      <c r="I64" s="1">
        <v>13</v>
      </c>
    </row>
    <row r="65" spans="1:9" x14ac:dyDescent="0.45">
      <c r="A65" s="79" t="s">
        <v>1009</v>
      </c>
      <c r="B65" s="1" t="s">
        <v>39</v>
      </c>
      <c r="C65" s="1" t="s">
        <v>1008</v>
      </c>
      <c r="D65" s="4">
        <v>319.12</v>
      </c>
      <c r="E65" s="62">
        <v>50</v>
      </c>
      <c r="F65" s="1">
        <v>0.5</v>
      </c>
      <c r="G65" s="64">
        <f t="shared" si="4"/>
        <v>7.9779999999999998</v>
      </c>
      <c r="H65" s="1">
        <v>13</v>
      </c>
      <c r="I65" s="1" t="s">
        <v>1011</v>
      </c>
    </row>
    <row r="66" spans="1:9" x14ac:dyDescent="0.45">
      <c r="A66" s="79" t="s">
        <v>85</v>
      </c>
      <c r="B66" s="1" t="s">
        <v>37</v>
      </c>
      <c r="C66" s="1" t="s">
        <v>1002</v>
      </c>
      <c r="D66" s="16">
        <v>3162</v>
      </c>
      <c r="E66" s="62">
        <v>50</v>
      </c>
      <c r="F66" s="1">
        <v>1</v>
      </c>
      <c r="G66" s="64">
        <f t="shared" si="4"/>
        <v>158.1</v>
      </c>
      <c r="H66" s="1">
        <v>14</v>
      </c>
      <c r="I66" s="1">
        <v>15</v>
      </c>
    </row>
    <row r="67" spans="1:9" x14ac:dyDescent="0.45">
      <c r="A67" s="79">
        <v>12</v>
      </c>
      <c r="B67" s="1" t="s">
        <v>37</v>
      </c>
      <c r="C67" s="1" t="s">
        <v>1002</v>
      </c>
      <c r="D67" s="4">
        <v>786.93</v>
      </c>
      <c r="E67" s="62">
        <v>50</v>
      </c>
      <c r="F67" s="1">
        <v>0.5</v>
      </c>
      <c r="G67" s="64">
        <f t="shared" si="4"/>
        <v>19.673249999999999</v>
      </c>
      <c r="H67" s="1">
        <v>14</v>
      </c>
      <c r="I67" s="1">
        <v>15</v>
      </c>
    </row>
    <row r="68" spans="1:9" x14ac:dyDescent="0.45">
      <c r="A68" s="79">
        <v>16</v>
      </c>
      <c r="B68" s="1" t="s">
        <v>35</v>
      </c>
      <c r="C68" s="1" t="s">
        <v>1007</v>
      </c>
      <c r="D68" s="4">
        <v>1030.8599999999999</v>
      </c>
      <c r="E68" s="62">
        <v>50</v>
      </c>
      <c r="F68" s="1">
        <v>0.5</v>
      </c>
      <c r="G68" s="64">
        <f t="shared" si="4"/>
        <v>25.771499999999996</v>
      </c>
      <c r="H68" s="1">
        <v>15</v>
      </c>
      <c r="I68" s="1" t="s">
        <v>1012</v>
      </c>
    </row>
    <row r="69" spans="1:9" x14ac:dyDescent="0.45">
      <c r="A69" s="79" t="s">
        <v>85</v>
      </c>
      <c r="B69" s="1" t="s">
        <v>37</v>
      </c>
      <c r="C69" s="1" t="s">
        <v>11</v>
      </c>
      <c r="D69" s="16">
        <v>3162</v>
      </c>
      <c r="E69" s="62">
        <v>50</v>
      </c>
      <c r="F69" s="1">
        <v>1</v>
      </c>
      <c r="G69" s="64">
        <f t="shared" si="4"/>
        <v>158.1</v>
      </c>
      <c r="H69" s="1">
        <v>16</v>
      </c>
      <c r="I69" s="1">
        <v>17</v>
      </c>
    </row>
    <row r="70" spans="1:9" x14ac:dyDescent="0.45">
      <c r="A70" s="79">
        <v>13</v>
      </c>
      <c r="B70" s="1" t="s">
        <v>1013</v>
      </c>
      <c r="C70" s="1" t="s">
        <v>1014</v>
      </c>
      <c r="D70" s="4">
        <v>2142</v>
      </c>
      <c r="E70" s="62">
        <v>50</v>
      </c>
      <c r="F70" s="1">
        <v>0.9</v>
      </c>
      <c r="G70" s="64">
        <f t="shared" si="4"/>
        <v>96.39</v>
      </c>
      <c r="H70" s="1">
        <v>16</v>
      </c>
      <c r="I70" s="1">
        <v>17</v>
      </c>
    </row>
    <row r="71" spans="1:9" x14ac:dyDescent="0.45">
      <c r="A71" s="79">
        <v>14</v>
      </c>
      <c r="B71" s="1" t="s">
        <v>1013</v>
      </c>
      <c r="C71" s="1" t="s">
        <v>56</v>
      </c>
      <c r="D71" s="4">
        <v>1750.52</v>
      </c>
      <c r="E71" s="62">
        <v>50</v>
      </c>
      <c r="F71" s="1">
        <v>0.9</v>
      </c>
      <c r="G71" s="64">
        <f t="shared" si="4"/>
        <v>78.773400000000009</v>
      </c>
      <c r="H71" s="1">
        <v>17</v>
      </c>
      <c r="I71" s="1">
        <v>18</v>
      </c>
    </row>
    <row r="72" spans="1:9" x14ac:dyDescent="0.45">
      <c r="A72" s="79">
        <v>15</v>
      </c>
      <c r="B72" s="1" t="s">
        <v>1013</v>
      </c>
      <c r="C72" s="1" t="s">
        <v>1015</v>
      </c>
      <c r="D72" s="4">
        <v>534.84</v>
      </c>
      <c r="E72" s="62">
        <v>50</v>
      </c>
      <c r="F72" s="1">
        <v>0.9</v>
      </c>
      <c r="G72" s="64">
        <f t="shared" si="4"/>
        <v>24.067799999999998</v>
      </c>
      <c r="H72" s="1">
        <v>17</v>
      </c>
      <c r="I72" s="1">
        <v>18</v>
      </c>
    </row>
    <row r="73" spans="1:9" x14ac:dyDescent="0.45">
      <c r="A73" s="79">
        <v>28</v>
      </c>
      <c r="B73" s="1" t="s">
        <v>31</v>
      </c>
      <c r="C73" s="1" t="s">
        <v>1007</v>
      </c>
      <c r="D73" s="4">
        <v>636.4</v>
      </c>
      <c r="E73" s="62">
        <v>50</v>
      </c>
      <c r="F73" s="1">
        <v>0.5</v>
      </c>
      <c r="G73" s="64">
        <f t="shared" si="4"/>
        <v>15.91</v>
      </c>
      <c r="H73" s="1">
        <v>18</v>
      </c>
      <c r="I73" s="1">
        <v>22</v>
      </c>
    </row>
    <row r="74" spans="1:9" x14ac:dyDescent="0.45">
      <c r="A74" s="79" t="s">
        <v>85</v>
      </c>
      <c r="B74" s="1" t="s">
        <v>31</v>
      </c>
      <c r="C74" s="1" t="s">
        <v>1002</v>
      </c>
      <c r="D74" s="16">
        <v>3774</v>
      </c>
      <c r="E74" s="62">
        <v>50</v>
      </c>
      <c r="F74" s="1">
        <v>1</v>
      </c>
      <c r="G74" s="64">
        <f t="shared" si="4"/>
        <v>188.7</v>
      </c>
      <c r="H74" s="1">
        <v>19</v>
      </c>
      <c r="I74" s="1">
        <v>18</v>
      </c>
    </row>
    <row r="75" spans="1:9" x14ac:dyDescent="0.45">
      <c r="A75" s="79" t="s">
        <v>1016</v>
      </c>
      <c r="B75" s="1" t="s">
        <v>31</v>
      </c>
      <c r="C75" s="1" t="s">
        <v>1008</v>
      </c>
      <c r="D75" s="4">
        <v>253</v>
      </c>
      <c r="E75" s="62">
        <v>50</v>
      </c>
      <c r="F75" s="1">
        <v>0.5</v>
      </c>
      <c r="G75" s="64">
        <f t="shared" si="4"/>
        <v>6.3250000000000002</v>
      </c>
      <c r="H75" s="1">
        <v>19</v>
      </c>
      <c r="I75" s="1">
        <v>18</v>
      </c>
    </row>
    <row r="76" spans="1:9" x14ac:dyDescent="0.45">
      <c r="A76" s="79" t="s">
        <v>85</v>
      </c>
      <c r="B76" s="1" t="s">
        <v>31</v>
      </c>
      <c r="C76" s="1" t="s">
        <v>11</v>
      </c>
      <c r="D76" s="16">
        <v>3774</v>
      </c>
      <c r="E76" s="62">
        <v>50</v>
      </c>
      <c r="F76" s="1">
        <v>1</v>
      </c>
      <c r="G76" s="64">
        <f t="shared" ref="G76:G107" si="5">D76*E76*F76/1000</f>
        <v>188.7</v>
      </c>
      <c r="H76" s="1">
        <v>20</v>
      </c>
      <c r="I76" s="1">
        <v>21</v>
      </c>
    </row>
    <row r="77" spans="1:9" x14ac:dyDescent="0.45">
      <c r="A77" s="79" t="s">
        <v>1017</v>
      </c>
      <c r="B77" s="1" t="s">
        <v>31</v>
      </c>
      <c r="C77" s="1" t="s">
        <v>1018</v>
      </c>
      <c r="D77" s="4">
        <v>561</v>
      </c>
      <c r="E77" s="62">
        <v>50</v>
      </c>
      <c r="F77" s="1">
        <v>0.5</v>
      </c>
      <c r="G77" s="64">
        <f t="shared" si="5"/>
        <v>14.025</v>
      </c>
      <c r="H77" s="1">
        <v>20</v>
      </c>
      <c r="I77" s="1">
        <v>21</v>
      </c>
    </row>
    <row r="78" spans="1:9" x14ac:dyDescent="0.45">
      <c r="A78" s="79">
        <v>29</v>
      </c>
      <c r="B78" s="1" t="s">
        <v>31</v>
      </c>
      <c r="C78" s="1" t="s">
        <v>994</v>
      </c>
      <c r="D78" s="4">
        <v>1090.17</v>
      </c>
      <c r="E78" s="62">
        <v>50</v>
      </c>
      <c r="F78" s="1">
        <v>0.5</v>
      </c>
      <c r="G78" s="64">
        <f t="shared" si="5"/>
        <v>27.254249999999999</v>
      </c>
      <c r="H78" s="1">
        <v>21</v>
      </c>
      <c r="I78" s="1">
        <v>22</v>
      </c>
    </row>
    <row r="79" spans="1:9" x14ac:dyDescent="0.45">
      <c r="A79" s="79" t="s">
        <v>85</v>
      </c>
      <c r="B79" s="1" t="s">
        <v>24</v>
      </c>
      <c r="C79" s="1" t="s">
        <v>1002</v>
      </c>
      <c r="D79" s="16">
        <v>3478</v>
      </c>
      <c r="E79" s="62">
        <v>50</v>
      </c>
      <c r="F79" s="1">
        <v>1</v>
      </c>
      <c r="G79" s="64">
        <f t="shared" si="5"/>
        <v>173.9</v>
      </c>
      <c r="H79" s="1">
        <v>23</v>
      </c>
      <c r="I79" s="1">
        <v>24</v>
      </c>
    </row>
    <row r="80" spans="1:9" x14ac:dyDescent="0.45">
      <c r="A80" s="79">
        <v>31</v>
      </c>
      <c r="B80" s="1" t="s">
        <v>24</v>
      </c>
      <c r="C80" s="1" t="s">
        <v>1002</v>
      </c>
      <c r="D80" s="4">
        <v>827.59</v>
      </c>
      <c r="E80" s="62">
        <v>50</v>
      </c>
      <c r="F80" s="1">
        <v>0.5</v>
      </c>
      <c r="G80" s="64">
        <f t="shared" si="5"/>
        <v>20.68975</v>
      </c>
      <c r="H80" s="1">
        <v>23</v>
      </c>
      <c r="I80" s="1">
        <v>24</v>
      </c>
    </row>
    <row r="81" spans="1:9" x14ac:dyDescent="0.45">
      <c r="A81" s="79">
        <v>30</v>
      </c>
      <c r="B81" s="1" t="s">
        <v>24</v>
      </c>
      <c r="C81" s="1" t="s">
        <v>993</v>
      </c>
      <c r="D81" s="4">
        <v>523.49</v>
      </c>
      <c r="E81" s="62">
        <v>50</v>
      </c>
      <c r="F81" s="1">
        <v>0.5</v>
      </c>
      <c r="G81" s="64">
        <f t="shared" si="5"/>
        <v>13.087249999999999</v>
      </c>
      <c r="H81" s="1">
        <v>25</v>
      </c>
      <c r="I81" s="1">
        <v>26</v>
      </c>
    </row>
    <row r="82" spans="1:9" x14ac:dyDescent="0.45">
      <c r="A82" s="79" t="s">
        <v>85</v>
      </c>
      <c r="B82" s="1" t="s">
        <v>24</v>
      </c>
      <c r="C82" s="1" t="s">
        <v>11</v>
      </c>
      <c r="D82" s="16">
        <v>3478</v>
      </c>
      <c r="E82" s="62">
        <v>50</v>
      </c>
      <c r="F82" s="1">
        <v>1</v>
      </c>
      <c r="G82" s="64">
        <f t="shared" si="5"/>
        <v>173.9</v>
      </c>
      <c r="H82" s="1">
        <v>27</v>
      </c>
      <c r="I82" s="1">
        <v>26</v>
      </c>
    </row>
    <row r="83" spans="1:9" x14ac:dyDescent="0.45">
      <c r="A83" s="79">
        <v>61</v>
      </c>
      <c r="B83" s="1" t="s">
        <v>24</v>
      </c>
      <c r="C83" s="1" t="s">
        <v>11</v>
      </c>
      <c r="D83" s="4">
        <v>1043.8</v>
      </c>
      <c r="E83" s="62">
        <v>50</v>
      </c>
      <c r="F83" s="1">
        <v>0.5</v>
      </c>
      <c r="G83" s="64">
        <f t="shared" si="5"/>
        <v>26.094999999999999</v>
      </c>
      <c r="H83" s="1">
        <v>27</v>
      </c>
      <c r="I83" s="1">
        <v>26</v>
      </c>
    </row>
    <row r="84" spans="1:9" x14ac:dyDescent="0.45">
      <c r="A84" s="79" t="s">
        <v>85</v>
      </c>
      <c r="B84" s="1" t="s">
        <v>29</v>
      </c>
      <c r="C84" s="1" t="s">
        <v>994</v>
      </c>
      <c r="D84" s="16">
        <v>3300</v>
      </c>
      <c r="E84" s="62">
        <v>50</v>
      </c>
      <c r="F84" s="1">
        <v>1</v>
      </c>
      <c r="G84" s="64">
        <f t="shared" si="5"/>
        <v>165</v>
      </c>
      <c r="H84" s="1">
        <v>28</v>
      </c>
      <c r="I84" s="1">
        <v>30</v>
      </c>
    </row>
    <row r="85" spans="1:9" x14ac:dyDescent="0.45">
      <c r="A85" s="79" t="s">
        <v>85</v>
      </c>
      <c r="B85" s="1" t="s">
        <v>29</v>
      </c>
      <c r="C85" s="1" t="s">
        <v>996</v>
      </c>
      <c r="D85" s="16">
        <v>1902</v>
      </c>
      <c r="E85" s="62">
        <v>50</v>
      </c>
      <c r="F85" s="1">
        <v>1</v>
      </c>
      <c r="G85" s="64">
        <f t="shared" si="5"/>
        <v>95.1</v>
      </c>
      <c r="H85" s="1">
        <v>29</v>
      </c>
      <c r="I85" s="1">
        <v>30</v>
      </c>
    </row>
    <row r="86" spans="1:9" x14ac:dyDescent="0.45">
      <c r="A86" s="79" t="s">
        <v>85</v>
      </c>
      <c r="B86" s="1" t="s">
        <v>22</v>
      </c>
      <c r="C86" s="1" t="s">
        <v>1002</v>
      </c>
      <c r="D86" s="16">
        <v>3698</v>
      </c>
      <c r="E86" s="62">
        <v>50</v>
      </c>
      <c r="F86" s="1">
        <v>1</v>
      </c>
      <c r="G86" s="64">
        <f t="shared" si="5"/>
        <v>184.9</v>
      </c>
      <c r="H86" s="1">
        <v>31</v>
      </c>
      <c r="I86" s="1">
        <v>32</v>
      </c>
    </row>
    <row r="87" spans="1:9" x14ac:dyDescent="0.45">
      <c r="A87" s="79">
        <v>36</v>
      </c>
      <c r="B87" s="1" t="s">
        <v>29</v>
      </c>
      <c r="C87" s="1" t="s">
        <v>11</v>
      </c>
      <c r="D87" s="4">
        <v>772.4</v>
      </c>
      <c r="E87" s="62">
        <v>50</v>
      </c>
      <c r="F87" s="1">
        <v>0.5</v>
      </c>
      <c r="G87" s="64">
        <f t="shared" si="5"/>
        <v>19.309999999999999</v>
      </c>
      <c r="H87" s="1">
        <v>31</v>
      </c>
      <c r="I87" s="1">
        <v>32</v>
      </c>
    </row>
    <row r="88" spans="1:9" x14ac:dyDescent="0.45">
      <c r="A88" s="79">
        <v>34</v>
      </c>
      <c r="B88" s="1" t="s">
        <v>22</v>
      </c>
      <c r="C88" s="1" t="s">
        <v>1019</v>
      </c>
      <c r="D88" s="4">
        <v>415.41</v>
      </c>
      <c r="E88" s="62">
        <v>50</v>
      </c>
      <c r="F88" s="1">
        <v>0.5</v>
      </c>
      <c r="G88" s="64">
        <f t="shared" si="5"/>
        <v>10.385249999999999</v>
      </c>
      <c r="H88" s="1">
        <v>31</v>
      </c>
      <c r="I88" s="1">
        <v>32</v>
      </c>
    </row>
    <row r="89" spans="1:9" x14ac:dyDescent="0.45">
      <c r="A89" s="79">
        <v>32</v>
      </c>
      <c r="B89" s="1" t="s">
        <v>24</v>
      </c>
      <c r="C89" s="1" t="s">
        <v>1008</v>
      </c>
      <c r="D89" s="4">
        <v>341.02</v>
      </c>
      <c r="E89" s="62">
        <v>50</v>
      </c>
      <c r="F89" s="1">
        <v>0.5</v>
      </c>
      <c r="G89" s="64">
        <f t="shared" si="5"/>
        <v>8.5254999999999992</v>
      </c>
      <c r="H89" s="1">
        <v>31</v>
      </c>
      <c r="I89" s="1">
        <v>32</v>
      </c>
    </row>
    <row r="90" spans="1:9" x14ac:dyDescent="0.45">
      <c r="A90" s="79" t="s">
        <v>85</v>
      </c>
      <c r="B90" s="1" t="s">
        <v>20</v>
      </c>
      <c r="C90" s="1" t="s">
        <v>1007</v>
      </c>
      <c r="D90" s="16">
        <v>1677</v>
      </c>
      <c r="E90" s="62">
        <v>50</v>
      </c>
      <c r="F90" s="1">
        <v>1</v>
      </c>
      <c r="G90" s="64">
        <f t="shared" si="5"/>
        <v>83.85</v>
      </c>
      <c r="H90" s="1">
        <v>33</v>
      </c>
      <c r="I90" s="1">
        <v>34</v>
      </c>
    </row>
    <row r="91" spans="1:9" x14ac:dyDescent="0.45">
      <c r="A91" s="79">
        <v>38</v>
      </c>
      <c r="B91" s="1" t="s">
        <v>20</v>
      </c>
      <c r="C91" s="1" t="s">
        <v>1007</v>
      </c>
      <c r="D91" s="4">
        <v>349.31</v>
      </c>
      <c r="E91" s="62">
        <v>50</v>
      </c>
      <c r="F91" s="1">
        <v>0.5</v>
      </c>
      <c r="G91" s="64">
        <f t="shared" si="5"/>
        <v>8.7327499999999993</v>
      </c>
      <c r="H91" s="1">
        <v>33</v>
      </c>
      <c r="I91" s="1">
        <v>34</v>
      </c>
    </row>
    <row r="92" spans="1:9" x14ac:dyDescent="0.45">
      <c r="A92" s="79">
        <v>37</v>
      </c>
      <c r="B92" s="1" t="s">
        <v>20</v>
      </c>
      <c r="C92" s="1" t="s">
        <v>1018</v>
      </c>
      <c r="D92" s="4">
        <v>857.97</v>
      </c>
      <c r="E92" s="62">
        <v>50</v>
      </c>
      <c r="F92" s="1">
        <v>0.5</v>
      </c>
      <c r="G92" s="64">
        <f t="shared" si="5"/>
        <v>21.449249999999999</v>
      </c>
      <c r="H92" s="1">
        <v>35</v>
      </c>
      <c r="I92" s="1">
        <v>40</v>
      </c>
    </row>
    <row r="93" spans="1:9" x14ac:dyDescent="0.45">
      <c r="A93" s="79">
        <v>59</v>
      </c>
      <c r="B93" s="1" t="s">
        <v>22</v>
      </c>
      <c r="C93" s="1" t="s">
        <v>996</v>
      </c>
      <c r="D93" s="4">
        <v>2181.5300000000002</v>
      </c>
      <c r="E93" s="62">
        <v>50</v>
      </c>
      <c r="F93" s="1">
        <v>0.5</v>
      </c>
      <c r="G93" s="64">
        <f t="shared" si="5"/>
        <v>54.538250000000005</v>
      </c>
      <c r="H93" s="1">
        <v>36</v>
      </c>
      <c r="I93" s="1" t="s">
        <v>1020</v>
      </c>
    </row>
    <row r="94" spans="1:9" x14ac:dyDescent="0.45">
      <c r="A94" s="79" t="s">
        <v>85</v>
      </c>
      <c r="B94" s="1" t="s">
        <v>22</v>
      </c>
      <c r="C94" s="1" t="s">
        <v>994</v>
      </c>
      <c r="D94" s="16">
        <v>912</v>
      </c>
      <c r="E94" s="62">
        <v>50</v>
      </c>
      <c r="F94" s="1">
        <v>1</v>
      </c>
      <c r="G94" s="64">
        <f t="shared" si="5"/>
        <v>45.6</v>
      </c>
      <c r="H94" s="1">
        <v>37</v>
      </c>
      <c r="I94" s="1">
        <v>38</v>
      </c>
    </row>
    <row r="95" spans="1:9" x14ac:dyDescent="0.45">
      <c r="A95" s="79">
        <v>33</v>
      </c>
      <c r="B95" s="1" t="s">
        <v>24</v>
      </c>
      <c r="C95" s="1" t="s">
        <v>996</v>
      </c>
      <c r="D95" s="4">
        <v>498.88</v>
      </c>
      <c r="E95" s="62">
        <v>50</v>
      </c>
      <c r="F95" s="1">
        <v>0.5</v>
      </c>
      <c r="G95" s="64">
        <f t="shared" si="5"/>
        <v>12.472</v>
      </c>
      <c r="H95" s="1">
        <v>37</v>
      </c>
      <c r="I95" s="1">
        <v>38</v>
      </c>
    </row>
    <row r="96" spans="1:9" x14ac:dyDescent="0.45">
      <c r="A96" s="79">
        <v>60</v>
      </c>
      <c r="B96" s="1" t="s">
        <v>22</v>
      </c>
      <c r="C96" s="1" t="s">
        <v>994</v>
      </c>
      <c r="D96" s="4">
        <v>677.23</v>
      </c>
      <c r="E96" s="62">
        <v>50</v>
      </c>
      <c r="F96" s="1">
        <v>0.5</v>
      </c>
      <c r="G96" s="64">
        <f t="shared" si="5"/>
        <v>16.93075</v>
      </c>
      <c r="H96" s="1">
        <v>38</v>
      </c>
      <c r="I96" s="1">
        <v>39</v>
      </c>
    </row>
    <row r="97" spans="1:9" x14ac:dyDescent="0.45">
      <c r="A97" s="79" t="s">
        <v>85</v>
      </c>
      <c r="B97" s="1" t="s">
        <v>22</v>
      </c>
      <c r="C97" s="1" t="s">
        <v>996</v>
      </c>
      <c r="D97" s="16">
        <v>1634</v>
      </c>
      <c r="E97" s="62">
        <v>50</v>
      </c>
      <c r="F97" s="1">
        <v>1</v>
      </c>
      <c r="G97" s="64">
        <f t="shared" si="5"/>
        <v>81.7</v>
      </c>
      <c r="H97" s="1">
        <v>39</v>
      </c>
      <c r="I97" s="1">
        <v>40</v>
      </c>
    </row>
    <row r="98" spans="1:9" x14ac:dyDescent="0.45">
      <c r="A98" s="79">
        <v>19</v>
      </c>
      <c r="B98" s="1" t="s">
        <v>35</v>
      </c>
      <c r="C98" s="1" t="s">
        <v>1002</v>
      </c>
      <c r="D98" s="4">
        <v>663.74</v>
      </c>
      <c r="E98" s="62">
        <v>50</v>
      </c>
      <c r="F98" s="1">
        <v>0.5</v>
      </c>
      <c r="G98" s="64">
        <f t="shared" si="5"/>
        <v>16.593499999999999</v>
      </c>
      <c r="H98" s="1">
        <v>41</v>
      </c>
      <c r="I98" s="1">
        <v>42</v>
      </c>
    </row>
    <row r="99" spans="1:9" x14ac:dyDescent="0.45">
      <c r="A99" s="79" t="s">
        <v>85</v>
      </c>
      <c r="B99" s="1" t="s">
        <v>35</v>
      </c>
      <c r="C99" s="1" t="s">
        <v>11</v>
      </c>
      <c r="D99" s="16">
        <v>4284</v>
      </c>
      <c r="E99" s="62">
        <v>50</v>
      </c>
      <c r="F99" s="1">
        <v>1</v>
      </c>
      <c r="G99" s="64">
        <f t="shared" si="5"/>
        <v>214.2</v>
      </c>
      <c r="H99" s="1">
        <v>43</v>
      </c>
      <c r="I99" s="1">
        <v>44</v>
      </c>
    </row>
    <row r="100" spans="1:9" x14ac:dyDescent="0.45">
      <c r="A100" s="79">
        <v>20</v>
      </c>
      <c r="B100" s="1" t="s">
        <v>1021</v>
      </c>
      <c r="C100" s="1" t="s">
        <v>1022</v>
      </c>
      <c r="D100" s="4">
        <v>1696.7</v>
      </c>
      <c r="E100" s="62">
        <v>50</v>
      </c>
      <c r="F100" s="1">
        <v>0.9</v>
      </c>
      <c r="G100" s="64">
        <f t="shared" si="5"/>
        <v>76.351500000000001</v>
      </c>
      <c r="H100" s="1">
        <v>43</v>
      </c>
      <c r="I100" s="1">
        <v>44</v>
      </c>
    </row>
    <row r="101" spans="1:9" x14ac:dyDescent="0.45">
      <c r="A101" s="79">
        <v>17</v>
      </c>
      <c r="B101" s="1" t="s">
        <v>35</v>
      </c>
      <c r="C101" s="1" t="s">
        <v>993</v>
      </c>
      <c r="D101" s="4">
        <v>461.96</v>
      </c>
      <c r="E101" s="62">
        <v>50</v>
      </c>
      <c r="F101" s="1">
        <v>0.5</v>
      </c>
      <c r="G101" s="64">
        <f t="shared" si="5"/>
        <v>11.548999999999999</v>
      </c>
      <c r="H101" s="1">
        <v>43</v>
      </c>
      <c r="I101" s="1">
        <v>44</v>
      </c>
    </row>
    <row r="102" spans="1:9" x14ac:dyDescent="0.45">
      <c r="A102" s="79">
        <v>18</v>
      </c>
      <c r="B102" s="1" t="s">
        <v>1013</v>
      </c>
      <c r="C102" s="1" t="s">
        <v>1023</v>
      </c>
      <c r="D102" s="4">
        <v>451</v>
      </c>
      <c r="E102" s="62">
        <v>50</v>
      </c>
      <c r="F102" s="1">
        <v>0.5</v>
      </c>
      <c r="G102" s="64">
        <f t="shared" si="5"/>
        <v>11.275</v>
      </c>
      <c r="H102" s="1">
        <v>43</v>
      </c>
      <c r="I102" s="1">
        <v>44</v>
      </c>
    </row>
    <row r="103" spans="1:9" x14ac:dyDescent="0.45">
      <c r="A103" s="79" t="s">
        <v>85</v>
      </c>
      <c r="B103" s="1" t="s">
        <v>29</v>
      </c>
      <c r="C103" s="1" t="s">
        <v>1007</v>
      </c>
      <c r="D103" s="16">
        <v>3351</v>
      </c>
      <c r="E103" s="62">
        <v>50</v>
      </c>
      <c r="F103" s="1">
        <v>1</v>
      </c>
      <c r="G103" s="64">
        <f t="shared" si="5"/>
        <v>167.55</v>
      </c>
      <c r="H103" s="1">
        <v>45</v>
      </c>
      <c r="I103" s="1">
        <v>47</v>
      </c>
    </row>
    <row r="104" spans="1:9" x14ac:dyDescent="0.45">
      <c r="A104" s="79">
        <v>21</v>
      </c>
      <c r="B104" s="1" t="s">
        <v>35</v>
      </c>
      <c r="C104" s="1" t="s">
        <v>996</v>
      </c>
      <c r="D104" s="4">
        <v>931.26</v>
      </c>
      <c r="E104" s="62">
        <v>50</v>
      </c>
      <c r="F104" s="1">
        <v>0.5</v>
      </c>
      <c r="G104" s="64">
        <f t="shared" si="5"/>
        <v>23.281500000000001</v>
      </c>
      <c r="H104" s="1">
        <v>45</v>
      </c>
      <c r="I104" s="1">
        <v>47</v>
      </c>
    </row>
    <row r="105" spans="1:9" x14ac:dyDescent="0.45">
      <c r="A105" s="79" t="s">
        <v>85</v>
      </c>
      <c r="B105" s="1" t="s">
        <v>29</v>
      </c>
      <c r="C105" s="1" t="s">
        <v>1008</v>
      </c>
      <c r="D105" s="16">
        <v>1851</v>
      </c>
      <c r="E105" s="62">
        <v>50</v>
      </c>
      <c r="F105" s="1">
        <v>1</v>
      </c>
      <c r="G105" s="64">
        <f t="shared" si="5"/>
        <v>92.55</v>
      </c>
      <c r="H105" s="1">
        <v>46</v>
      </c>
      <c r="I105" s="1">
        <v>47</v>
      </c>
    </row>
    <row r="106" spans="1:9" x14ac:dyDescent="0.45">
      <c r="A106" s="79">
        <v>22</v>
      </c>
      <c r="B106" s="1" t="s">
        <v>35</v>
      </c>
      <c r="C106" s="1" t="s">
        <v>1018</v>
      </c>
      <c r="D106" s="4">
        <v>440</v>
      </c>
      <c r="E106" s="62">
        <v>50</v>
      </c>
      <c r="F106" s="1">
        <v>0.5</v>
      </c>
      <c r="G106" s="64">
        <f t="shared" si="5"/>
        <v>11</v>
      </c>
      <c r="H106" s="1">
        <v>48</v>
      </c>
      <c r="I106" s="1">
        <v>49</v>
      </c>
    </row>
    <row r="107" spans="1:9" x14ac:dyDescent="0.45">
      <c r="A107" s="79" t="s">
        <v>85</v>
      </c>
      <c r="B107" s="1" t="s">
        <v>27</v>
      </c>
      <c r="C107" s="1" t="s">
        <v>1007</v>
      </c>
      <c r="D107" s="16">
        <v>3086</v>
      </c>
      <c r="E107" s="62">
        <v>50</v>
      </c>
      <c r="F107" s="1">
        <v>1</v>
      </c>
      <c r="G107" s="64">
        <f t="shared" si="5"/>
        <v>154.30000000000001</v>
      </c>
      <c r="H107" s="1">
        <v>50</v>
      </c>
      <c r="I107" s="1">
        <v>52</v>
      </c>
    </row>
    <row r="108" spans="1:9" x14ac:dyDescent="0.45">
      <c r="A108" s="79" t="s">
        <v>1024</v>
      </c>
      <c r="B108" s="1" t="s">
        <v>27</v>
      </c>
      <c r="C108" s="1" t="s">
        <v>1007</v>
      </c>
      <c r="D108" s="4">
        <v>561</v>
      </c>
      <c r="E108" s="62">
        <v>50</v>
      </c>
      <c r="F108" s="1">
        <v>0.5</v>
      </c>
      <c r="G108" s="64">
        <f t="shared" ref="G108:G139" si="6">D108*E108*F108/1000</f>
        <v>14.025</v>
      </c>
      <c r="H108" s="1">
        <v>50</v>
      </c>
      <c r="I108" s="1">
        <v>52</v>
      </c>
    </row>
    <row r="109" spans="1:9" x14ac:dyDescent="0.45">
      <c r="A109" s="79" t="s">
        <v>85</v>
      </c>
      <c r="B109" s="1" t="s">
        <v>27</v>
      </c>
      <c r="C109" s="1" t="s">
        <v>1008</v>
      </c>
      <c r="D109" s="16">
        <v>2116</v>
      </c>
      <c r="E109" s="62">
        <v>50</v>
      </c>
      <c r="F109" s="1">
        <v>1</v>
      </c>
      <c r="G109" s="64">
        <f t="shared" si="6"/>
        <v>105.8</v>
      </c>
      <c r="H109" s="1">
        <v>51</v>
      </c>
      <c r="I109" s="1">
        <v>52</v>
      </c>
    </row>
    <row r="110" spans="1:9" x14ac:dyDescent="0.45">
      <c r="A110" s="79">
        <v>27</v>
      </c>
      <c r="B110" s="1" t="s">
        <v>27</v>
      </c>
      <c r="C110" s="1" t="s">
        <v>1008</v>
      </c>
      <c r="D110" s="4">
        <v>565.37</v>
      </c>
      <c r="E110" s="62">
        <v>50</v>
      </c>
      <c r="F110" s="1">
        <v>0.5</v>
      </c>
      <c r="G110" s="64">
        <f t="shared" si="6"/>
        <v>14.13425</v>
      </c>
      <c r="H110" s="1">
        <v>51</v>
      </c>
      <c r="I110" s="1">
        <v>52</v>
      </c>
    </row>
    <row r="111" spans="1:9" x14ac:dyDescent="0.45">
      <c r="A111" s="79" t="s">
        <v>85</v>
      </c>
      <c r="B111" s="1" t="s">
        <v>33</v>
      </c>
      <c r="C111" s="1" t="s">
        <v>11</v>
      </c>
      <c r="D111" s="16">
        <v>4188</v>
      </c>
      <c r="E111" s="62">
        <v>50</v>
      </c>
      <c r="F111" s="1">
        <v>1</v>
      </c>
      <c r="G111" s="64">
        <f t="shared" si="6"/>
        <v>209.4</v>
      </c>
      <c r="H111" s="1">
        <v>53</v>
      </c>
      <c r="I111" s="1">
        <v>54</v>
      </c>
    </row>
    <row r="112" spans="1:9" x14ac:dyDescent="0.45">
      <c r="A112" s="79">
        <v>24</v>
      </c>
      <c r="B112" s="1" t="s">
        <v>33</v>
      </c>
      <c r="C112" s="1" t="s">
        <v>11</v>
      </c>
      <c r="D112" s="4">
        <v>1122.29</v>
      </c>
      <c r="E112" s="62">
        <v>50</v>
      </c>
      <c r="F112" s="1">
        <v>0.5</v>
      </c>
      <c r="G112" s="64">
        <f t="shared" si="6"/>
        <v>28.05725</v>
      </c>
      <c r="H112" s="1">
        <v>53</v>
      </c>
      <c r="I112" s="1">
        <v>54</v>
      </c>
    </row>
    <row r="113" spans="1:9" x14ac:dyDescent="0.45">
      <c r="A113" s="79">
        <v>25</v>
      </c>
      <c r="B113" s="1" t="s">
        <v>33</v>
      </c>
      <c r="C113" s="1" t="s">
        <v>1018</v>
      </c>
      <c r="D113" s="4">
        <v>3939.36</v>
      </c>
      <c r="E113" s="62">
        <v>50</v>
      </c>
      <c r="F113" s="1">
        <v>0.9</v>
      </c>
      <c r="G113" s="64">
        <f t="shared" si="6"/>
        <v>177.27120000000002</v>
      </c>
      <c r="H113" s="1">
        <v>55</v>
      </c>
      <c r="I113" s="1">
        <v>58</v>
      </c>
    </row>
    <row r="114" spans="1:9" x14ac:dyDescent="0.45">
      <c r="A114" s="79">
        <v>23</v>
      </c>
      <c r="B114" s="1" t="s">
        <v>33</v>
      </c>
      <c r="C114" s="1" t="s">
        <v>1002</v>
      </c>
      <c r="D114" s="4">
        <v>758.08</v>
      </c>
      <c r="E114" s="62">
        <v>50</v>
      </c>
      <c r="F114" s="1">
        <v>0.5</v>
      </c>
      <c r="G114" s="64">
        <f t="shared" si="6"/>
        <v>18.952000000000002</v>
      </c>
      <c r="H114" s="1">
        <v>56</v>
      </c>
      <c r="I114" s="1">
        <v>57</v>
      </c>
    </row>
    <row r="115" spans="1:9" x14ac:dyDescent="0.45">
      <c r="A115" s="79" t="s">
        <v>85</v>
      </c>
      <c r="B115" s="1" t="s">
        <v>27</v>
      </c>
      <c r="C115" s="1" t="s">
        <v>996</v>
      </c>
      <c r="D115" s="16">
        <v>2601</v>
      </c>
      <c r="E115" s="62">
        <v>50</v>
      </c>
      <c r="F115" s="1">
        <v>1</v>
      </c>
      <c r="G115" s="64">
        <f t="shared" si="6"/>
        <v>130.05000000000001</v>
      </c>
      <c r="H115" s="1">
        <v>59</v>
      </c>
      <c r="I115" s="1">
        <v>61</v>
      </c>
    </row>
    <row r="116" spans="1:9" x14ac:dyDescent="0.45">
      <c r="A116" s="79">
        <v>42</v>
      </c>
      <c r="B116" s="1" t="s">
        <v>16</v>
      </c>
      <c r="C116" s="1" t="s">
        <v>993</v>
      </c>
      <c r="D116" s="4">
        <v>638.03</v>
      </c>
      <c r="E116" s="62">
        <v>50</v>
      </c>
      <c r="F116" s="1">
        <v>0.5</v>
      </c>
      <c r="G116" s="64">
        <f t="shared" si="6"/>
        <v>15.950749999999999</v>
      </c>
      <c r="H116" s="1">
        <v>59</v>
      </c>
      <c r="I116" s="1">
        <v>61</v>
      </c>
    </row>
    <row r="117" spans="1:9" x14ac:dyDescent="0.45">
      <c r="A117" s="79" t="s">
        <v>85</v>
      </c>
      <c r="B117" s="1" t="s">
        <v>27</v>
      </c>
      <c r="C117" s="1" t="s">
        <v>994</v>
      </c>
      <c r="D117" s="16">
        <v>2601</v>
      </c>
      <c r="E117" s="62">
        <v>50</v>
      </c>
      <c r="F117" s="1">
        <v>1</v>
      </c>
      <c r="G117" s="64">
        <f t="shared" si="6"/>
        <v>130.05000000000001</v>
      </c>
      <c r="H117" s="1">
        <v>60</v>
      </c>
      <c r="I117" s="1">
        <v>61</v>
      </c>
    </row>
    <row r="118" spans="1:9" x14ac:dyDescent="0.45">
      <c r="A118" s="79" t="s">
        <v>1025</v>
      </c>
      <c r="B118" s="1" t="s">
        <v>27</v>
      </c>
      <c r="C118" s="1" t="s">
        <v>994</v>
      </c>
      <c r="D118" s="4">
        <v>561</v>
      </c>
      <c r="E118" s="62">
        <v>50</v>
      </c>
      <c r="F118" s="1">
        <v>0.5</v>
      </c>
      <c r="G118" s="64">
        <f t="shared" si="6"/>
        <v>14.025</v>
      </c>
      <c r="H118" s="1">
        <v>60</v>
      </c>
      <c r="I118" s="1">
        <v>61</v>
      </c>
    </row>
    <row r="119" spans="1:9" x14ac:dyDescent="0.45">
      <c r="A119" s="79" t="s">
        <v>85</v>
      </c>
      <c r="B119" s="1" t="s">
        <v>20</v>
      </c>
      <c r="C119" s="1" t="s">
        <v>1008</v>
      </c>
      <c r="D119" s="16">
        <v>1677</v>
      </c>
      <c r="E119" s="62">
        <v>50</v>
      </c>
      <c r="F119" s="1">
        <v>1</v>
      </c>
      <c r="G119" s="64">
        <f t="shared" si="6"/>
        <v>83.85</v>
      </c>
      <c r="H119" s="1">
        <v>62</v>
      </c>
      <c r="I119" s="1">
        <v>63</v>
      </c>
    </row>
    <row r="120" spans="1:9" x14ac:dyDescent="0.45">
      <c r="A120" s="79">
        <v>39</v>
      </c>
      <c r="B120" s="1" t="s">
        <v>20</v>
      </c>
      <c r="C120" s="1" t="s">
        <v>1008</v>
      </c>
      <c r="D120" s="4">
        <v>596.45000000000005</v>
      </c>
      <c r="E120" s="62">
        <v>50</v>
      </c>
      <c r="F120" s="1">
        <v>0.5</v>
      </c>
      <c r="G120" s="64">
        <f t="shared" si="6"/>
        <v>14.911250000000003</v>
      </c>
      <c r="H120" s="1">
        <v>62</v>
      </c>
      <c r="I120" s="1">
        <v>63</v>
      </c>
    </row>
    <row r="121" spans="1:9" x14ac:dyDescent="0.45">
      <c r="A121" s="79" t="s">
        <v>85</v>
      </c>
      <c r="B121" s="1" t="s">
        <v>18</v>
      </c>
      <c r="C121" s="1" t="s">
        <v>1002</v>
      </c>
      <c r="D121" s="16">
        <v>4386</v>
      </c>
      <c r="E121" s="62">
        <v>50</v>
      </c>
      <c r="F121" s="1">
        <v>1</v>
      </c>
      <c r="G121" s="64">
        <f t="shared" si="6"/>
        <v>219.3</v>
      </c>
      <c r="H121" s="1">
        <v>64</v>
      </c>
      <c r="I121" s="1">
        <v>65</v>
      </c>
    </row>
    <row r="122" spans="1:9" x14ac:dyDescent="0.45">
      <c r="A122" s="79">
        <v>41</v>
      </c>
      <c r="B122" s="1" t="s">
        <v>18</v>
      </c>
      <c r="C122" s="1" t="s">
        <v>1007</v>
      </c>
      <c r="D122" s="4">
        <v>646.23</v>
      </c>
      <c r="E122" s="62">
        <v>50</v>
      </c>
      <c r="F122" s="1">
        <v>0.5</v>
      </c>
      <c r="G122" s="64">
        <f t="shared" si="6"/>
        <v>16.155750000000001</v>
      </c>
      <c r="H122" s="1">
        <v>64</v>
      </c>
      <c r="I122" s="1">
        <v>65</v>
      </c>
    </row>
    <row r="123" spans="1:9" x14ac:dyDescent="0.45">
      <c r="A123" s="79">
        <v>40</v>
      </c>
      <c r="B123" s="1" t="s">
        <v>20</v>
      </c>
      <c r="C123" s="1" t="s">
        <v>1018</v>
      </c>
      <c r="D123" s="4">
        <v>858</v>
      </c>
      <c r="E123" s="62">
        <v>50</v>
      </c>
      <c r="F123" s="1">
        <v>0.5</v>
      </c>
      <c r="G123" s="64">
        <f t="shared" si="6"/>
        <v>21.45</v>
      </c>
      <c r="H123" s="1">
        <v>66</v>
      </c>
      <c r="I123" s="1">
        <v>67</v>
      </c>
    </row>
    <row r="124" spans="1:9" x14ac:dyDescent="0.45">
      <c r="A124" s="79">
        <v>57</v>
      </c>
      <c r="B124" s="1" t="s">
        <v>20</v>
      </c>
      <c r="C124" s="1" t="s">
        <v>996</v>
      </c>
      <c r="D124" s="4">
        <v>1993.39</v>
      </c>
      <c r="E124" s="62">
        <v>50</v>
      </c>
      <c r="F124" s="1">
        <v>0.5</v>
      </c>
      <c r="G124" s="64">
        <f t="shared" si="6"/>
        <v>49.83475</v>
      </c>
      <c r="H124" s="1">
        <v>67</v>
      </c>
      <c r="I124" s="1">
        <v>70</v>
      </c>
    </row>
    <row r="125" spans="1:9" x14ac:dyDescent="0.45">
      <c r="A125" s="79" t="s">
        <v>85</v>
      </c>
      <c r="B125" s="1" t="s">
        <v>20</v>
      </c>
      <c r="C125" s="1" t="s">
        <v>11</v>
      </c>
      <c r="D125" s="16">
        <v>3354</v>
      </c>
      <c r="E125" s="62">
        <v>50</v>
      </c>
      <c r="F125" s="1">
        <v>1</v>
      </c>
      <c r="G125" s="64">
        <f t="shared" si="6"/>
        <v>167.7</v>
      </c>
      <c r="H125" s="1">
        <v>68</v>
      </c>
      <c r="I125" s="1">
        <v>69</v>
      </c>
    </row>
    <row r="126" spans="1:9" x14ac:dyDescent="0.45">
      <c r="A126" s="79">
        <v>58</v>
      </c>
      <c r="B126" s="1" t="s">
        <v>20</v>
      </c>
      <c r="C126" s="1" t="s">
        <v>994</v>
      </c>
      <c r="D126" s="4">
        <v>497.99</v>
      </c>
      <c r="E126" s="62">
        <v>50</v>
      </c>
      <c r="F126" s="1">
        <v>0.5</v>
      </c>
      <c r="G126" s="64">
        <f t="shared" si="6"/>
        <v>12.44975</v>
      </c>
      <c r="H126" s="1">
        <v>68</v>
      </c>
      <c r="I126" s="1">
        <v>69</v>
      </c>
    </row>
    <row r="127" spans="1:9" x14ac:dyDescent="0.45">
      <c r="A127" s="79" t="s">
        <v>85</v>
      </c>
      <c r="B127" s="1" t="s">
        <v>18</v>
      </c>
      <c r="C127" s="1" t="s">
        <v>11</v>
      </c>
      <c r="D127" s="16">
        <v>4386</v>
      </c>
      <c r="E127" s="62">
        <v>50</v>
      </c>
      <c r="F127" s="1">
        <v>1</v>
      </c>
      <c r="G127" s="64">
        <f t="shared" si="6"/>
        <v>219.3</v>
      </c>
      <c r="H127" s="1">
        <v>71</v>
      </c>
      <c r="I127" s="1">
        <v>72</v>
      </c>
    </row>
    <row r="128" spans="1:9" x14ac:dyDescent="0.45">
      <c r="A128" s="79">
        <v>56</v>
      </c>
      <c r="B128" s="1" t="s">
        <v>18</v>
      </c>
      <c r="C128" s="1" t="s">
        <v>11</v>
      </c>
      <c r="D128" s="4">
        <v>964.28</v>
      </c>
      <c r="E128" s="62">
        <v>50</v>
      </c>
      <c r="F128" s="1">
        <v>0.5</v>
      </c>
      <c r="G128" s="64">
        <f t="shared" si="6"/>
        <v>24.106999999999999</v>
      </c>
      <c r="H128" s="1">
        <v>71</v>
      </c>
      <c r="I128" s="1">
        <v>72</v>
      </c>
    </row>
    <row r="129" spans="1:9" x14ac:dyDescent="0.45">
      <c r="A129" s="79">
        <v>46</v>
      </c>
      <c r="B129" s="1" t="s">
        <v>16</v>
      </c>
      <c r="C129" s="1" t="s">
        <v>1002</v>
      </c>
      <c r="D129" s="4">
        <v>827.99</v>
      </c>
      <c r="E129" s="62">
        <v>50</v>
      </c>
      <c r="F129" s="1">
        <v>0.5</v>
      </c>
      <c r="G129" s="64">
        <f t="shared" si="6"/>
        <v>20.699750000000002</v>
      </c>
      <c r="H129" s="1">
        <v>73</v>
      </c>
      <c r="I129" s="1">
        <v>74</v>
      </c>
    </row>
    <row r="130" spans="1:9" x14ac:dyDescent="0.45">
      <c r="A130" s="79">
        <v>47</v>
      </c>
      <c r="B130" s="1" t="s">
        <v>1026</v>
      </c>
      <c r="C130" s="1" t="s">
        <v>1027</v>
      </c>
      <c r="D130" s="4">
        <v>341.3</v>
      </c>
      <c r="E130" s="62">
        <v>50</v>
      </c>
      <c r="F130" s="1">
        <v>0.5</v>
      </c>
      <c r="G130" s="64">
        <f t="shared" si="6"/>
        <v>8.5325000000000006</v>
      </c>
      <c r="H130" s="1">
        <v>74</v>
      </c>
      <c r="I130" s="1">
        <v>75</v>
      </c>
    </row>
    <row r="131" spans="1:9" x14ac:dyDescent="0.45">
      <c r="A131" s="79">
        <v>48</v>
      </c>
      <c r="B131" s="1" t="s">
        <v>1028</v>
      </c>
      <c r="C131" s="1" t="s">
        <v>1029</v>
      </c>
      <c r="D131" s="4">
        <v>213.96</v>
      </c>
      <c r="E131" s="62">
        <v>50</v>
      </c>
      <c r="F131" s="1">
        <v>0.9</v>
      </c>
      <c r="G131" s="64">
        <f t="shared" si="6"/>
        <v>9.6282000000000014</v>
      </c>
      <c r="H131" s="1">
        <v>74</v>
      </c>
      <c r="I131" s="1">
        <v>75</v>
      </c>
    </row>
    <row r="132" spans="1:9" x14ac:dyDescent="0.45">
      <c r="A132" s="79" t="s">
        <v>85</v>
      </c>
      <c r="B132" s="1" t="s">
        <v>16</v>
      </c>
      <c r="C132" s="1" t="s">
        <v>11</v>
      </c>
      <c r="D132" s="16">
        <v>4524</v>
      </c>
      <c r="E132" s="62">
        <v>50</v>
      </c>
      <c r="F132" s="1">
        <v>1</v>
      </c>
      <c r="G132" s="64">
        <f t="shared" si="6"/>
        <v>226.2</v>
      </c>
      <c r="H132" s="1">
        <v>76</v>
      </c>
      <c r="I132" s="1">
        <v>77</v>
      </c>
    </row>
    <row r="133" spans="1:9" x14ac:dyDescent="0.45">
      <c r="A133" s="79">
        <v>43</v>
      </c>
      <c r="B133" s="1" t="s">
        <v>18</v>
      </c>
      <c r="C133" s="1" t="s">
        <v>1008</v>
      </c>
      <c r="D133" s="4">
        <v>541.46</v>
      </c>
      <c r="E133" s="62">
        <v>50</v>
      </c>
      <c r="F133" s="1">
        <v>0.5</v>
      </c>
      <c r="G133" s="64">
        <f t="shared" si="6"/>
        <v>13.5365</v>
      </c>
      <c r="H133" s="1">
        <v>76</v>
      </c>
      <c r="I133" s="1">
        <v>77</v>
      </c>
    </row>
    <row r="134" spans="1:9" x14ac:dyDescent="0.45">
      <c r="A134" s="79" t="s">
        <v>85</v>
      </c>
      <c r="B134" s="1" t="s">
        <v>14</v>
      </c>
      <c r="C134" s="1" t="s">
        <v>1002</v>
      </c>
      <c r="D134" s="16">
        <v>4386</v>
      </c>
      <c r="E134" s="62">
        <v>50</v>
      </c>
      <c r="F134" s="1">
        <v>1</v>
      </c>
      <c r="G134" s="64">
        <f t="shared" si="6"/>
        <v>219.3</v>
      </c>
      <c r="H134" s="1">
        <v>79</v>
      </c>
      <c r="I134" s="1">
        <v>80</v>
      </c>
    </row>
    <row r="135" spans="1:9" x14ac:dyDescent="0.45">
      <c r="A135" s="79">
        <v>45</v>
      </c>
      <c r="B135" s="1" t="s">
        <v>14</v>
      </c>
      <c r="C135" s="1" t="s">
        <v>1002</v>
      </c>
      <c r="D135" s="4">
        <v>1060.25</v>
      </c>
      <c r="E135" s="62">
        <v>50</v>
      </c>
      <c r="F135" s="1">
        <v>0.5</v>
      </c>
      <c r="G135" s="64">
        <f t="shared" si="6"/>
        <v>26.506250000000001</v>
      </c>
      <c r="H135" s="1">
        <v>79</v>
      </c>
      <c r="I135" s="1">
        <v>80</v>
      </c>
    </row>
    <row r="136" spans="1:9" x14ac:dyDescent="0.45">
      <c r="A136" s="79" t="s">
        <v>1030</v>
      </c>
      <c r="B136" s="1" t="s">
        <v>14</v>
      </c>
      <c r="C136" s="1" t="s">
        <v>993</v>
      </c>
      <c r="D136" s="4">
        <v>561</v>
      </c>
      <c r="E136" s="62">
        <v>50</v>
      </c>
      <c r="F136" s="1">
        <v>0.5</v>
      </c>
      <c r="G136" s="64">
        <f t="shared" si="6"/>
        <v>14.025</v>
      </c>
      <c r="H136" s="1">
        <v>79</v>
      </c>
      <c r="I136" s="1">
        <v>80</v>
      </c>
    </row>
    <row r="137" spans="1:9" x14ac:dyDescent="0.45">
      <c r="A137" s="79">
        <v>50</v>
      </c>
      <c r="B137" s="1" t="s">
        <v>14</v>
      </c>
      <c r="C137" s="1" t="s">
        <v>996</v>
      </c>
      <c r="D137" s="4">
        <v>843.62</v>
      </c>
      <c r="E137" s="62">
        <v>50</v>
      </c>
      <c r="F137" s="1">
        <v>0.5</v>
      </c>
      <c r="G137" s="64">
        <f t="shared" si="6"/>
        <v>21.090499999999999</v>
      </c>
      <c r="H137" s="1">
        <v>81</v>
      </c>
      <c r="I137" s="1">
        <v>82</v>
      </c>
    </row>
    <row r="138" spans="1:9" x14ac:dyDescent="0.45">
      <c r="A138" s="79">
        <v>49</v>
      </c>
      <c r="B138" s="1" t="s">
        <v>14</v>
      </c>
      <c r="C138" s="1" t="s">
        <v>1008</v>
      </c>
      <c r="D138" s="4">
        <v>745.7</v>
      </c>
      <c r="E138" s="62">
        <v>50</v>
      </c>
      <c r="F138" s="1">
        <v>0.5</v>
      </c>
      <c r="G138" s="64">
        <f t="shared" si="6"/>
        <v>18.642499999999998</v>
      </c>
      <c r="H138" s="1">
        <v>81</v>
      </c>
      <c r="I138" s="1">
        <v>82</v>
      </c>
    </row>
    <row r="139" spans="1:9" x14ac:dyDescent="0.45">
      <c r="A139" s="79" t="s">
        <v>85</v>
      </c>
      <c r="B139" s="1" t="s">
        <v>14</v>
      </c>
      <c r="C139" s="1" t="s">
        <v>11</v>
      </c>
      <c r="D139" s="16">
        <v>4322</v>
      </c>
      <c r="E139" s="62">
        <v>50</v>
      </c>
      <c r="F139" s="1">
        <v>1</v>
      </c>
      <c r="G139" s="64">
        <f t="shared" si="6"/>
        <v>216.1</v>
      </c>
      <c r="H139" s="1">
        <v>83</v>
      </c>
      <c r="I139" s="1">
        <v>84</v>
      </c>
    </row>
    <row r="140" spans="1:9" x14ac:dyDescent="0.45">
      <c r="A140" s="79" t="s">
        <v>1031</v>
      </c>
      <c r="B140" s="1" t="s">
        <v>14</v>
      </c>
      <c r="C140" s="1" t="s">
        <v>993</v>
      </c>
      <c r="D140" s="4">
        <v>561</v>
      </c>
      <c r="E140" s="62">
        <v>50</v>
      </c>
      <c r="F140" s="1">
        <v>0.5</v>
      </c>
      <c r="G140" s="64">
        <f t="shared" ref="G140:G148" si="7">D140*E140*F140/1000</f>
        <v>14.025</v>
      </c>
      <c r="H140" s="1">
        <v>83</v>
      </c>
      <c r="I140" s="1">
        <v>84</v>
      </c>
    </row>
    <row r="141" spans="1:9" x14ac:dyDescent="0.45">
      <c r="A141" s="79" t="s">
        <v>1032</v>
      </c>
      <c r="B141" s="1" t="s">
        <v>12</v>
      </c>
      <c r="C141" s="1" t="s">
        <v>1008</v>
      </c>
      <c r="D141" s="4">
        <v>511.86</v>
      </c>
      <c r="E141" s="62">
        <v>50</v>
      </c>
      <c r="F141" s="1">
        <v>0.5</v>
      </c>
      <c r="G141" s="64">
        <f t="shared" si="7"/>
        <v>12.7965</v>
      </c>
      <c r="H141" s="1">
        <v>83</v>
      </c>
      <c r="I141" s="1">
        <v>84</v>
      </c>
    </row>
    <row r="142" spans="1:9" x14ac:dyDescent="0.45">
      <c r="A142" s="79" t="s">
        <v>85</v>
      </c>
      <c r="B142" s="1" t="s">
        <v>12</v>
      </c>
      <c r="C142" s="1" t="s">
        <v>1002</v>
      </c>
      <c r="D142" s="16">
        <v>3108</v>
      </c>
      <c r="E142" s="62">
        <v>50</v>
      </c>
      <c r="F142" s="1">
        <v>1</v>
      </c>
      <c r="G142" s="64">
        <f t="shared" si="7"/>
        <v>155.4</v>
      </c>
      <c r="H142" s="1">
        <v>85</v>
      </c>
      <c r="I142" s="1">
        <v>86</v>
      </c>
    </row>
    <row r="143" spans="1:9" x14ac:dyDescent="0.45">
      <c r="A143" s="79">
        <v>52</v>
      </c>
      <c r="B143" s="1" t="s">
        <v>12</v>
      </c>
      <c r="C143" s="1" t="s">
        <v>1002</v>
      </c>
      <c r="D143" s="4">
        <v>583</v>
      </c>
      <c r="E143" s="62">
        <v>50</v>
      </c>
      <c r="F143" s="1">
        <v>0.5</v>
      </c>
      <c r="G143" s="64">
        <f t="shared" si="7"/>
        <v>14.574999999999999</v>
      </c>
      <c r="H143" s="1">
        <v>85</v>
      </c>
      <c r="I143" s="1">
        <v>86</v>
      </c>
    </row>
    <row r="144" spans="1:9" x14ac:dyDescent="0.45">
      <c r="A144" s="79">
        <v>55</v>
      </c>
      <c r="B144" s="1" t="s">
        <v>12</v>
      </c>
      <c r="C144" s="1" t="s">
        <v>993</v>
      </c>
      <c r="D144" s="4">
        <v>423.15</v>
      </c>
      <c r="E144" s="62">
        <v>50</v>
      </c>
      <c r="F144" s="1">
        <v>0.5</v>
      </c>
      <c r="G144" s="64">
        <f t="shared" si="7"/>
        <v>10.578749999999999</v>
      </c>
      <c r="H144" s="1">
        <v>85</v>
      </c>
      <c r="I144" s="1">
        <v>86</v>
      </c>
    </row>
    <row r="145" spans="1:34" x14ac:dyDescent="0.45">
      <c r="A145" s="79" t="s">
        <v>1033</v>
      </c>
      <c r="B145" s="1" t="s">
        <v>12</v>
      </c>
      <c r="C145" s="1" t="s">
        <v>1008</v>
      </c>
      <c r="D145" s="4">
        <v>451.96</v>
      </c>
      <c r="E145" s="62">
        <v>50</v>
      </c>
      <c r="F145" s="1">
        <v>0.5</v>
      </c>
      <c r="G145" s="64">
        <f t="shared" si="7"/>
        <v>11.298999999999999</v>
      </c>
      <c r="H145" s="1">
        <v>86</v>
      </c>
      <c r="I145" s="1">
        <v>87</v>
      </c>
      <c r="K145" s="1"/>
    </row>
    <row r="146" spans="1:34" x14ac:dyDescent="0.45">
      <c r="A146" s="79">
        <v>54</v>
      </c>
      <c r="B146" s="1" t="s">
        <v>12</v>
      </c>
      <c r="C146" s="1" t="s">
        <v>11</v>
      </c>
      <c r="D146" s="4">
        <v>711.39</v>
      </c>
      <c r="E146" s="62">
        <v>50</v>
      </c>
      <c r="F146" s="1">
        <v>0.5</v>
      </c>
      <c r="G146" s="64">
        <f t="shared" si="7"/>
        <v>17.784749999999999</v>
      </c>
      <c r="H146" s="1">
        <v>89</v>
      </c>
      <c r="I146" s="1">
        <v>88</v>
      </c>
      <c r="K146" s="1"/>
    </row>
    <row r="147" spans="1:34" x14ac:dyDescent="0.45">
      <c r="A147" s="79">
        <v>53</v>
      </c>
      <c r="B147" s="1" t="s">
        <v>12</v>
      </c>
      <c r="C147" s="1" t="s">
        <v>996</v>
      </c>
      <c r="D147" s="4">
        <v>511.72</v>
      </c>
      <c r="E147" s="62">
        <v>50</v>
      </c>
      <c r="F147" s="1">
        <v>0.5</v>
      </c>
      <c r="G147" s="64">
        <f t="shared" si="7"/>
        <v>12.792999999999999</v>
      </c>
      <c r="H147" s="1">
        <v>89</v>
      </c>
      <c r="I147" s="1">
        <v>88</v>
      </c>
      <c r="K147" s="1"/>
    </row>
    <row r="148" spans="1:34" x14ac:dyDescent="0.45">
      <c r="A148" s="79">
        <v>9</v>
      </c>
      <c r="B148" s="1" t="s">
        <v>42</v>
      </c>
      <c r="C148" s="1" t="s">
        <v>996</v>
      </c>
      <c r="D148" s="4">
        <v>325.68</v>
      </c>
      <c r="E148" s="62">
        <v>50</v>
      </c>
      <c r="F148" s="1">
        <v>0.5</v>
      </c>
      <c r="G148" s="64">
        <f t="shared" si="7"/>
        <v>8.1419999999999995</v>
      </c>
      <c r="H148" s="1" t="s">
        <v>997</v>
      </c>
      <c r="I148" s="1">
        <v>2</v>
      </c>
      <c r="K148" s="1"/>
    </row>
    <row r="149" spans="1:34" x14ac:dyDescent="0.45">
      <c r="D149" s="4">
        <f>SUBTOTAL(9,D44:D148)</f>
        <v>168442.26999999993</v>
      </c>
      <c r="E149" s="1"/>
      <c r="F149" s="1"/>
      <c r="G149" s="13">
        <f>SUBTOTAL(9,G44:G148)</f>
        <v>7241.0043499999992</v>
      </c>
    </row>
    <row r="150" spans="1:34" x14ac:dyDescent="0.45">
      <c r="L150" s="213"/>
    </row>
    <row r="152" spans="1:34" x14ac:dyDescent="0.45">
      <c r="O152" s="213"/>
      <c r="P152" s="213"/>
      <c r="Q152" s="213"/>
    </row>
    <row r="154" spans="1:34" s="14" customFormat="1" ht="28.5" x14ac:dyDescent="0.45">
      <c r="A154" s="481" t="s">
        <v>1034</v>
      </c>
      <c r="B154" s="481" t="s">
        <v>1035</v>
      </c>
      <c r="C154" s="481" t="s">
        <v>1036</v>
      </c>
      <c r="D154" s="481" t="s">
        <v>213</v>
      </c>
      <c r="E154" s="481" t="s">
        <v>219</v>
      </c>
      <c r="F154" s="481" t="s">
        <v>975</v>
      </c>
      <c r="G154" s="481" t="s">
        <v>972</v>
      </c>
      <c r="H154" s="481" t="s">
        <v>1037</v>
      </c>
      <c r="I154" s="481" t="s">
        <v>1038</v>
      </c>
      <c r="J154" s="481" t="s">
        <v>687</v>
      </c>
      <c r="K154" s="481" t="s">
        <v>1039</v>
      </c>
      <c r="L154" s="481" t="s">
        <v>1040</v>
      </c>
      <c r="M154" s="481" t="s">
        <v>1041</v>
      </c>
      <c r="N154" s="481" t="s">
        <v>1042</v>
      </c>
      <c r="O154" s="481" t="s">
        <v>1043</v>
      </c>
      <c r="P154" s="481" t="s">
        <v>1044</v>
      </c>
      <c r="Q154" s="481" t="s">
        <v>1045</v>
      </c>
      <c r="R154" s="481" t="s">
        <v>357</v>
      </c>
      <c r="S154" s="481" t="s">
        <v>1046</v>
      </c>
      <c r="T154" s="481" t="s">
        <v>1047</v>
      </c>
      <c r="U154" s="481" t="s">
        <v>1048</v>
      </c>
      <c r="V154" s="481" t="s">
        <v>1049</v>
      </c>
      <c r="W154" s="481" t="s">
        <v>293</v>
      </c>
      <c r="X154" s="481" t="s">
        <v>1050</v>
      </c>
      <c r="Y154" s="481" t="s">
        <v>1051</v>
      </c>
      <c r="Z154" s="481" t="s">
        <v>1052</v>
      </c>
      <c r="AA154" s="481" t="s">
        <v>1053</v>
      </c>
      <c r="AC154" s="594" t="s">
        <v>968</v>
      </c>
      <c r="AD154" s="594"/>
      <c r="AF154" s="14" t="s">
        <v>1054</v>
      </c>
    </row>
    <row r="155" spans="1:34" hidden="1" x14ac:dyDescent="0.45">
      <c r="A155" s="1">
        <v>1.1000000000000001</v>
      </c>
      <c r="B155" s="1">
        <v>3</v>
      </c>
      <c r="C155" s="1" t="s">
        <v>997</v>
      </c>
      <c r="D155" s="76">
        <v>16</v>
      </c>
      <c r="E155" s="126">
        <f>SUMIFS($G$44:$G$148,$H$44:$H$148,B155)+SUMIFS($E$155:$E$244,$C$155:$C$244,B155)</f>
        <v>23.675750000000001</v>
      </c>
      <c r="F155" s="216">
        <v>0.2</v>
      </c>
      <c r="G155" s="215">
        <f>F155+2*H155</f>
        <v>0.58105117766515302</v>
      </c>
      <c r="H155" s="217">
        <f>2*F155/4*(3)^(0.5)*1.1</f>
        <v>0.19052558883257653</v>
      </c>
      <c r="I155" s="215">
        <f>H155/1.1</f>
        <v>0.17320508075688773</v>
      </c>
      <c r="J155" s="93">
        <f t="shared" ref="J155:J219" si="8">1/750</f>
        <v>1.3333333333333333E-3</v>
      </c>
      <c r="K155" s="1">
        <f>VLOOKUP(B155,$A$266:$B$368,2,FALSE)</f>
        <v>263.95</v>
      </c>
      <c r="L155" s="94">
        <f>K155-H155</f>
        <v>263.75947441116739</v>
      </c>
      <c r="M155" s="328">
        <f>L155-D155*J155</f>
        <v>263.73814107783403</v>
      </c>
      <c r="N155" s="94">
        <f>M155+H155</f>
        <v>263.92866666666663</v>
      </c>
      <c r="O155" s="1">
        <f>VLOOKUP(C155,$A$267:$B$368,2,FALSE)</f>
        <v>263.95</v>
      </c>
      <c r="P155" s="332">
        <f>O155-N155</f>
        <v>2.1333333333359406E-2</v>
      </c>
      <c r="Q155" s="332">
        <f>G155+P155*2</f>
        <v>0.62371784433187183</v>
      </c>
      <c r="R155" s="1" t="str">
        <f>IF(N155&lt;O155,"OK","Filling Required")</f>
        <v>OK</v>
      </c>
      <c r="S155" s="13">
        <f>1/0.03*3600*(J155^(0.5))*(((F155*H155/1.1)+((H155/1.1)^2))^(5/3))*((F155+((2^(3/2))*H155/1.1))^(-2/3))</f>
        <v>58.430688467127666</v>
      </c>
      <c r="T155" s="192">
        <f t="shared" ref="T155" si="9">(S155-E155)/E155</f>
        <v>1.4679551214693374</v>
      </c>
      <c r="U155" s="13">
        <f>K155-L155</f>
        <v>0.19052558883259962</v>
      </c>
      <c r="V155" s="13">
        <f>-M155+O155</f>
        <v>0.21185892216595903</v>
      </c>
      <c r="W155" s="13">
        <f>((F155*H155)+(H155^2))*D155</f>
        <v>1.1904818842642451</v>
      </c>
      <c r="X155" s="13">
        <f>2*MIN(U155:V155)+F155</f>
        <v>0.5810511776651992</v>
      </c>
      <c r="Y155" s="13">
        <f>2*AVERAGE(U155:V155)+F155</f>
        <v>0.60238451099855861</v>
      </c>
      <c r="Z155" s="13">
        <f>(MIN(U155:V155)*F155+MIN(U155:V155)^2)*D155</f>
        <v>1.1904818842644598</v>
      </c>
      <c r="AA155" s="13">
        <f>(AVERAGE(U155:V155)*F155+AVERAGE(U155:V155)^2)*D155</f>
        <v>1.2914683963638907</v>
      </c>
      <c r="AC155" s="83" t="s">
        <v>1055</v>
      </c>
      <c r="AD155" s="84" t="s">
        <v>970</v>
      </c>
      <c r="AE155" s="339">
        <f>AA155/D155</f>
        <v>8.0716774772743166E-2</v>
      </c>
      <c r="AF155">
        <f>3.82*F155</f>
        <v>0.76400000000000001</v>
      </c>
      <c r="AG155">
        <f>AF155*0.1</f>
        <v>7.640000000000001E-2</v>
      </c>
      <c r="AH155">
        <f>AG155*D155</f>
        <v>1.2224000000000002</v>
      </c>
    </row>
    <row r="156" spans="1:34" hidden="1" x14ac:dyDescent="0.45">
      <c r="A156" s="1">
        <v>1.1000000000000001</v>
      </c>
      <c r="B156" s="1" t="s">
        <v>997</v>
      </c>
      <c r="C156" s="1">
        <v>2</v>
      </c>
      <c r="D156" s="76">
        <v>25</v>
      </c>
      <c r="E156" s="126">
        <f t="shared" ref="E156:E219" si="10">SUMIFS($G$44:$G$148,$H$44:$H$148,B156)+SUMIFS($E$155:$E$244,$C$155:$C$244,B156)</f>
        <v>31.81775</v>
      </c>
      <c r="F156" s="216">
        <v>0.2</v>
      </c>
      <c r="G156" s="215">
        <f t="shared" ref="G156:G219" si="11">F156+2*H156</f>
        <v>0.58105117766515302</v>
      </c>
      <c r="H156" s="217">
        <f t="shared" ref="H156:H219" si="12">2*F156/4*(3)^(0.5)*1.1</f>
        <v>0.19052558883257653</v>
      </c>
      <c r="I156" s="215">
        <f t="shared" ref="I156:I219" si="13">H156/1.1</f>
        <v>0.17320508075688773</v>
      </c>
      <c r="J156" s="93">
        <f t="shared" si="8"/>
        <v>1.3333333333333333E-3</v>
      </c>
      <c r="K156" s="1">
        <f t="shared" ref="K156:K219" si="14">VLOOKUP(B156,$A$266:$B$368,2,FALSE)</f>
        <v>263.95</v>
      </c>
      <c r="L156" s="329">
        <f>_xlfn.MINIFS($M$155:$M$239,$C$155:$C$239,B156)-0.221</f>
        <v>263.51714107783403</v>
      </c>
      <c r="M156" s="328">
        <f>L156-D156*J156</f>
        <v>263.48380774450067</v>
      </c>
      <c r="N156" s="94">
        <f t="shared" ref="N156:N219" si="15">M156+H156</f>
        <v>263.67433333333327</v>
      </c>
      <c r="O156" s="1">
        <f t="shared" ref="O156:O219" si="16">VLOOKUP(C156,$A$267:$B$368,2,FALSE)</f>
        <v>263.67500000000001</v>
      </c>
      <c r="P156" s="332">
        <f t="shared" ref="P156:P219" si="17">O156-N156</f>
        <v>6.6666666674564112E-4</v>
      </c>
      <c r="Q156" s="332">
        <f t="shared" ref="Q156:Q219" si="18">G156+P156*2</f>
        <v>0.5823845109986443</v>
      </c>
      <c r="R156" s="1" t="str">
        <f t="shared" ref="R156:R219" si="19">IF(N156&lt;O156,"OK","Filling Required")</f>
        <v>OK</v>
      </c>
      <c r="S156" s="13">
        <f t="shared" ref="S156:S219" si="20">1/0.03*3600*(J156^(0.5))*(((F156*H156/1.1)+((H156/1.1)^2))^(5/3))*((F156+((2^(3/2))*H156/1.1))^(-2/3))</f>
        <v>58.430688467127666</v>
      </c>
      <c r="T156" s="192">
        <f t="shared" ref="T156:T219" si="21">(S156-E156)/E156</f>
        <v>0.83641798892529062</v>
      </c>
      <c r="U156" s="13">
        <f t="shared" ref="U156:U219" si="22">K156-L156</f>
        <v>0.43285892216596267</v>
      </c>
      <c r="V156" s="13">
        <f t="shared" ref="V156:V219" si="23">-M156+O156</f>
        <v>0.19119225549934526</v>
      </c>
      <c r="W156" s="13">
        <f t="shared" ref="W156:W219" si="24">((F156*H156)+(H156^2))*D156</f>
        <v>1.8601279441628829</v>
      </c>
      <c r="X156" s="13">
        <f t="shared" ref="X156:X219" si="25">2*MIN(U156:V156)+F156</f>
        <v>0.58238451099869049</v>
      </c>
      <c r="Y156" s="13">
        <f t="shared" ref="Y156:Y219" si="26">2*AVERAGE(U156:V156)+F156</f>
        <v>0.82405117766530789</v>
      </c>
      <c r="Z156" s="13">
        <f t="shared" ref="Z156:Z219" si="27">(MIN(U156:V156)*F156+MIN(U156:V156)^2)*D156</f>
        <v>1.8698232415698994</v>
      </c>
      <c r="AA156" s="13">
        <f t="shared" ref="AA156:AA219" si="28">(AVERAGE(U156:V156)*F156+AVERAGE(U156:V156)^2)*D156</f>
        <v>3.9941271463223806</v>
      </c>
      <c r="AC156" s="83" t="s">
        <v>971</v>
      </c>
      <c r="AD156" s="85">
        <v>0.03</v>
      </c>
      <c r="AE156" s="339">
        <f t="shared" ref="AE156:AE219" si="29">AA156/D156</f>
        <v>0.15976508585289523</v>
      </c>
      <c r="AF156">
        <f t="shared" ref="AF156:AF219" si="30">3.82*F156</f>
        <v>0.76400000000000001</v>
      </c>
      <c r="AG156">
        <f t="shared" ref="AG156:AG219" si="31">AF156*0.1</f>
        <v>7.640000000000001E-2</v>
      </c>
      <c r="AH156">
        <f t="shared" ref="AH156:AH219" si="32">AG156*D156</f>
        <v>1.9100000000000001</v>
      </c>
    </row>
    <row r="157" spans="1:34" x14ac:dyDescent="0.45">
      <c r="A157" s="1">
        <v>1.1000000000000001</v>
      </c>
      <c r="B157" s="1">
        <v>2</v>
      </c>
      <c r="C157" s="1">
        <v>1</v>
      </c>
      <c r="D157" s="76">
        <v>80</v>
      </c>
      <c r="E157" s="126">
        <f t="shared" si="10"/>
        <v>240.45325</v>
      </c>
      <c r="F157" s="216">
        <v>0.4</v>
      </c>
      <c r="G157" s="215">
        <f t="shared" si="11"/>
        <v>1.162102355330306</v>
      </c>
      <c r="H157" s="217">
        <f t="shared" si="12"/>
        <v>0.38105117766515306</v>
      </c>
      <c r="I157" s="215">
        <f t="shared" si="13"/>
        <v>0.34641016151377546</v>
      </c>
      <c r="J157" s="93">
        <f t="shared" si="8"/>
        <v>1.3333333333333333E-3</v>
      </c>
      <c r="K157" s="1">
        <f t="shared" si="14"/>
        <v>263.67500000000001</v>
      </c>
      <c r="L157" s="329">
        <f>_xlfn.MINIFS($M$155:$M$239,$C$155:$C$239,B157)-0.1</f>
        <v>263.38380774450064</v>
      </c>
      <c r="M157" s="327">
        <f t="shared" ref="M157:M219" si="33">L157-D157*J157</f>
        <v>263.27714107783396</v>
      </c>
      <c r="N157" s="94">
        <f t="shared" si="15"/>
        <v>263.6581922554991</v>
      </c>
      <c r="O157" s="1">
        <f t="shared" si="16"/>
        <v>263.67500000000001</v>
      </c>
      <c r="P157" s="332">
        <f t="shared" si="17"/>
        <v>1.6807744500908939E-2</v>
      </c>
      <c r="Q157" s="332">
        <f t="shared" si="18"/>
        <v>1.1957178443321239</v>
      </c>
      <c r="R157" s="1" t="str">
        <f t="shared" si="19"/>
        <v>OK</v>
      </c>
      <c r="S157" s="13">
        <f t="shared" si="20"/>
        <v>371.01174535977839</v>
      </c>
      <c r="T157" s="192">
        <f t="shared" si="21"/>
        <v>0.54296831238412624</v>
      </c>
      <c r="U157" s="13">
        <f t="shared" si="22"/>
        <v>0.291192255499368</v>
      </c>
      <c r="V157" s="13">
        <f t="shared" si="23"/>
        <v>0.39785892216605134</v>
      </c>
      <c r="W157" s="13">
        <f t="shared" si="24"/>
        <v>23.809637685284901</v>
      </c>
      <c r="X157" s="13">
        <f t="shared" si="25"/>
        <v>0.98238451099873603</v>
      </c>
      <c r="Y157" s="13">
        <f t="shared" si="26"/>
        <v>1.0890511776654193</v>
      </c>
      <c r="Z157" s="13">
        <f t="shared" si="27"/>
        <v>16.101586549004516</v>
      </c>
      <c r="AA157" s="13">
        <f t="shared" si="28"/>
        <v>20.520649351488736</v>
      </c>
      <c r="AC157" s="83" t="s">
        <v>972</v>
      </c>
      <c r="AD157" s="91">
        <f>AD160+2*AD159/1.1</f>
        <v>1.0927272727272728</v>
      </c>
      <c r="AE157" s="339">
        <f t="shared" si="29"/>
        <v>0.25650811689360919</v>
      </c>
      <c r="AF157">
        <f t="shared" si="30"/>
        <v>1.528</v>
      </c>
      <c r="AG157">
        <f t="shared" si="31"/>
        <v>0.15280000000000002</v>
      </c>
      <c r="AH157">
        <f t="shared" si="32"/>
        <v>12.224000000000002</v>
      </c>
    </row>
    <row r="158" spans="1:34" x14ac:dyDescent="0.45">
      <c r="A158" s="1">
        <v>1.1000000000000001</v>
      </c>
      <c r="B158" s="1">
        <v>1</v>
      </c>
      <c r="C158" s="1">
        <v>7</v>
      </c>
      <c r="D158" s="76">
        <v>95</v>
      </c>
      <c r="E158" s="126">
        <f t="shared" si="10"/>
        <v>267.37225000000001</v>
      </c>
      <c r="F158" s="216">
        <v>0.4</v>
      </c>
      <c r="G158" s="215">
        <f t="shared" si="11"/>
        <v>1.162102355330306</v>
      </c>
      <c r="H158" s="217">
        <f t="shared" si="12"/>
        <v>0.38105117766515306</v>
      </c>
      <c r="I158" s="215">
        <f t="shared" si="13"/>
        <v>0.34641016151377546</v>
      </c>
      <c r="J158" s="93">
        <f t="shared" si="8"/>
        <v>1.3333333333333333E-3</v>
      </c>
      <c r="K158" s="1">
        <f t="shared" si="14"/>
        <v>263.67500000000001</v>
      </c>
      <c r="L158" s="94">
        <f t="shared" ref="L158:L219" si="34">_xlfn.MINIFS($M$155:$M$239,$C$155:$C$239,B158)</f>
        <v>263.27714107783396</v>
      </c>
      <c r="M158" s="328">
        <f t="shared" si="33"/>
        <v>263.15047441116729</v>
      </c>
      <c r="N158" s="94">
        <f t="shared" si="15"/>
        <v>263.53152558883244</v>
      </c>
      <c r="O158" s="1">
        <f t="shared" si="16"/>
        <v>263.67500000000001</v>
      </c>
      <c r="P158" s="332">
        <f t="shared" si="17"/>
        <v>0.14347441116757409</v>
      </c>
      <c r="Q158" s="332">
        <f t="shared" si="18"/>
        <v>1.4490511776654542</v>
      </c>
      <c r="R158" s="1" t="str">
        <f t="shared" si="19"/>
        <v>OK</v>
      </c>
      <c r="S158" s="13">
        <f t="shared" si="20"/>
        <v>371.01174535977839</v>
      </c>
      <c r="T158" s="192">
        <f t="shared" si="21"/>
        <v>0.38762248273625394</v>
      </c>
      <c r="U158" s="13">
        <f t="shared" si="22"/>
        <v>0.39785892216605134</v>
      </c>
      <c r="V158" s="13">
        <f t="shared" si="23"/>
        <v>0.52452558883271649</v>
      </c>
      <c r="W158" s="13">
        <f t="shared" si="24"/>
        <v>28.27394475127582</v>
      </c>
      <c r="X158" s="13">
        <f t="shared" si="25"/>
        <v>1.1957178443321026</v>
      </c>
      <c r="Y158" s="13">
        <f t="shared" si="26"/>
        <v>1.3223845109987677</v>
      </c>
      <c r="Z158" s="13">
        <f t="shared" si="27"/>
        <v>30.1563526272875</v>
      </c>
      <c r="AA158" s="13">
        <f t="shared" si="28"/>
        <v>37.731643879574449</v>
      </c>
      <c r="AC158" s="83" t="s">
        <v>973</v>
      </c>
      <c r="AD158" s="85">
        <f>1/750</f>
        <v>1.3333333333333333E-3</v>
      </c>
      <c r="AE158" s="339">
        <f t="shared" si="29"/>
        <v>0.39717519873236262</v>
      </c>
      <c r="AF158">
        <f t="shared" si="30"/>
        <v>1.528</v>
      </c>
      <c r="AG158">
        <f t="shared" si="31"/>
        <v>0.15280000000000002</v>
      </c>
      <c r="AH158">
        <f t="shared" si="32"/>
        <v>14.516000000000002</v>
      </c>
    </row>
    <row r="159" spans="1:34" x14ac:dyDescent="0.45">
      <c r="A159" s="1">
        <v>1.2</v>
      </c>
      <c r="B159" s="1">
        <v>4</v>
      </c>
      <c r="C159" s="1">
        <v>5</v>
      </c>
      <c r="D159" s="76">
        <v>102</v>
      </c>
      <c r="E159" s="126">
        <f t="shared" si="10"/>
        <v>212.38025000000002</v>
      </c>
      <c r="F159" s="216">
        <v>0.4</v>
      </c>
      <c r="G159" s="215">
        <f t="shared" si="11"/>
        <v>1.162102355330306</v>
      </c>
      <c r="H159" s="217">
        <f t="shared" si="12"/>
        <v>0.38105117766515306</v>
      </c>
      <c r="I159" s="215">
        <f t="shared" si="13"/>
        <v>0.34641016151377546</v>
      </c>
      <c r="J159" s="93">
        <f t="shared" si="8"/>
        <v>1.3333333333333333E-3</v>
      </c>
      <c r="K159" s="1">
        <f t="shared" si="14"/>
        <v>263.625</v>
      </c>
      <c r="L159" s="94">
        <f>K159-H159</f>
        <v>263.24394882233486</v>
      </c>
      <c r="M159" s="327">
        <f t="shared" si="33"/>
        <v>263.10794882233483</v>
      </c>
      <c r="N159" s="94">
        <f t="shared" si="15"/>
        <v>263.48899999999998</v>
      </c>
      <c r="O159" s="1">
        <f t="shared" si="16"/>
        <v>263.625</v>
      </c>
      <c r="P159" s="332">
        <f t="shared" si="17"/>
        <v>0.1360000000000241</v>
      </c>
      <c r="Q159" s="332">
        <f t="shared" si="18"/>
        <v>1.4341023553303542</v>
      </c>
      <c r="R159" s="1" t="str">
        <f t="shared" si="19"/>
        <v>OK</v>
      </c>
      <c r="S159" s="13">
        <f t="shared" si="20"/>
        <v>371.01174535977839</v>
      </c>
      <c r="T159" s="192">
        <f t="shared" si="21"/>
        <v>0.74692206718740728</v>
      </c>
      <c r="U159" s="13">
        <f t="shared" si="22"/>
        <v>0.3810511776651424</v>
      </c>
      <c r="V159" s="13">
        <f t="shared" si="23"/>
        <v>0.51705117766516651</v>
      </c>
      <c r="W159" s="13">
        <f t="shared" si="24"/>
        <v>30.357288048738248</v>
      </c>
      <c r="X159" s="13">
        <f t="shared" si="25"/>
        <v>1.1621023553302847</v>
      </c>
      <c r="Y159" s="13">
        <f t="shared" si="26"/>
        <v>1.2981023553303088</v>
      </c>
      <c r="Z159" s="13">
        <f t="shared" si="27"/>
        <v>30.357288048736986</v>
      </c>
      <c r="AA159" s="13">
        <f t="shared" si="28"/>
        <v>38.889277985309441</v>
      </c>
      <c r="AC159" s="83" t="s">
        <v>974</v>
      </c>
      <c r="AD159" s="91">
        <v>0.38100000000000001</v>
      </c>
      <c r="AE159" s="339">
        <f t="shared" si="29"/>
        <v>0.38126743122852391</v>
      </c>
      <c r="AF159">
        <f t="shared" si="30"/>
        <v>1.528</v>
      </c>
      <c r="AG159">
        <f t="shared" si="31"/>
        <v>0.15280000000000002</v>
      </c>
      <c r="AH159">
        <f t="shared" si="32"/>
        <v>15.585600000000001</v>
      </c>
    </row>
    <row r="160" spans="1:34" x14ac:dyDescent="0.45">
      <c r="A160" s="1">
        <v>1.2</v>
      </c>
      <c r="B160" s="1">
        <v>5</v>
      </c>
      <c r="C160" s="1">
        <v>6</v>
      </c>
      <c r="D160" s="76">
        <v>14</v>
      </c>
      <c r="E160" s="126">
        <f t="shared" si="10"/>
        <v>272.11175000000003</v>
      </c>
      <c r="F160" s="216">
        <v>0.4</v>
      </c>
      <c r="G160" s="215">
        <f t="shared" si="11"/>
        <v>1.162102355330306</v>
      </c>
      <c r="H160" s="217">
        <f t="shared" si="12"/>
        <v>0.38105117766515306</v>
      </c>
      <c r="I160" s="215">
        <f t="shared" si="13"/>
        <v>0.34641016151377546</v>
      </c>
      <c r="J160" s="93">
        <f t="shared" si="8"/>
        <v>1.3333333333333333E-3</v>
      </c>
      <c r="K160" s="1">
        <f t="shared" si="14"/>
        <v>263.625</v>
      </c>
      <c r="L160" s="94">
        <f t="shared" si="34"/>
        <v>263.10794882233483</v>
      </c>
      <c r="M160" s="327">
        <f t="shared" si="33"/>
        <v>263.08928215566817</v>
      </c>
      <c r="N160" s="94">
        <f t="shared" si="15"/>
        <v>263.47033333333331</v>
      </c>
      <c r="O160" s="1">
        <f t="shared" si="16"/>
        <v>263.67500000000001</v>
      </c>
      <c r="P160" s="332">
        <f t="shared" si="17"/>
        <v>0.20466666666669653</v>
      </c>
      <c r="Q160" s="332">
        <f t="shared" si="18"/>
        <v>1.5714356886636991</v>
      </c>
      <c r="R160" s="1" t="str">
        <f t="shared" si="19"/>
        <v>OK</v>
      </c>
      <c r="S160" s="13">
        <f t="shared" si="20"/>
        <v>371.01174535977839</v>
      </c>
      <c r="T160" s="192">
        <f t="shared" si="21"/>
        <v>0.36345360080841177</v>
      </c>
      <c r="U160" s="13">
        <f t="shared" si="22"/>
        <v>0.51705117766516651</v>
      </c>
      <c r="V160" s="13">
        <f t="shared" si="23"/>
        <v>0.58571784433183893</v>
      </c>
      <c r="W160" s="13">
        <f t="shared" si="24"/>
        <v>4.1666865949248582</v>
      </c>
      <c r="X160" s="13">
        <f t="shared" si="25"/>
        <v>1.4341023553303329</v>
      </c>
      <c r="Y160" s="13">
        <f t="shared" si="26"/>
        <v>1.5027690219970053</v>
      </c>
      <c r="Z160" s="13">
        <f t="shared" si="27"/>
        <v>6.638273479474031</v>
      </c>
      <c r="AA160" s="13">
        <f t="shared" si="28"/>
        <v>7.3441015671584262</v>
      </c>
      <c r="AC160" s="83" t="s">
        <v>975</v>
      </c>
      <c r="AD160" s="92">
        <v>0.4</v>
      </c>
      <c r="AE160" s="339">
        <f t="shared" si="29"/>
        <v>0.52457868336845903</v>
      </c>
      <c r="AF160">
        <f t="shared" si="30"/>
        <v>1.528</v>
      </c>
      <c r="AG160">
        <f t="shared" si="31"/>
        <v>0.15280000000000002</v>
      </c>
      <c r="AH160">
        <f t="shared" si="32"/>
        <v>2.1392000000000002</v>
      </c>
    </row>
    <row r="161" spans="1:34" hidden="1" x14ac:dyDescent="0.45">
      <c r="A161" s="1">
        <v>1.2</v>
      </c>
      <c r="B161" s="1">
        <v>6</v>
      </c>
      <c r="C161" s="1">
        <v>7</v>
      </c>
      <c r="D161" s="76">
        <v>96</v>
      </c>
      <c r="E161" s="126">
        <f t="shared" si="10"/>
        <v>511.01125000000002</v>
      </c>
      <c r="F161" s="216">
        <v>0.5</v>
      </c>
      <c r="G161" s="215">
        <f t="shared" si="11"/>
        <v>1.4526279441628827</v>
      </c>
      <c r="H161" s="217">
        <f t="shared" si="12"/>
        <v>0.47631397208144127</v>
      </c>
      <c r="I161" s="215">
        <f t="shared" si="13"/>
        <v>0.4330127018922193</v>
      </c>
      <c r="J161" s="93">
        <f t="shared" si="8"/>
        <v>1.3333333333333333E-3</v>
      </c>
      <c r="K161" s="1">
        <f t="shared" si="14"/>
        <v>263.67500000000001</v>
      </c>
      <c r="L161" s="94">
        <f t="shared" si="34"/>
        <v>263.08928215566817</v>
      </c>
      <c r="M161" s="327">
        <f t="shared" si="33"/>
        <v>262.96128215566819</v>
      </c>
      <c r="N161" s="94">
        <f t="shared" si="15"/>
        <v>263.4375961277496</v>
      </c>
      <c r="O161" s="1">
        <f t="shared" si="16"/>
        <v>263.67500000000001</v>
      </c>
      <c r="P161" s="332">
        <f t="shared" si="17"/>
        <v>0.23740387225041104</v>
      </c>
      <c r="Q161" s="332">
        <f t="shared" si="18"/>
        <v>1.9274356886637047</v>
      </c>
      <c r="R161" s="1" t="str">
        <f t="shared" si="19"/>
        <v>OK</v>
      </c>
      <c r="S161" s="13">
        <f t="shared" si="20"/>
        <v>672.68905250044338</v>
      </c>
      <c r="T161" s="192">
        <f t="shared" si="21"/>
        <v>0.31638795134244768</v>
      </c>
      <c r="U161" s="13">
        <f t="shared" si="22"/>
        <v>0.58571784433183893</v>
      </c>
      <c r="V161" s="13">
        <f t="shared" si="23"/>
        <v>0.71371784433182484</v>
      </c>
      <c r="W161" s="13">
        <f t="shared" si="24"/>
        <v>44.643070659909185</v>
      </c>
      <c r="X161" s="13">
        <f t="shared" si="25"/>
        <v>1.6714356886636779</v>
      </c>
      <c r="Y161" s="13">
        <f t="shared" si="26"/>
        <v>1.7994356886636638</v>
      </c>
      <c r="Z161" s="13">
        <f t="shared" si="27"/>
        <v>61.04873427212695</v>
      </c>
      <c r="AA161" s="13">
        <f t="shared" si="28"/>
        <v>71.711251143275376</v>
      </c>
      <c r="AC161" s="83" t="s">
        <v>9</v>
      </c>
      <c r="AD161" s="87">
        <f>AD160*AD159/1.1+(AD159/1.1)^2</f>
        <v>0.25851322314049585</v>
      </c>
      <c r="AE161" s="339">
        <f t="shared" si="29"/>
        <v>0.74699219940911854</v>
      </c>
      <c r="AF161">
        <f t="shared" si="30"/>
        <v>1.91</v>
      </c>
      <c r="AG161">
        <f t="shared" si="31"/>
        <v>0.191</v>
      </c>
      <c r="AH161">
        <f t="shared" si="32"/>
        <v>18.335999999999999</v>
      </c>
    </row>
    <row r="162" spans="1:34" hidden="1" x14ac:dyDescent="0.45">
      <c r="A162" s="1">
        <v>1</v>
      </c>
      <c r="B162" s="1">
        <v>7</v>
      </c>
      <c r="C162" s="1" t="s">
        <v>1003</v>
      </c>
      <c r="D162" s="76">
        <v>8</v>
      </c>
      <c r="E162" s="126">
        <f t="shared" si="10"/>
        <v>778.38350000000003</v>
      </c>
      <c r="F162" s="216">
        <v>0.6</v>
      </c>
      <c r="G162" s="215">
        <f t="shared" si="11"/>
        <v>1.7431535329954588</v>
      </c>
      <c r="H162" s="217">
        <f t="shared" si="12"/>
        <v>0.57157676649772948</v>
      </c>
      <c r="I162" s="215">
        <f t="shared" si="13"/>
        <v>0.51961524227066314</v>
      </c>
      <c r="J162" s="93">
        <f t="shared" si="8"/>
        <v>1.3333333333333333E-3</v>
      </c>
      <c r="K162" s="1">
        <f t="shared" si="14"/>
        <v>263.67500000000001</v>
      </c>
      <c r="L162" s="94">
        <f t="shared" si="34"/>
        <v>262.96128215566819</v>
      </c>
      <c r="M162" s="327">
        <f t="shared" si="33"/>
        <v>262.95061548900151</v>
      </c>
      <c r="N162" s="94">
        <f t="shared" si="15"/>
        <v>263.52219225549925</v>
      </c>
      <c r="O162" s="1">
        <f t="shared" si="16"/>
        <v>263.67500000000001</v>
      </c>
      <c r="P162" s="332">
        <f t="shared" si="17"/>
        <v>0.15280774450076251</v>
      </c>
      <c r="Q162" s="332">
        <f t="shared" si="18"/>
        <v>2.0487690219969839</v>
      </c>
      <c r="R162" s="1" t="str">
        <f t="shared" si="19"/>
        <v>OK</v>
      </c>
      <c r="S162" s="13">
        <f t="shared" si="20"/>
        <v>1093.8665686523198</v>
      </c>
      <c r="T162" s="192">
        <f t="shared" si="21"/>
        <v>0.40530544217897696</v>
      </c>
      <c r="U162" s="13">
        <f t="shared" si="22"/>
        <v>0.71371784433182484</v>
      </c>
      <c r="V162" s="13">
        <f t="shared" si="23"/>
        <v>0.72438451099850454</v>
      </c>
      <c r="W162" s="13">
        <f t="shared" si="24"/>
        <v>5.3571684791891014</v>
      </c>
      <c r="X162" s="13">
        <f t="shared" si="25"/>
        <v>2.0274356886636498</v>
      </c>
      <c r="Y162" s="13">
        <f t="shared" si="26"/>
        <v>2.0381023553303295</v>
      </c>
      <c r="Z162" s="13">
        <f t="shared" si="27"/>
        <v>7.5009909433340951</v>
      </c>
      <c r="AA162" s="13">
        <f t="shared" si="28"/>
        <v>7.5877224216060721</v>
      </c>
      <c r="AC162" s="83" t="s">
        <v>976</v>
      </c>
      <c r="AD162" s="86">
        <f>AD159/1.1</f>
        <v>0.34636363636363632</v>
      </c>
      <c r="AE162" s="339">
        <f t="shared" si="29"/>
        <v>0.94846530270075902</v>
      </c>
      <c r="AF162">
        <f t="shared" si="30"/>
        <v>2.2919999999999998</v>
      </c>
      <c r="AG162">
        <f t="shared" si="31"/>
        <v>0.22919999999999999</v>
      </c>
      <c r="AH162">
        <f t="shared" si="32"/>
        <v>1.8335999999999999</v>
      </c>
    </row>
    <row r="163" spans="1:34" x14ac:dyDescent="0.45">
      <c r="A163" s="1">
        <v>2</v>
      </c>
      <c r="B163" s="1">
        <v>8</v>
      </c>
      <c r="C163" s="1">
        <v>9</v>
      </c>
      <c r="D163" s="76">
        <v>86</v>
      </c>
      <c r="E163" s="126">
        <f t="shared" si="10"/>
        <v>233.36500000000001</v>
      </c>
      <c r="F163" s="216">
        <v>0.4</v>
      </c>
      <c r="G163" s="215">
        <f t="shared" si="11"/>
        <v>1.162102355330306</v>
      </c>
      <c r="H163" s="217">
        <f t="shared" si="12"/>
        <v>0.38105117766515306</v>
      </c>
      <c r="I163" s="215">
        <f t="shared" si="13"/>
        <v>0.34641016151377546</v>
      </c>
      <c r="J163" s="93">
        <f t="shared" si="8"/>
        <v>1.3333333333333333E-3</v>
      </c>
      <c r="K163" s="1">
        <f t="shared" si="14"/>
        <v>263.67500000000001</v>
      </c>
      <c r="L163" s="94">
        <f>K163-H163</f>
        <v>263.29394882233487</v>
      </c>
      <c r="M163" s="327">
        <f t="shared" si="33"/>
        <v>263.1792821556682</v>
      </c>
      <c r="N163" s="94">
        <f t="shared" si="15"/>
        <v>263.56033333333335</v>
      </c>
      <c r="O163" s="1">
        <f t="shared" si="16"/>
        <v>263.67500000000001</v>
      </c>
      <c r="P163" s="332">
        <f t="shared" si="17"/>
        <v>0.1146666666666647</v>
      </c>
      <c r="Q163" s="332">
        <f t="shared" si="18"/>
        <v>1.3914356886636354</v>
      </c>
      <c r="R163" s="1" t="str">
        <f t="shared" si="19"/>
        <v>OK</v>
      </c>
      <c r="S163" s="13">
        <f t="shared" si="20"/>
        <v>371.01174535977839</v>
      </c>
      <c r="T163" s="192">
        <f t="shared" si="21"/>
        <v>0.58983457399257977</v>
      </c>
      <c r="U163" s="13">
        <f t="shared" si="22"/>
        <v>0.3810511776651424</v>
      </c>
      <c r="V163" s="13">
        <f t="shared" si="23"/>
        <v>0.4957178443318071</v>
      </c>
      <c r="W163" s="13">
        <f t="shared" si="24"/>
        <v>25.595360511681267</v>
      </c>
      <c r="X163" s="13">
        <f t="shared" si="25"/>
        <v>1.1621023553302847</v>
      </c>
      <c r="Y163" s="13">
        <f t="shared" si="26"/>
        <v>1.2767690219969494</v>
      </c>
      <c r="Z163" s="13">
        <f t="shared" si="27"/>
        <v>25.595360511680205</v>
      </c>
      <c r="AA163" s="13">
        <f t="shared" si="28"/>
        <v>31.60799141391751</v>
      </c>
      <c r="AC163" s="83" t="s">
        <v>977</v>
      </c>
      <c r="AD163" s="86">
        <f>AD161/AD164</f>
        <v>0.18737527872882143</v>
      </c>
      <c r="AE163" s="339">
        <f t="shared" si="29"/>
        <v>0.36753478388276173</v>
      </c>
      <c r="AF163">
        <f t="shared" si="30"/>
        <v>1.528</v>
      </c>
      <c r="AG163">
        <f t="shared" si="31"/>
        <v>0.15280000000000002</v>
      </c>
      <c r="AH163">
        <f t="shared" si="32"/>
        <v>13.140800000000002</v>
      </c>
    </row>
    <row r="164" spans="1:34" x14ac:dyDescent="0.45">
      <c r="A164" s="1">
        <v>2</v>
      </c>
      <c r="B164" s="1">
        <v>9</v>
      </c>
      <c r="C164" s="1" t="s">
        <v>1005</v>
      </c>
      <c r="D164" s="76">
        <v>18</v>
      </c>
      <c r="E164" s="126">
        <f t="shared" si="10"/>
        <v>249.50575000000001</v>
      </c>
      <c r="F164" s="216">
        <v>0.4</v>
      </c>
      <c r="G164" s="215">
        <f t="shared" si="11"/>
        <v>1.162102355330306</v>
      </c>
      <c r="H164" s="217">
        <f t="shared" si="12"/>
        <v>0.38105117766515306</v>
      </c>
      <c r="I164" s="215">
        <f t="shared" si="13"/>
        <v>0.34641016151377546</v>
      </c>
      <c r="J164" s="93">
        <f t="shared" si="8"/>
        <v>1.3333333333333333E-3</v>
      </c>
      <c r="K164" s="1">
        <f t="shared" si="14"/>
        <v>263.67500000000001</v>
      </c>
      <c r="L164" s="94">
        <f t="shared" si="34"/>
        <v>263.1792821556682</v>
      </c>
      <c r="M164" s="327">
        <f t="shared" si="33"/>
        <v>263.1552821556682</v>
      </c>
      <c r="N164" s="94">
        <f t="shared" si="15"/>
        <v>263.53633333333335</v>
      </c>
      <c r="O164" s="1">
        <f t="shared" si="16"/>
        <v>263.67500000000001</v>
      </c>
      <c r="P164" s="332">
        <f t="shared" si="17"/>
        <v>0.13866666666666561</v>
      </c>
      <c r="Q164" s="332">
        <f t="shared" si="18"/>
        <v>1.4394356886636372</v>
      </c>
      <c r="R164" s="1" t="str">
        <f t="shared" si="19"/>
        <v>OK</v>
      </c>
      <c r="S164" s="13">
        <f t="shared" si="20"/>
        <v>371.01174535977839</v>
      </c>
      <c r="T164" s="192">
        <f t="shared" si="21"/>
        <v>0.48698675425227023</v>
      </c>
      <c r="U164" s="13">
        <f t="shared" si="22"/>
        <v>0.4957178443318071</v>
      </c>
      <c r="V164" s="13">
        <f t="shared" si="23"/>
        <v>0.51971784433180801</v>
      </c>
      <c r="W164" s="13">
        <f t="shared" si="24"/>
        <v>5.3571684791891023</v>
      </c>
      <c r="X164" s="13">
        <f t="shared" si="25"/>
        <v>1.3914356886636141</v>
      </c>
      <c r="Y164" s="13">
        <f t="shared" si="26"/>
        <v>1.415435688663615</v>
      </c>
      <c r="Z164" s="13">
        <f t="shared" si="27"/>
        <v>7.9924197405905382</v>
      </c>
      <c r="AA164" s="13">
        <f t="shared" si="28"/>
        <v>8.2955618493418903</v>
      </c>
      <c r="AC164" s="83" t="s">
        <v>978</v>
      </c>
      <c r="AD164" s="86">
        <f>AD160+AD159/1.1*2*1.4142</f>
        <v>1.3796549090909089</v>
      </c>
      <c r="AE164" s="339">
        <f t="shared" si="29"/>
        <v>0.46086454718566056</v>
      </c>
      <c r="AF164">
        <f t="shared" si="30"/>
        <v>1.528</v>
      </c>
      <c r="AG164">
        <f t="shared" si="31"/>
        <v>0.15280000000000002</v>
      </c>
      <c r="AH164">
        <f t="shared" si="32"/>
        <v>2.7504000000000004</v>
      </c>
    </row>
    <row r="165" spans="1:34" x14ac:dyDescent="0.45">
      <c r="A165" s="1">
        <v>3</v>
      </c>
      <c r="B165" s="1">
        <v>10</v>
      </c>
      <c r="C165" s="1">
        <v>11</v>
      </c>
      <c r="D165" s="76">
        <v>86</v>
      </c>
      <c r="E165" s="126">
        <f t="shared" si="10"/>
        <v>243.4545</v>
      </c>
      <c r="F165" s="216">
        <v>0.4</v>
      </c>
      <c r="G165" s="215">
        <f t="shared" si="11"/>
        <v>1.162102355330306</v>
      </c>
      <c r="H165" s="217">
        <f t="shared" si="12"/>
        <v>0.38105117766515306</v>
      </c>
      <c r="I165" s="215">
        <f t="shared" si="13"/>
        <v>0.34641016151377546</v>
      </c>
      <c r="J165" s="93">
        <f t="shared" si="8"/>
        <v>1.3333333333333333E-3</v>
      </c>
      <c r="K165" s="1">
        <f t="shared" si="14"/>
        <v>263.57499999999999</v>
      </c>
      <c r="L165" s="94">
        <f>K165-H165</f>
        <v>263.19394882233485</v>
      </c>
      <c r="M165" s="327">
        <f t="shared" si="33"/>
        <v>263.07928215566818</v>
      </c>
      <c r="N165" s="94">
        <f t="shared" si="15"/>
        <v>263.46033333333332</v>
      </c>
      <c r="O165" s="1">
        <f t="shared" si="16"/>
        <v>263.57499999999999</v>
      </c>
      <c r="P165" s="332">
        <f t="shared" si="17"/>
        <v>0.1146666666666647</v>
      </c>
      <c r="Q165" s="332">
        <f t="shared" si="18"/>
        <v>1.3914356886636354</v>
      </c>
      <c r="R165" s="1" t="str">
        <f t="shared" si="19"/>
        <v>OK</v>
      </c>
      <c r="S165" s="13">
        <f t="shared" si="20"/>
        <v>371.01174535977839</v>
      </c>
      <c r="T165" s="192">
        <f t="shared" si="21"/>
        <v>0.52394696076588598</v>
      </c>
      <c r="U165" s="13">
        <f t="shared" si="22"/>
        <v>0.3810511776651424</v>
      </c>
      <c r="V165" s="13">
        <f t="shared" si="23"/>
        <v>0.4957178443318071</v>
      </c>
      <c r="W165" s="13">
        <f t="shared" si="24"/>
        <v>25.595360511681267</v>
      </c>
      <c r="X165" s="13">
        <f t="shared" si="25"/>
        <v>1.1621023553302847</v>
      </c>
      <c r="Y165" s="13">
        <f t="shared" si="26"/>
        <v>1.2767690219969494</v>
      </c>
      <c r="Z165" s="13">
        <f t="shared" si="27"/>
        <v>25.595360511680205</v>
      </c>
      <c r="AA165" s="13">
        <f t="shared" si="28"/>
        <v>31.60799141391751</v>
      </c>
      <c r="AC165" s="83" t="s">
        <v>979</v>
      </c>
      <c r="AD165" s="88">
        <f>AD159-AD162</f>
        <v>3.4636363636363687E-2</v>
      </c>
      <c r="AE165" s="339">
        <f t="shared" si="29"/>
        <v>0.36753478388276173</v>
      </c>
      <c r="AF165">
        <f t="shared" si="30"/>
        <v>1.528</v>
      </c>
      <c r="AG165">
        <f t="shared" si="31"/>
        <v>0.15280000000000002</v>
      </c>
      <c r="AH165">
        <f t="shared" si="32"/>
        <v>13.140800000000002</v>
      </c>
    </row>
    <row r="166" spans="1:34" x14ac:dyDescent="0.45">
      <c r="A166" s="1">
        <v>3</v>
      </c>
      <c r="B166" s="1">
        <v>11</v>
      </c>
      <c r="C166" s="1" t="s">
        <v>1009</v>
      </c>
      <c r="D166" s="76">
        <v>18</v>
      </c>
      <c r="E166" s="126">
        <f t="shared" si="10"/>
        <v>247.8485</v>
      </c>
      <c r="F166" s="216">
        <v>0.4</v>
      </c>
      <c r="G166" s="215">
        <f t="shared" si="11"/>
        <v>1.162102355330306</v>
      </c>
      <c r="H166" s="217">
        <f t="shared" si="12"/>
        <v>0.38105117766515306</v>
      </c>
      <c r="I166" s="215">
        <f t="shared" si="13"/>
        <v>0.34641016151377546</v>
      </c>
      <c r="J166" s="93">
        <f t="shared" si="8"/>
        <v>1.3333333333333333E-3</v>
      </c>
      <c r="K166" s="1">
        <f t="shared" si="14"/>
        <v>263.57499999999999</v>
      </c>
      <c r="L166" s="94">
        <f t="shared" si="34"/>
        <v>263.07928215566818</v>
      </c>
      <c r="M166" s="327">
        <f t="shared" si="33"/>
        <v>263.05528215566818</v>
      </c>
      <c r="N166" s="94">
        <f t="shared" si="15"/>
        <v>263.43633333333332</v>
      </c>
      <c r="O166" s="1">
        <f t="shared" si="16"/>
        <v>263.57499999999999</v>
      </c>
      <c r="P166" s="332">
        <f t="shared" si="17"/>
        <v>0.13866666666666561</v>
      </c>
      <c r="Q166" s="332">
        <f t="shared" si="18"/>
        <v>1.4394356886636372</v>
      </c>
      <c r="R166" s="1" t="str">
        <f t="shared" si="19"/>
        <v>OK</v>
      </c>
      <c r="S166" s="13">
        <f t="shared" si="20"/>
        <v>371.01174535977839</v>
      </c>
      <c r="T166" s="192">
        <f t="shared" si="21"/>
        <v>0.49692955720844945</v>
      </c>
      <c r="U166" s="13">
        <f t="shared" si="22"/>
        <v>0.4957178443318071</v>
      </c>
      <c r="V166" s="13">
        <f t="shared" si="23"/>
        <v>0.51971784433180801</v>
      </c>
      <c r="W166" s="13">
        <f t="shared" si="24"/>
        <v>5.3571684791891023</v>
      </c>
      <c r="X166" s="13">
        <f t="shared" si="25"/>
        <v>1.3914356886636141</v>
      </c>
      <c r="Y166" s="13">
        <f t="shared" si="26"/>
        <v>1.415435688663615</v>
      </c>
      <c r="Z166" s="13">
        <f t="shared" si="27"/>
        <v>7.9924197405905382</v>
      </c>
      <c r="AA166" s="13">
        <f t="shared" si="28"/>
        <v>8.2955618493418903</v>
      </c>
      <c r="AC166" s="83" t="s">
        <v>864</v>
      </c>
      <c r="AD166" s="89">
        <f>1/AD156*(AD158^0.5)*(AD161^(5/3))*(AD164^(-2/3))*3600</f>
        <v>370.91543384086492</v>
      </c>
      <c r="AE166" s="339">
        <f t="shared" si="29"/>
        <v>0.46086454718566056</v>
      </c>
      <c r="AF166">
        <f t="shared" si="30"/>
        <v>1.528</v>
      </c>
      <c r="AG166">
        <f t="shared" si="31"/>
        <v>0.15280000000000002</v>
      </c>
      <c r="AH166">
        <f t="shared" si="32"/>
        <v>2.7504000000000004</v>
      </c>
    </row>
    <row r="167" spans="1:34" x14ac:dyDescent="0.45">
      <c r="A167" s="1">
        <v>4</v>
      </c>
      <c r="B167" s="1">
        <v>12</v>
      </c>
      <c r="C167" s="1">
        <v>13</v>
      </c>
      <c r="D167" s="76">
        <v>108</v>
      </c>
      <c r="E167" s="126">
        <f t="shared" si="10"/>
        <v>230.39500000000001</v>
      </c>
      <c r="F167" s="216">
        <v>0.4</v>
      </c>
      <c r="G167" s="215">
        <f t="shared" si="11"/>
        <v>1.162102355330306</v>
      </c>
      <c r="H167" s="217">
        <f t="shared" si="12"/>
        <v>0.38105117766515306</v>
      </c>
      <c r="I167" s="215">
        <f t="shared" si="13"/>
        <v>0.34641016151377546</v>
      </c>
      <c r="J167" s="93">
        <f t="shared" si="8"/>
        <v>1.3333333333333333E-3</v>
      </c>
      <c r="K167" s="1">
        <f t="shared" si="14"/>
        <v>263.61500000000001</v>
      </c>
      <c r="L167" s="94">
        <f>K167-H167</f>
        <v>263.23394882233487</v>
      </c>
      <c r="M167" s="327">
        <f t="shared" si="33"/>
        <v>263.08994882233486</v>
      </c>
      <c r="N167" s="94">
        <f t="shared" si="15"/>
        <v>263.471</v>
      </c>
      <c r="O167" s="1">
        <f t="shared" si="16"/>
        <v>263.61500000000001</v>
      </c>
      <c r="P167" s="332">
        <f t="shared" si="17"/>
        <v>0.14400000000000546</v>
      </c>
      <c r="Q167" s="332">
        <f t="shared" si="18"/>
        <v>1.4501023553303169</v>
      </c>
      <c r="R167" s="1" t="str">
        <f t="shared" si="19"/>
        <v>OK</v>
      </c>
      <c r="S167" s="13">
        <f t="shared" si="20"/>
        <v>371.01174535977839</v>
      </c>
      <c r="T167" s="192">
        <f t="shared" si="21"/>
        <v>0.61032898005502889</v>
      </c>
      <c r="U167" s="13">
        <f t="shared" si="22"/>
        <v>0.3810511776651424</v>
      </c>
      <c r="V167" s="13">
        <f t="shared" si="23"/>
        <v>0.52505117766514786</v>
      </c>
      <c r="W167" s="13">
        <f t="shared" si="24"/>
        <v>32.143010875134614</v>
      </c>
      <c r="X167" s="13">
        <f t="shared" si="25"/>
        <v>1.1621023553302847</v>
      </c>
      <c r="Y167" s="13">
        <f t="shared" si="26"/>
        <v>1.3061023553302902</v>
      </c>
      <c r="Z167" s="13">
        <f t="shared" si="27"/>
        <v>32.143010875133278</v>
      </c>
      <c r="AA167" s="13">
        <f t="shared" si="28"/>
        <v>41.739390790181965</v>
      </c>
      <c r="AC167" s="83" t="s">
        <v>980</v>
      </c>
      <c r="AD167" s="90">
        <f>AD166/AD161/3600</f>
        <v>0.39855626611332107</v>
      </c>
      <c r="AE167" s="339">
        <f t="shared" si="29"/>
        <v>0.38647584064983298</v>
      </c>
      <c r="AF167">
        <f t="shared" si="30"/>
        <v>1.528</v>
      </c>
      <c r="AG167">
        <f t="shared" si="31"/>
        <v>0.15280000000000002</v>
      </c>
      <c r="AH167">
        <f t="shared" si="32"/>
        <v>16.502400000000002</v>
      </c>
    </row>
    <row r="168" spans="1:34" x14ac:dyDescent="0.45">
      <c r="A168" s="1">
        <v>4</v>
      </c>
      <c r="B168" s="1">
        <v>13</v>
      </c>
      <c r="C168" s="1" t="s">
        <v>1011</v>
      </c>
      <c r="D168" s="76">
        <v>18</v>
      </c>
      <c r="E168" s="126">
        <f t="shared" si="10"/>
        <v>238.37300000000002</v>
      </c>
      <c r="F168" s="216">
        <v>0.4</v>
      </c>
      <c r="G168" s="215">
        <f t="shared" si="11"/>
        <v>1.162102355330306</v>
      </c>
      <c r="H168" s="217">
        <f t="shared" si="12"/>
        <v>0.38105117766515306</v>
      </c>
      <c r="I168" s="215">
        <f t="shared" si="13"/>
        <v>0.34641016151377546</v>
      </c>
      <c r="J168" s="93">
        <f t="shared" si="8"/>
        <v>1.3333333333333333E-3</v>
      </c>
      <c r="K168" s="1">
        <f t="shared" si="14"/>
        <v>263.61500000000001</v>
      </c>
      <c r="L168" s="94">
        <f t="shared" si="34"/>
        <v>263.08994882233486</v>
      </c>
      <c r="M168" s="327">
        <f t="shared" si="33"/>
        <v>263.06594882233486</v>
      </c>
      <c r="N168" s="94">
        <f t="shared" si="15"/>
        <v>263.447</v>
      </c>
      <c r="O168" s="1">
        <f t="shared" si="16"/>
        <v>263.61500000000001</v>
      </c>
      <c r="P168" s="332">
        <f t="shared" si="17"/>
        <v>0.16800000000000637</v>
      </c>
      <c r="Q168" s="332">
        <f t="shared" si="18"/>
        <v>1.4981023553303188</v>
      </c>
      <c r="R168" s="1" t="str">
        <f t="shared" si="19"/>
        <v>OK</v>
      </c>
      <c r="S168" s="13">
        <f t="shared" si="20"/>
        <v>371.01174535977839</v>
      </c>
      <c r="T168" s="192">
        <f t="shared" si="21"/>
        <v>0.55643359507904988</v>
      </c>
      <c r="U168" s="13">
        <f t="shared" si="22"/>
        <v>0.52505117766514786</v>
      </c>
      <c r="V168" s="13">
        <f t="shared" si="23"/>
        <v>0.54905117766514877</v>
      </c>
      <c r="W168" s="13">
        <f t="shared" si="24"/>
        <v>5.3571684791891023</v>
      </c>
      <c r="X168" s="13">
        <f t="shared" si="25"/>
        <v>1.4501023553302956</v>
      </c>
      <c r="Y168" s="13">
        <f t="shared" si="26"/>
        <v>1.4741023553302965</v>
      </c>
      <c r="Z168" s="13">
        <f t="shared" si="27"/>
        <v>8.7425857842051204</v>
      </c>
      <c r="AA168" s="13">
        <f t="shared" si="28"/>
        <v>9.0583998929564764</v>
      </c>
      <c r="AC168" s="103"/>
      <c r="AD168" s="103"/>
      <c r="AE168" s="339">
        <f t="shared" si="29"/>
        <v>0.50324443849758205</v>
      </c>
      <c r="AF168">
        <f t="shared" si="30"/>
        <v>1.528</v>
      </c>
      <c r="AG168">
        <f t="shared" si="31"/>
        <v>0.15280000000000002</v>
      </c>
      <c r="AH168">
        <f t="shared" si="32"/>
        <v>2.7504000000000004</v>
      </c>
    </row>
    <row r="169" spans="1:34" x14ac:dyDescent="0.45">
      <c r="A169" s="1">
        <v>5</v>
      </c>
      <c r="B169" s="1">
        <v>14</v>
      </c>
      <c r="C169" s="1">
        <v>15</v>
      </c>
      <c r="D169" s="76">
        <v>102</v>
      </c>
      <c r="E169" s="126">
        <f t="shared" si="10"/>
        <v>177.77324999999999</v>
      </c>
      <c r="F169" s="216">
        <v>0.4</v>
      </c>
      <c r="G169" s="215">
        <f t="shared" si="11"/>
        <v>1.162102355330306</v>
      </c>
      <c r="H169" s="217">
        <f t="shared" si="12"/>
        <v>0.38105117766515306</v>
      </c>
      <c r="I169" s="215">
        <f t="shared" si="13"/>
        <v>0.34641016151377546</v>
      </c>
      <c r="J169" s="93">
        <f t="shared" si="8"/>
        <v>1.3333333333333333E-3</v>
      </c>
      <c r="K169" s="1">
        <f t="shared" si="14"/>
        <v>263.71499999999997</v>
      </c>
      <c r="L169" s="94">
        <f>K169-H169</f>
        <v>263.33394882233483</v>
      </c>
      <c r="M169" s="327">
        <f t="shared" si="33"/>
        <v>263.19794882233481</v>
      </c>
      <c r="N169" s="94">
        <f t="shared" si="15"/>
        <v>263.57899999999995</v>
      </c>
      <c r="O169" s="1">
        <f t="shared" si="16"/>
        <v>263.71499999999997</v>
      </c>
      <c r="P169" s="332">
        <f t="shared" si="17"/>
        <v>0.1360000000000241</v>
      </c>
      <c r="Q169" s="332">
        <f t="shared" si="18"/>
        <v>1.4341023553303542</v>
      </c>
      <c r="R169" s="1" t="str">
        <f t="shared" si="19"/>
        <v>OK</v>
      </c>
      <c r="S169" s="13">
        <f t="shared" si="20"/>
        <v>371.01174535977839</v>
      </c>
      <c r="T169" s="192">
        <f t="shared" si="21"/>
        <v>1.086994220782814</v>
      </c>
      <c r="U169" s="13">
        <f t="shared" si="22"/>
        <v>0.3810511776651424</v>
      </c>
      <c r="V169" s="13">
        <f t="shared" si="23"/>
        <v>0.51705117766516651</v>
      </c>
      <c r="W169" s="13">
        <f t="shared" si="24"/>
        <v>30.357288048738248</v>
      </c>
      <c r="X169" s="13">
        <f t="shared" si="25"/>
        <v>1.1621023553302847</v>
      </c>
      <c r="Y169" s="13">
        <f t="shared" si="26"/>
        <v>1.2981023553303088</v>
      </c>
      <c r="Z169" s="13">
        <f t="shared" si="27"/>
        <v>30.357288048736986</v>
      </c>
      <c r="AA169" s="13">
        <f t="shared" si="28"/>
        <v>38.889277985309441</v>
      </c>
      <c r="AC169" s="103"/>
      <c r="AD169" s="103"/>
      <c r="AE169" s="339">
        <f t="shared" si="29"/>
        <v>0.38126743122852391</v>
      </c>
      <c r="AF169">
        <f t="shared" si="30"/>
        <v>1.528</v>
      </c>
      <c r="AG169">
        <f t="shared" si="31"/>
        <v>0.15280000000000002</v>
      </c>
      <c r="AH169">
        <f t="shared" si="32"/>
        <v>15.585600000000001</v>
      </c>
    </row>
    <row r="170" spans="1:34" x14ac:dyDescent="0.45">
      <c r="A170" s="1">
        <v>5</v>
      </c>
      <c r="B170" s="1">
        <v>15</v>
      </c>
      <c r="C170" s="1" t="s">
        <v>1012</v>
      </c>
      <c r="D170" s="76">
        <v>36</v>
      </c>
      <c r="E170" s="126">
        <f t="shared" si="10"/>
        <v>203.54474999999999</v>
      </c>
      <c r="F170" s="216">
        <v>0.4</v>
      </c>
      <c r="G170" s="215">
        <f t="shared" si="11"/>
        <v>1.162102355330306</v>
      </c>
      <c r="H170" s="217">
        <f t="shared" si="12"/>
        <v>0.38105117766515306</v>
      </c>
      <c r="I170" s="215">
        <f t="shared" si="13"/>
        <v>0.34641016151377546</v>
      </c>
      <c r="J170" s="93">
        <f t="shared" si="8"/>
        <v>1.3333333333333333E-3</v>
      </c>
      <c r="K170" s="1">
        <f t="shared" si="14"/>
        <v>263.71499999999997</v>
      </c>
      <c r="L170" s="94">
        <f t="shared" si="34"/>
        <v>263.19794882233481</v>
      </c>
      <c r="M170" s="327">
        <f>L170-D170*J170</f>
        <v>263.14994882233481</v>
      </c>
      <c r="N170" s="94">
        <f t="shared" si="15"/>
        <v>263.53099999999995</v>
      </c>
      <c r="O170" s="1">
        <f t="shared" si="16"/>
        <v>263.77499999999998</v>
      </c>
      <c r="P170" s="332">
        <f t="shared" si="17"/>
        <v>0.24400000000002819</v>
      </c>
      <c r="Q170" s="332">
        <f t="shared" si="18"/>
        <v>1.6501023553303624</v>
      </c>
      <c r="R170" s="1" t="str">
        <f t="shared" si="19"/>
        <v>OK</v>
      </c>
      <c r="S170" s="13">
        <f t="shared" si="20"/>
        <v>371.01174535977839</v>
      </c>
      <c r="T170" s="192">
        <f t="shared" si="21"/>
        <v>0.82275271339485989</v>
      </c>
      <c r="U170" s="13">
        <f t="shared" si="22"/>
        <v>0.51705117766516651</v>
      </c>
      <c r="V170" s="13">
        <f t="shared" si="23"/>
        <v>0.6250511776651706</v>
      </c>
      <c r="W170" s="13">
        <f t="shared" si="24"/>
        <v>10.714336958378205</v>
      </c>
      <c r="X170" s="13">
        <f t="shared" si="25"/>
        <v>1.4341023553303329</v>
      </c>
      <c r="Y170" s="13">
        <f t="shared" si="26"/>
        <v>1.542102355330337</v>
      </c>
      <c r="Z170" s="13">
        <f t="shared" si="27"/>
        <v>17.06984609007608</v>
      </c>
      <c r="AA170" s="13">
        <f t="shared" si="28"/>
        <v>19.962717068838362</v>
      </c>
      <c r="AC170" s="103"/>
      <c r="AD170" s="103"/>
      <c r="AE170" s="339">
        <f t="shared" si="29"/>
        <v>0.55451991857884342</v>
      </c>
      <c r="AF170">
        <f t="shared" si="30"/>
        <v>1.528</v>
      </c>
      <c r="AG170">
        <f t="shared" si="31"/>
        <v>0.15280000000000002</v>
      </c>
      <c r="AH170">
        <f t="shared" si="32"/>
        <v>5.5008000000000008</v>
      </c>
    </row>
    <row r="171" spans="1:34" x14ac:dyDescent="0.45">
      <c r="A171" s="1">
        <v>6.1</v>
      </c>
      <c r="B171" s="1">
        <v>45</v>
      </c>
      <c r="C171" s="1">
        <v>47</v>
      </c>
      <c r="D171" s="76">
        <v>66</v>
      </c>
      <c r="E171" s="126">
        <f t="shared" si="10"/>
        <v>190.83150000000001</v>
      </c>
      <c r="F171" s="216">
        <v>0.4</v>
      </c>
      <c r="G171" s="215">
        <f t="shared" si="11"/>
        <v>1.162102355330306</v>
      </c>
      <c r="H171" s="217">
        <f t="shared" si="12"/>
        <v>0.38105117766515306</v>
      </c>
      <c r="I171" s="215">
        <f t="shared" si="13"/>
        <v>0.34641016151377546</v>
      </c>
      <c r="J171" s="93">
        <f t="shared" si="8"/>
        <v>1.3333333333333333E-3</v>
      </c>
      <c r="K171" s="1">
        <f t="shared" si="14"/>
        <v>263.23500000000001</v>
      </c>
      <c r="L171" s="94">
        <f>K171-H171</f>
        <v>262.85394882233487</v>
      </c>
      <c r="M171" s="328">
        <f t="shared" si="33"/>
        <v>262.76594882233485</v>
      </c>
      <c r="N171" s="94">
        <f t="shared" si="15"/>
        <v>263.14699999999999</v>
      </c>
      <c r="O171" s="1">
        <f t="shared" si="16"/>
        <v>263.23500000000001</v>
      </c>
      <c r="P171" s="332">
        <f t="shared" si="17"/>
        <v>8.8000000000022283E-2</v>
      </c>
      <c r="Q171" s="332">
        <f t="shared" si="18"/>
        <v>1.3381023553303506</v>
      </c>
      <c r="R171" s="1" t="str">
        <f t="shared" si="19"/>
        <v>OK</v>
      </c>
      <c r="S171" s="13">
        <f t="shared" si="20"/>
        <v>371.01174535977839</v>
      </c>
      <c r="T171" s="192">
        <f t="shared" si="21"/>
        <v>0.94418502899038359</v>
      </c>
      <c r="U171" s="13">
        <f t="shared" si="22"/>
        <v>0.3810511776651424</v>
      </c>
      <c r="V171" s="13">
        <f t="shared" si="23"/>
        <v>0.46905117766516469</v>
      </c>
      <c r="W171" s="13">
        <f t="shared" si="24"/>
        <v>19.642951090360043</v>
      </c>
      <c r="X171" s="13">
        <f t="shared" si="25"/>
        <v>1.1621023553302847</v>
      </c>
      <c r="Y171" s="13">
        <f t="shared" si="26"/>
        <v>1.250102355330307</v>
      </c>
      <c r="Z171" s="13">
        <f t="shared" si="27"/>
        <v>19.642951090359226</v>
      </c>
      <c r="AA171" s="13">
        <f t="shared" si="28"/>
        <v>23.145472330239294</v>
      </c>
      <c r="AC171" s="103"/>
      <c r="AD171" s="103"/>
      <c r="AE171" s="339">
        <f t="shared" si="29"/>
        <v>0.35068897470059535</v>
      </c>
      <c r="AF171">
        <f t="shared" si="30"/>
        <v>1.528</v>
      </c>
      <c r="AG171">
        <f t="shared" si="31"/>
        <v>0.15280000000000002</v>
      </c>
      <c r="AH171">
        <f t="shared" si="32"/>
        <v>10.084800000000001</v>
      </c>
    </row>
    <row r="172" spans="1:34" hidden="1" x14ac:dyDescent="0.45">
      <c r="A172" s="1">
        <v>6.2</v>
      </c>
      <c r="B172" s="1">
        <v>46</v>
      </c>
      <c r="C172" s="1">
        <v>47</v>
      </c>
      <c r="D172" s="76">
        <v>36</v>
      </c>
      <c r="E172" s="126">
        <f t="shared" si="10"/>
        <v>92.55</v>
      </c>
      <c r="F172" s="216">
        <v>0.3</v>
      </c>
      <c r="G172" s="215">
        <f t="shared" si="11"/>
        <v>0.87157676649772942</v>
      </c>
      <c r="H172" s="217">
        <f t="shared" si="12"/>
        <v>0.28578838324886474</v>
      </c>
      <c r="I172" s="215">
        <f t="shared" si="13"/>
        <v>0.25980762113533157</v>
      </c>
      <c r="J172" s="93">
        <f t="shared" si="8"/>
        <v>1.3333333333333333E-3</v>
      </c>
      <c r="K172" s="1">
        <f t="shared" si="14"/>
        <v>263.08999999999997</v>
      </c>
      <c r="L172" s="94">
        <f>K172-H172</f>
        <v>262.8042116167511</v>
      </c>
      <c r="M172" s="327">
        <f t="shared" si="33"/>
        <v>262.7562116167511</v>
      </c>
      <c r="N172" s="94">
        <f t="shared" si="15"/>
        <v>263.04199999999997</v>
      </c>
      <c r="O172" s="1">
        <f t="shared" si="16"/>
        <v>263.23500000000001</v>
      </c>
      <c r="P172" s="332">
        <f t="shared" si="17"/>
        <v>0.19300000000004047</v>
      </c>
      <c r="Q172" s="332">
        <f t="shared" si="18"/>
        <v>1.2575767664978104</v>
      </c>
      <c r="R172" s="1" t="str">
        <f t="shared" si="19"/>
        <v>OK</v>
      </c>
      <c r="S172" s="13">
        <f t="shared" si="20"/>
        <v>172.27318945266666</v>
      </c>
      <c r="T172" s="192">
        <f>(S172-E172)/E172</f>
        <v>0.86140669316765706</v>
      </c>
      <c r="U172" s="13">
        <f t="shared" si="22"/>
        <v>0.28578838324887101</v>
      </c>
      <c r="V172" s="13">
        <f t="shared" si="23"/>
        <v>0.47878838324891149</v>
      </c>
      <c r="W172" s="13">
        <f t="shared" si="24"/>
        <v>6.0268145390877388</v>
      </c>
      <c r="X172" s="13">
        <f t="shared" si="25"/>
        <v>0.87157676649774207</v>
      </c>
      <c r="Y172" s="13">
        <f t="shared" si="26"/>
        <v>1.0645767664977825</v>
      </c>
      <c r="Z172" s="13">
        <f t="shared" si="27"/>
        <v>6.026814539087936</v>
      </c>
      <c r="AA172" s="13">
        <f t="shared" si="28"/>
        <v>9.3899132259018661</v>
      </c>
      <c r="AC172" s="103"/>
      <c r="AD172" s="103"/>
      <c r="AE172" s="339">
        <f t="shared" si="29"/>
        <v>0.2608309229417185</v>
      </c>
      <c r="AF172">
        <f t="shared" si="30"/>
        <v>1.1459999999999999</v>
      </c>
      <c r="AG172">
        <f t="shared" si="31"/>
        <v>0.11459999999999999</v>
      </c>
      <c r="AH172">
        <f t="shared" si="32"/>
        <v>4.1255999999999995</v>
      </c>
    </row>
    <row r="173" spans="1:34" x14ac:dyDescent="0.45">
      <c r="A173" s="1">
        <v>6.3</v>
      </c>
      <c r="B173" s="1">
        <v>43</v>
      </c>
      <c r="C173" s="1">
        <v>44</v>
      </c>
      <c r="D173" s="76">
        <v>102</v>
      </c>
      <c r="E173" s="126">
        <f t="shared" si="10"/>
        <v>313.37549999999993</v>
      </c>
      <c r="F173" s="216">
        <v>0.4</v>
      </c>
      <c r="G173" s="215">
        <f t="shared" si="11"/>
        <v>1.162102355330306</v>
      </c>
      <c r="H173" s="217">
        <f t="shared" si="12"/>
        <v>0.38105117766515306</v>
      </c>
      <c r="I173" s="215">
        <f t="shared" si="13"/>
        <v>0.34641016151377546</v>
      </c>
      <c r="J173" s="93">
        <f t="shared" si="8"/>
        <v>1.3333333333333333E-3</v>
      </c>
      <c r="K173" s="1">
        <f t="shared" si="14"/>
        <v>263.45</v>
      </c>
      <c r="L173" s="329">
        <f>K173-H173-0.1</f>
        <v>262.96894882233482</v>
      </c>
      <c r="M173" s="327">
        <f t="shared" si="33"/>
        <v>262.8329488223348</v>
      </c>
      <c r="N173" s="94">
        <f t="shared" si="15"/>
        <v>263.21399999999994</v>
      </c>
      <c r="O173" s="1">
        <f t="shared" si="16"/>
        <v>263.23500000000001</v>
      </c>
      <c r="P173" s="332">
        <f t="shared" si="17"/>
        <v>2.100000000007185E-2</v>
      </c>
      <c r="Q173" s="332">
        <f t="shared" si="18"/>
        <v>1.2041023553304497</v>
      </c>
      <c r="R173" s="1" t="str">
        <f t="shared" si="19"/>
        <v>OK</v>
      </c>
      <c r="S173" s="13">
        <f t="shared" si="20"/>
        <v>371.01174535977839</v>
      </c>
      <c r="T173" s="192">
        <f t="shared" si="21"/>
        <v>0.18392071288208067</v>
      </c>
      <c r="U173" s="13">
        <f t="shared" si="22"/>
        <v>0.48105117766516514</v>
      </c>
      <c r="V173" s="13">
        <f t="shared" si="23"/>
        <v>0.40205117766521425</v>
      </c>
      <c r="W173" s="13">
        <f t="shared" si="24"/>
        <v>30.357288048738248</v>
      </c>
      <c r="X173" s="13">
        <f t="shared" si="25"/>
        <v>1.2041023553304284</v>
      </c>
      <c r="Y173" s="13">
        <f t="shared" si="26"/>
        <v>1.2831023553303793</v>
      </c>
      <c r="Z173" s="13">
        <f t="shared" si="27"/>
        <v>32.891493293863277</v>
      </c>
      <c r="AA173" s="13">
        <f t="shared" si="28"/>
        <v>37.901967183486363</v>
      </c>
      <c r="AC173" s="103"/>
      <c r="AD173" s="103"/>
      <c r="AE173" s="339">
        <f t="shared" si="29"/>
        <v>0.37158791356359178</v>
      </c>
      <c r="AF173">
        <f t="shared" si="30"/>
        <v>1.528</v>
      </c>
      <c r="AG173">
        <f t="shared" si="31"/>
        <v>0.15280000000000002</v>
      </c>
      <c r="AH173">
        <f t="shared" si="32"/>
        <v>15.585600000000001</v>
      </c>
    </row>
    <row r="174" spans="1:34" x14ac:dyDescent="0.45">
      <c r="A174" s="1">
        <v>6.3</v>
      </c>
      <c r="B174" s="1">
        <v>44</v>
      </c>
      <c r="C174" s="1">
        <v>48</v>
      </c>
      <c r="D174" s="76">
        <v>6</v>
      </c>
      <c r="E174" s="126">
        <f t="shared" si="10"/>
        <v>313.37549999999993</v>
      </c>
      <c r="F174" s="216">
        <v>0.4</v>
      </c>
      <c r="G174" s="215">
        <f t="shared" si="11"/>
        <v>1.162102355330306</v>
      </c>
      <c r="H174" s="217">
        <f t="shared" si="12"/>
        <v>0.38105117766515306</v>
      </c>
      <c r="I174" s="215">
        <f t="shared" si="13"/>
        <v>0.34641016151377546</v>
      </c>
      <c r="J174" s="93">
        <f t="shared" si="8"/>
        <v>1.3333333333333333E-3</v>
      </c>
      <c r="K174" s="1">
        <f t="shared" si="14"/>
        <v>263.23500000000001</v>
      </c>
      <c r="L174" s="94">
        <f t="shared" si="34"/>
        <v>262.8329488223348</v>
      </c>
      <c r="M174" s="328">
        <f t="shared" si="33"/>
        <v>262.82494882233482</v>
      </c>
      <c r="N174" s="94">
        <f t="shared" si="15"/>
        <v>263.20599999999996</v>
      </c>
      <c r="O174" s="1">
        <f t="shared" si="16"/>
        <v>263.23500000000001</v>
      </c>
      <c r="P174" s="332">
        <f t="shared" si="17"/>
        <v>2.9000000000053205E-2</v>
      </c>
      <c r="Q174" s="332">
        <f t="shared" si="18"/>
        <v>1.2201023553304124</v>
      </c>
      <c r="R174" s="1" t="str">
        <f t="shared" si="19"/>
        <v>OK</v>
      </c>
      <c r="S174" s="13">
        <f t="shared" si="20"/>
        <v>371.01174535977839</v>
      </c>
      <c r="T174" s="192">
        <f t="shared" si="21"/>
        <v>0.18392071288208067</v>
      </c>
      <c r="U174" s="13">
        <f t="shared" si="22"/>
        <v>0.40205117766521425</v>
      </c>
      <c r="V174" s="13">
        <f t="shared" si="23"/>
        <v>0.41005117766519561</v>
      </c>
      <c r="W174" s="13">
        <f t="shared" si="24"/>
        <v>1.7857228263963676</v>
      </c>
      <c r="X174" s="13">
        <f t="shared" si="25"/>
        <v>1.2041023553304284</v>
      </c>
      <c r="Y174" s="13">
        <f t="shared" si="26"/>
        <v>1.2121023553304098</v>
      </c>
      <c r="Z174" s="13">
        <f t="shared" si="27"/>
        <v>1.9347937231684282</v>
      </c>
      <c r="AA174" s="13">
        <f t="shared" si="28"/>
        <v>1.963788179696291</v>
      </c>
      <c r="AC174" s="103"/>
      <c r="AD174" s="103"/>
      <c r="AE174" s="339">
        <f t="shared" si="29"/>
        <v>0.32729802994938184</v>
      </c>
      <c r="AF174">
        <f t="shared" si="30"/>
        <v>1.528</v>
      </c>
      <c r="AG174">
        <f t="shared" si="31"/>
        <v>0.15280000000000002</v>
      </c>
      <c r="AH174">
        <f t="shared" si="32"/>
        <v>0.91680000000000006</v>
      </c>
    </row>
    <row r="175" spans="1:34" hidden="1" x14ac:dyDescent="0.45">
      <c r="A175" s="1">
        <v>6.4</v>
      </c>
      <c r="B175" s="1">
        <v>41</v>
      </c>
      <c r="C175" s="1">
        <v>42</v>
      </c>
      <c r="D175" s="76">
        <v>102</v>
      </c>
      <c r="E175" s="126">
        <f t="shared" si="10"/>
        <v>16.593499999999999</v>
      </c>
      <c r="F175" s="216">
        <v>0.2</v>
      </c>
      <c r="G175" s="215">
        <f t="shared" si="11"/>
        <v>0.58105117766515302</v>
      </c>
      <c r="H175" s="217">
        <f t="shared" si="12"/>
        <v>0.19052558883257653</v>
      </c>
      <c r="I175" s="215">
        <f t="shared" si="13"/>
        <v>0.17320508075688773</v>
      </c>
      <c r="J175" s="93">
        <f t="shared" si="8"/>
        <v>1.3333333333333333E-3</v>
      </c>
      <c r="K175" s="1">
        <f t="shared" si="14"/>
        <v>263.77499999999998</v>
      </c>
      <c r="L175" s="94">
        <f>K175-H175</f>
        <v>263.58447441116738</v>
      </c>
      <c r="M175" s="327">
        <f t="shared" si="33"/>
        <v>263.44847441116735</v>
      </c>
      <c r="N175" s="94">
        <f t="shared" si="15"/>
        <v>263.63899999999995</v>
      </c>
      <c r="O175" s="1">
        <f t="shared" si="16"/>
        <v>263.77499999999998</v>
      </c>
      <c r="P175" s="332">
        <f t="shared" si="17"/>
        <v>0.1360000000000241</v>
      </c>
      <c r="Q175" s="332">
        <f t="shared" si="18"/>
        <v>0.85305117766520122</v>
      </c>
      <c r="R175" s="1" t="str">
        <f t="shared" si="19"/>
        <v>OK</v>
      </c>
      <c r="S175" s="13">
        <f t="shared" si="20"/>
        <v>58.430688467127666</v>
      </c>
      <c r="T175" s="192">
        <f t="shared" si="21"/>
        <v>2.5212998142120511</v>
      </c>
      <c r="U175" s="13">
        <f t="shared" si="22"/>
        <v>0.19052558883259962</v>
      </c>
      <c r="V175" s="13">
        <f t="shared" si="23"/>
        <v>0.32652558883262373</v>
      </c>
      <c r="W175" s="13">
        <f t="shared" si="24"/>
        <v>7.5893220121845619</v>
      </c>
      <c r="X175" s="13">
        <f t="shared" si="25"/>
        <v>0.5810511776651992</v>
      </c>
      <c r="Y175" s="13">
        <f t="shared" si="26"/>
        <v>0.7170511776652233</v>
      </c>
      <c r="Z175" s="13">
        <f t="shared" si="27"/>
        <v>7.5893220121859315</v>
      </c>
      <c r="AA175" s="13">
        <f t="shared" si="28"/>
        <v>12.091140980472636</v>
      </c>
      <c r="AC175" s="103"/>
      <c r="AD175" s="103"/>
      <c r="AE175" s="339">
        <f t="shared" si="29"/>
        <v>0.11854059784777093</v>
      </c>
      <c r="AF175">
        <f t="shared" si="30"/>
        <v>0.76400000000000001</v>
      </c>
      <c r="AG175">
        <f t="shared" si="31"/>
        <v>7.640000000000001E-2</v>
      </c>
      <c r="AH175">
        <f t="shared" si="32"/>
        <v>7.7928000000000006</v>
      </c>
    </row>
    <row r="176" spans="1:34" hidden="1" x14ac:dyDescent="0.45">
      <c r="A176" s="1">
        <v>6.4</v>
      </c>
      <c r="B176" s="1">
        <v>42</v>
      </c>
      <c r="C176" s="1">
        <v>49</v>
      </c>
      <c r="D176" s="76">
        <v>6</v>
      </c>
      <c r="E176" s="126">
        <f t="shared" si="10"/>
        <v>16.593499999999999</v>
      </c>
      <c r="F176" s="216">
        <v>0.2</v>
      </c>
      <c r="G176" s="215">
        <f t="shared" si="11"/>
        <v>0.58105117766515302</v>
      </c>
      <c r="H176" s="217">
        <f t="shared" si="12"/>
        <v>0.19052558883257653</v>
      </c>
      <c r="I176" s="215">
        <f t="shared" si="13"/>
        <v>0.17320508075688773</v>
      </c>
      <c r="J176" s="93">
        <f t="shared" si="8"/>
        <v>1.3333333333333333E-3</v>
      </c>
      <c r="K176" s="1">
        <f t="shared" si="14"/>
        <v>263.77499999999998</v>
      </c>
      <c r="L176" s="94">
        <f t="shared" si="34"/>
        <v>263.44847441116735</v>
      </c>
      <c r="M176" s="328">
        <f t="shared" si="33"/>
        <v>263.44047441116737</v>
      </c>
      <c r="N176" s="94">
        <f t="shared" si="15"/>
        <v>263.63099999999997</v>
      </c>
      <c r="O176" s="1">
        <f t="shared" si="16"/>
        <v>263.75</v>
      </c>
      <c r="P176" s="332">
        <f t="shared" si="17"/>
        <v>0.11900000000002819</v>
      </c>
      <c r="Q176" s="332">
        <f t="shared" si="18"/>
        <v>0.81905117766520941</v>
      </c>
      <c r="R176" s="1" t="str">
        <f t="shared" si="19"/>
        <v>OK</v>
      </c>
      <c r="S176" s="13">
        <f t="shared" si="20"/>
        <v>58.430688467127666</v>
      </c>
      <c r="T176" s="192">
        <f t="shared" si="21"/>
        <v>2.5212998142120511</v>
      </c>
      <c r="U176" s="13">
        <f t="shared" si="22"/>
        <v>0.32652558883262373</v>
      </c>
      <c r="V176" s="13">
        <f t="shared" si="23"/>
        <v>0.30952558883262782</v>
      </c>
      <c r="W176" s="13">
        <f t="shared" si="24"/>
        <v>0.4464307065990919</v>
      </c>
      <c r="X176" s="13">
        <f t="shared" si="25"/>
        <v>0.81905117766525559</v>
      </c>
      <c r="Y176" s="13">
        <f t="shared" si="26"/>
        <v>0.8360511776652515</v>
      </c>
      <c r="Z176" s="13">
        <f t="shared" si="27"/>
        <v>0.94626724745226332</v>
      </c>
      <c r="AA176" s="13">
        <f t="shared" si="28"/>
        <v>0.98847235751318108</v>
      </c>
      <c r="AC176" s="103"/>
      <c r="AD176" s="103"/>
      <c r="AE176" s="339">
        <f t="shared" si="29"/>
        <v>0.1647453929188635</v>
      </c>
      <c r="AF176">
        <f t="shared" si="30"/>
        <v>0.76400000000000001</v>
      </c>
      <c r="AG176">
        <f t="shared" si="31"/>
        <v>7.640000000000001E-2</v>
      </c>
      <c r="AH176">
        <f t="shared" si="32"/>
        <v>0.45840000000000003</v>
      </c>
    </row>
    <row r="177" spans="1:34" x14ac:dyDescent="0.45">
      <c r="A177" s="1">
        <v>6</v>
      </c>
      <c r="B177" s="1">
        <v>47</v>
      </c>
      <c r="C177" s="1">
        <v>48</v>
      </c>
      <c r="D177" s="76">
        <v>11</v>
      </c>
      <c r="E177" s="126">
        <f t="shared" si="10"/>
        <v>283.38150000000002</v>
      </c>
      <c r="F177" s="216">
        <v>0.4</v>
      </c>
      <c r="G177" s="215">
        <f t="shared" si="11"/>
        <v>1.162102355330306</v>
      </c>
      <c r="H177" s="217">
        <f t="shared" si="12"/>
        <v>0.38105117766515306</v>
      </c>
      <c r="I177" s="215">
        <f t="shared" si="13"/>
        <v>0.34641016151377546</v>
      </c>
      <c r="J177" s="93">
        <f t="shared" si="8"/>
        <v>1.3333333333333333E-3</v>
      </c>
      <c r="K177" s="1">
        <f t="shared" si="14"/>
        <v>263.23500000000001</v>
      </c>
      <c r="L177" s="94">
        <f t="shared" si="34"/>
        <v>262.7562116167511</v>
      </c>
      <c r="M177" s="327">
        <f t="shared" si="33"/>
        <v>262.74154495008446</v>
      </c>
      <c r="N177" s="94">
        <f t="shared" si="15"/>
        <v>263.1225961277496</v>
      </c>
      <c r="O177" s="1">
        <f t="shared" si="16"/>
        <v>263.23500000000001</v>
      </c>
      <c r="P177" s="332">
        <f t="shared" si="17"/>
        <v>0.11240387225041104</v>
      </c>
      <c r="Q177" s="332">
        <f t="shared" si="18"/>
        <v>1.3869100998311281</v>
      </c>
      <c r="R177" s="1" t="str">
        <f t="shared" si="19"/>
        <v>OK</v>
      </c>
      <c r="S177" s="13">
        <f t="shared" si="20"/>
        <v>371.01174535977839</v>
      </c>
      <c r="T177" s="192">
        <f t="shared" si="21"/>
        <v>0.30923064970641473</v>
      </c>
      <c r="U177" s="13">
        <f t="shared" si="22"/>
        <v>0.47878838324891149</v>
      </c>
      <c r="V177" s="13">
        <f t="shared" si="23"/>
        <v>0.49345504991555345</v>
      </c>
      <c r="W177" s="13">
        <f t="shared" si="24"/>
        <v>3.2738251817266741</v>
      </c>
      <c r="X177" s="13">
        <f t="shared" si="25"/>
        <v>1.3575767664978229</v>
      </c>
      <c r="Y177" s="13">
        <f t="shared" si="26"/>
        <v>1.3722434331644648</v>
      </c>
      <c r="Z177" s="13">
        <f t="shared" si="27"/>
        <v>4.6282903615703823</v>
      </c>
      <c r="AA177" s="13">
        <f t="shared" si="28"/>
        <v>4.7383931096232423</v>
      </c>
      <c r="AC177" s="103"/>
      <c r="AD177" s="103"/>
      <c r="AE177" s="339">
        <f t="shared" si="29"/>
        <v>0.43076300996574929</v>
      </c>
      <c r="AF177">
        <f t="shared" si="30"/>
        <v>1.528</v>
      </c>
      <c r="AG177">
        <f t="shared" si="31"/>
        <v>0.15280000000000002</v>
      </c>
      <c r="AH177">
        <f t="shared" si="32"/>
        <v>1.6808000000000003</v>
      </c>
    </row>
    <row r="178" spans="1:34" hidden="1" x14ac:dyDescent="0.45">
      <c r="A178" s="1">
        <v>6</v>
      </c>
      <c r="B178" s="1">
        <v>48</v>
      </c>
      <c r="C178" s="1">
        <v>49</v>
      </c>
      <c r="D178" s="76">
        <v>46</v>
      </c>
      <c r="E178" s="126">
        <f t="shared" si="10"/>
        <v>607.75699999999995</v>
      </c>
      <c r="F178" s="216">
        <v>0.5</v>
      </c>
      <c r="G178" s="215">
        <f t="shared" si="11"/>
        <v>1.4526279441628827</v>
      </c>
      <c r="H178" s="217">
        <f t="shared" si="12"/>
        <v>0.47631397208144127</v>
      </c>
      <c r="I178" s="215">
        <f t="shared" si="13"/>
        <v>0.4330127018922193</v>
      </c>
      <c r="J178" s="93">
        <f t="shared" si="8"/>
        <v>1.3333333333333333E-3</v>
      </c>
      <c r="K178" s="1">
        <f t="shared" si="14"/>
        <v>263.23500000000001</v>
      </c>
      <c r="L178" s="94">
        <f t="shared" si="34"/>
        <v>262.74154495008446</v>
      </c>
      <c r="M178" s="327">
        <f t="shared" si="33"/>
        <v>262.68021161675114</v>
      </c>
      <c r="N178" s="94">
        <f t="shared" si="15"/>
        <v>263.15652558883255</v>
      </c>
      <c r="O178" s="1">
        <f t="shared" si="16"/>
        <v>263.75</v>
      </c>
      <c r="P178" s="332">
        <f t="shared" si="17"/>
        <v>0.59347441116744903</v>
      </c>
      <c r="Q178" s="332">
        <f t="shared" si="18"/>
        <v>2.6395767664977807</v>
      </c>
      <c r="R178" s="1" t="str">
        <f t="shared" si="19"/>
        <v>OK</v>
      </c>
      <c r="S178" s="13">
        <f t="shared" si="20"/>
        <v>672.68905250044338</v>
      </c>
      <c r="T178" s="192">
        <f t="shared" si="21"/>
        <v>0.10683883937238639</v>
      </c>
      <c r="U178" s="13">
        <f t="shared" si="22"/>
        <v>0.49345504991555345</v>
      </c>
      <c r="V178" s="13">
        <f t="shared" si="23"/>
        <v>1.0697883832488628</v>
      </c>
      <c r="W178" s="13">
        <f t="shared" si="24"/>
        <v>21.391471357873151</v>
      </c>
      <c r="X178" s="13">
        <f t="shared" si="25"/>
        <v>1.4869100998311069</v>
      </c>
      <c r="Y178" s="13">
        <f t="shared" si="26"/>
        <v>2.0632434331644163</v>
      </c>
      <c r="Z178" s="13">
        <f t="shared" si="27"/>
        <v>22.55036891726715</v>
      </c>
      <c r="AA178" s="13">
        <f t="shared" si="28"/>
        <v>46.080194841705001</v>
      </c>
      <c r="AC178" s="103"/>
      <c r="AD178" s="103"/>
      <c r="AE178" s="339">
        <f t="shared" si="29"/>
        <v>1.0017433661240218</v>
      </c>
      <c r="AF178">
        <f t="shared" si="30"/>
        <v>1.91</v>
      </c>
      <c r="AG178">
        <f t="shared" si="31"/>
        <v>0.191</v>
      </c>
      <c r="AH178">
        <f t="shared" si="32"/>
        <v>8.7859999999999996</v>
      </c>
    </row>
    <row r="179" spans="1:34" hidden="1" x14ac:dyDescent="0.45">
      <c r="A179" s="1">
        <v>6</v>
      </c>
      <c r="B179" s="1">
        <v>49</v>
      </c>
      <c r="C179" s="1" t="s">
        <v>1056</v>
      </c>
      <c r="D179" s="76">
        <v>8</v>
      </c>
      <c r="E179" s="126">
        <f t="shared" si="10"/>
        <v>624.3504999999999</v>
      </c>
      <c r="F179" s="216">
        <v>0.5</v>
      </c>
      <c r="G179" s="215">
        <f t="shared" si="11"/>
        <v>1.4526279441628827</v>
      </c>
      <c r="H179" s="217">
        <f t="shared" si="12"/>
        <v>0.47631397208144127</v>
      </c>
      <c r="I179" s="215">
        <f t="shared" si="13"/>
        <v>0.4330127018922193</v>
      </c>
      <c r="J179" s="93">
        <f t="shared" si="8"/>
        <v>1.3333333333333333E-3</v>
      </c>
      <c r="K179" s="1">
        <f t="shared" si="14"/>
        <v>263.75</v>
      </c>
      <c r="L179" s="94">
        <f t="shared" si="34"/>
        <v>262.68021161675114</v>
      </c>
      <c r="M179" s="327">
        <f t="shared" si="33"/>
        <v>262.66954495008446</v>
      </c>
      <c r="N179" s="94">
        <f t="shared" si="15"/>
        <v>263.14585892216587</v>
      </c>
      <c r="O179" s="1">
        <f t="shared" si="16"/>
        <v>263.75</v>
      </c>
      <c r="P179" s="332">
        <f t="shared" si="17"/>
        <v>0.60414107783412874</v>
      </c>
      <c r="Q179" s="332">
        <f t="shared" si="18"/>
        <v>2.6609100998311401</v>
      </c>
      <c r="R179" s="1" t="str">
        <f t="shared" si="19"/>
        <v>OK</v>
      </c>
      <c r="S179" s="13">
        <f t="shared" si="20"/>
        <v>672.68905250044338</v>
      </c>
      <c r="T179" s="192">
        <f t="shared" si="21"/>
        <v>7.7422141089730029E-2</v>
      </c>
      <c r="U179" s="13">
        <f t="shared" si="22"/>
        <v>1.0697883832488628</v>
      </c>
      <c r="V179" s="13">
        <f t="shared" si="23"/>
        <v>1.0804550499155425</v>
      </c>
      <c r="W179" s="13">
        <f t="shared" si="24"/>
        <v>3.7202558883257653</v>
      </c>
      <c r="X179" s="13">
        <f t="shared" si="25"/>
        <v>2.6395767664977257</v>
      </c>
      <c r="Y179" s="13">
        <f t="shared" si="26"/>
        <v>2.6502434331644054</v>
      </c>
      <c r="Z179" s="13">
        <f t="shared" si="27"/>
        <v>13.434731012469177</v>
      </c>
      <c r="AA179" s="13">
        <f t="shared" si="28"/>
        <v>13.547580510062108</v>
      </c>
      <c r="AC179" s="103"/>
      <c r="AD179" s="103"/>
      <c r="AE179" s="339">
        <f t="shared" si="29"/>
        <v>1.6934475637577635</v>
      </c>
      <c r="AF179">
        <f t="shared" si="30"/>
        <v>1.91</v>
      </c>
      <c r="AG179">
        <f t="shared" si="31"/>
        <v>0.191</v>
      </c>
      <c r="AH179">
        <f t="shared" si="32"/>
        <v>1.528</v>
      </c>
    </row>
    <row r="180" spans="1:34" hidden="1" x14ac:dyDescent="0.45">
      <c r="A180" s="1">
        <v>7.1</v>
      </c>
      <c r="B180" s="1">
        <v>50</v>
      </c>
      <c r="C180" s="1">
        <v>52</v>
      </c>
      <c r="D180" s="76">
        <v>66</v>
      </c>
      <c r="E180" s="126">
        <f t="shared" si="10"/>
        <v>168.32500000000002</v>
      </c>
      <c r="F180" s="216">
        <v>0.3</v>
      </c>
      <c r="G180" s="215">
        <f t="shared" si="11"/>
        <v>0.87157676649772942</v>
      </c>
      <c r="H180" s="217">
        <f t="shared" si="12"/>
        <v>0.28578838324886474</v>
      </c>
      <c r="I180" s="215">
        <f t="shared" si="13"/>
        <v>0.25980762113533157</v>
      </c>
      <c r="J180" s="93">
        <f t="shared" si="8"/>
        <v>1.3333333333333333E-3</v>
      </c>
      <c r="K180" s="1">
        <f t="shared" si="14"/>
        <v>263.08999999999997</v>
      </c>
      <c r="L180" s="94">
        <f>K180-H180</f>
        <v>262.8042116167511</v>
      </c>
      <c r="M180" s="327">
        <f t="shared" si="33"/>
        <v>262.71621161675108</v>
      </c>
      <c r="N180" s="94">
        <f t="shared" si="15"/>
        <v>263.00199999999995</v>
      </c>
      <c r="O180" s="1">
        <f t="shared" si="16"/>
        <v>263.08999999999997</v>
      </c>
      <c r="P180" s="332">
        <f t="shared" si="17"/>
        <v>8.8000000000022283E-2</v>
      </c>
      <c r="Q180" s="332">
        <f t="shared" si="18"/>
        <v>1.047576766497774</v>
      </c>
      <c r="R180" s="1" t="str">
        <f t="shared" si="19"/>
        <v>OK</v>
      </c>
      <c r="S180" s="13">
        <f t="shared" si="20"/>
        <v>172.27318945266666</v>
      </c>
      <c r="T180" s="192">
        <f t="shared" si="21"/>
        <v>2.345575198376141E-2</v>
      </c>
      <c r="U180" s="13">
        <f t="shared" si="22"/>
        <v>0.28578838324887101</v>
      </c>
      <c r="V180" s="13">
        <f t="shared" si="23"/>
        <v>0.3737883832488933</v>
      </c>
      <c r="W180" s="13">
        <f t="shared" si="24"/>
        <v>11.049159988327522</v>
      </c>
      <c r="X180" s="13">
        <f t="shared" si="25"/>
        <v>0.87157676649774207</v>
      </c>
      <c r="Y180" s="13">
        <f t="shared" si="26"/>
        <v>0.95957676649776436</v>
      </c>
      <c r="Z180" s="13">
        <f t="shared" si="27"/>
        <v>11.049159988327883</v>
      </c>
      <c r="AA180" s="13">
        <f t="shared" si="28"/>
        <v>13.707994918238031</v>
      </c>
      <c r="AC180" s="103"/>
      <c r="AD180" s="103"/>
      <c r="AE180" s="339">
        <f t="shared" si="29"/>
        <v>0.20769689270057623</v>
      </c>
      <c r="AF180">
        <f t="shared" si="30"/>
        <v>1.1459999999999999</v>
      </c>
      <c r="AG180">
        <f t="shared" si="31"/>
        <v>0.11459999999999999</v>
      </c>
      <c r="AH180">
        <f t="shared" si="32"/>
        <v>7.5635999999999992</v>
      </c>
    </row>
    <row r="181" spans="1:34" hidden="1" x14ac:dyDescent="0.45">
      <c r="A181" s="1">
        <v>7.2</v>
      </c>
      <c r="B181" s="1">
        <v>51</v>
      </c>
      <c r="C181" s="1">
        <v>52</v>
      </c>
      <c r="D181" s="76">
        <v>36</v>
      </c>
      <c r="E181" s="126">
        <f t="shared" si="10"/>
        <v>119.93424999999999</v>
      </c>
      <c r="F181" s="216">
        <v>0.3</v>
      </c>
      <c r="G181" s="215">
        <f t="shared" si="11"/>
        <v>0.87157676649772942</v>
      </c>
      <c r="H181" s="217">
        <f t="shared" si="12"/>
        <v>0.28578838324886474</v>
      </c>
      <c r="I181" s="215">
        <f t="shared" si="13"/>
        <v>0.25980762113533157</v>
      </c>
      <c r="J181" s="93">
        <f t="shared" si="8"/>
        <v>1.3333333333333333E-3</v>
      </c>
      <c r="K181" s="1">
        <f t="shared" si="14"/>
        <v>263.3</v>
      </c>
      <c r="L181" s="329">
        <f>K181-H181-0.2</f>
        <v>262.81421161675115</v>
      </c>
      <c r="M181" s="328">
        <f t="shared" si="33"/>
        <v>262.76621161675115</v>
      </c>
      <c r="N181" s="94">
        <f t="shared" si="15"/>
        <v>263.05200000000002</v>
      </c>
      <c r="O181" s="1">
        <f t="shared" si="16"/>
        <v>263.08999999999997</v>
      </c>
      <c r="P181" s="332">
        <f t="shared" si="17"/>
        <v>3.7999999999954071E-2</v>
      </c>
      <c r="Q181" s="332">
        <f t="shared" si="18"/>
        <v>0.94757676649763756</v>
      </c>
      <c r="R181" s="1" t="str">
        <f t="shared" si="19"/>
        <v>OK</v>
      </c>
      <c r="S181" s="13">
        <f t="shared" si="20"/>
        <v>172.27318945266666</v>
      </c>
      <c r="T181" s="192">
        <f t="shared" si="21"/>
        <v>0.43639693792779516</v>
      </c>
      <c r="U181" s="13">
        <f t="shared" si="22"/>
        <v>0.48578838324885965</v>
      </c>
      <c r="V181" s="13">
        <f t="shared" si="23"/>
        <v>0.32378838324882508</v>
      </c>
      <c r="W181" s="13">
        <f t="shared" si="24"/>
        <v>6.0268145390877388</v>
      </c>
      <c r="X181" s="13">
        <f t="shared" si="25"/>
        <v>0.94757676649765021</v>
      </c>
      <c r="Y181" s="13">
        <f t="shared" si="26"/>
        <v>1.1095767664976848</v>
      </c>
      <c r="Z181" s="13">
        <f t="shared" si="27"/>
        <v>7.27111555565528</v>
      </c>
      <c r="AA181" s="13">
        <f t="shared" si="28"/>
        <v>10.27044540676312</v>
      </c>
      <c r="AC181" s="103"/>
      <c r="AD181" s="103"/>
      <c r="AE181" s="339">
        <f t="shared" si="29"/>
        <v>0.28529015018786441</v>
      </c>
      <c r="AF181">
        <f t="shared" si="30"/>
        <v>1.1459999999999999</v>
      </c>
      <c r="AG181">
        <f t="shared" si="31"/>
        <v>0.11459999999999999</v>
      </c>
      <c r="AH181">
        <f t="shared" si="32"/>
        <v>4.1255999999999995</v>
      </c>
    </row>
    <row r="182" spans="1:34" x14ac:dyDescent="0.45">
      <c r="A182" s="1">
        <v>7.3</v>
      </c>
      <c r="B182" s="1">
        <v>53</v>
      </c>
      <c r="C182" s="1">
        <v>54</v>
      </c>
      <c r="D182" s="76">
        <v>106</v>
      </c>
      <c r="E182" s="126">
        <f t="shared" si="10"/>
        <v>237.45725000000002</v>
      </c>
      <c r="F182" s="216">
        <v>0.4</v>
      </c>
      <c r="G182" s="215">
        <f t="shared" si="11"/>
        <v>1.162102355330306</v>
      </c>
      <c r="H182" s="217">
        <f t="shared" si="12"/>
        <v>0.38105117766515306</v>
      </c>
      <c r="I182" s="215">
        <f t="shared" si="13"/>
        <v>0.34641016151377546</v>
      </c>
      <c r="J182" s="93">
        <f t="shared" si="8"/>
        <v>1.3333333333333333E-3</v>
      </c>
      <c r="K182" s="1">
        <f t="shared" si="14"/>
        <v>263.08999999999997</v>
      </c>
      <c r="L182" s="94">
        <f>K182-H182</f>
        <v>262.70894882233483</v>
      </c>
      <c r="M182" s="327">
        <f t="shared" si="33"/>
        <v>262.56761548900153</v>
      </c>
      <c r="N182" s="94">
        <f t="shared" si="15"/>
        <v>262.94866666666667</v>
      </c>
      <c r="O182" s="1">
        <f t="shared" si="16"/>
        <v>263.08999999999997</v>
      </c>
      <c r="P182" s="332">
        <f t="shared" si="17"/>
        <v>0.14133333333330711</v>
      </c>
      <c r="Q182" s="332">
        <f t="shared" si="18"/>
        <v>1.4447690219969203</v>
      </c>
      <c r="R182" s="1" t="str">
        <f t="shared" si="19"/>
        <v>OK</v>
      </c>
      <c r="S182" s="13">
        <f t="shared" si="20"/>
        <v>371.01174535977839</v>
      </c>
      <c r="T182" s="192">
        <f t="shared" si="21"/>
        <v>0.56243595577636973</v>
      </c>
      <c r="U182" s="13">
        <f t="shared" si="22"/>
        <v>0.3810511776651424</v>
      </c>
      <c r="V182" s="13">
        <f t="shared" si="23"/>
        <v>0.52238451099844951</v>
      </c>
      <c r="W182" s="13">
        <f t="shared" si="24"/>
        <v>31.547769933002495</v>
      </c>
      <c r="X182" s="13">
        <f t="shared" si="25"/>
        <v>1.1621023553302847</v>
      </c>
      <c r="Y182" s="13">
        <f t="shared" si="26"/>
        <v>1.3034356886635918</v>
      </c>
      <c r="Z182" s="13">
        <f t="shared" si="27"/>
        <v>31.547769933001181</v>
      </c>
      <c r="AA182" s="13">
        <f t="shared" si="28"/>
        <v>40.7820317537712</v>
      </c>
      <c r="AC182" s="103"/>
      <c r="AD182" s="103"/>
      <c r="AE182" s="339">
        <f t="shared" si="29"/>
        <v>0.384736148620483</v>
      </c>
      <c r="AF182">
        <f t="shared" si="30"/>
        <v>1.528</v>
      </c>
      <c r="AG182">
        <f t="shared" si="31"/>
        <v>0.15280000000000002</v>
      </c>
      <c r="AH182">
        <f t="shared" si="32"/>
        <v>16.196800000000003</v>
      </c>
    </row>
    <row r="183" spans="1:34" x14ac:dyDescent="0.45">
      <c r="A183" s="1">
        <v>7.3</v>
      </c>
      <c r="B183" s="1">
        <v>54</v>
      </c>
      <c r="C183" s="1">
        <v>55</v>
      </c>
      <c r="D183" s="76">
        <v>6</v>
      </c>
      <c r="E183" s="126">
        <f t="shared" si="10"/>
        <v>237.45725000000002</v>
      </c>
      <c r="F183" s="216">
        <v>0.4</v>
      </c>
      <c r="G183" s="215">
        <f t="shared" si="11"/>
        <v>1.162102355330306</v>
      </c>
      <c r="H183" s="217">
        <f t="shared" si="12"/>
        <v>0.38105117766515306</v>
      </c>
      <c r="I183" s="215">
        <f t="shared" si="13"/>
        <v>0.34641016151377546</v>
      </c>
      <c r="J183" s="93">
        <f t="shared" si="8"/>
        <v>1.3333333333333333E-3</v>
      </c>
      <c r="K183" s="1">
        <f t="shared" si="14"/>
        <v>263.08999999999997</v>
      </c>
      <c r="L183" s="94">
        <f t="shared" si="34"/>
        <v>262.56761548900153</v>
      </c>
      <c r="M183" s="327">
        <f t="shared" si="33"/>
        <v>262.55961548900154</v>
      </c>
      <c r="N183" s="94">
        <f t="shared" si="15"/>
        <v>262.94066666666669</v>
      </c>
      <c r="O183" s="1">
        <f t="shared" si="16"/>
        <v>263.08999999999997</v>
      </c>
      <c r="P183" s="332">
        <f t="shared" si="17"/>
        <v>0.14933333333328846</v>
      </c>
      <c r="Q183" s="332">
        <f t="shared" si="18"/>
        <v>1.460769021996883</v>
      </c>
      <c r="R183" s="1" t="str">
        <f t="shared" si="19"/>
        <v>OK</v>
      </c>
      <c r="S183" s="13">
        <f t="shared" si="20"/>
        <v>371.01174535977839</v>
      </c>
      <c r="T183" s="192">
        <f t="shared" si="21"/>
        <v>0.56243595577636973</v>
      </c>
      <c r="U183" s="13">
        <f t="shared" si="22"/>
        <v>0.52238451099844951</v>
      </c>
      <c r="V183" s="13">
        <f t="shared" si="23"/>
        <v>0.53038451099843087</v>
      </c>
      <c r="W183" s="13">
        <f t="shared" si="24"/>
        <v>1.7857228263963676</v>
      </c>
      <c r="X183" s="13">
        <f t="shared" si="25"/>
        <v>1.4447690219968989</v>
      </c>
      <c r="Y183" s="13">
        <f t="shared" si="26"/>
        <v>1.4527690219968803</v>
      </c>
      <c r="Z183" s="13">
        <f t="shared" si="27"/>
        <v>2.8910362903828144</v>
      </c>
      <c r="AA183" s="13">
        <f t="shared" si="28"/>
        <v>2.9258067469106588</v>
      </c>
      <c r="AC183" s="103"/>
      <c r="AD183" s="103"/>
      <c r="AE183" s="339">
        <f t="shared" si="29"/>
        <v>0.48763445781844311</v>
      </c>
      <c r="AF183">
        <f t="shared" si="30"/>
        <v>1.528</v>
      </c>
      <c r="AG183">
        <f t="shared" si="31"/>
        <v>0.15280000000000002</v>
      </c>
      <c r="AH183">
        <f t="shared" si="32"/>
        <v>0.91680000000000006</v>
      </c>
    </row>
    <row r="184" spans="1:34" hidden="1" x14ac:dyDescent="0.45">
      <c r="A184" s="1">
        <v>7.4</v>
      </c>
      <c r="B184" s="1">
        <v>56</v>
      </c>
      <c r="C184" s="1">
        <v>57</v>
      </c>
      <c r="D184" s="76">
        <v>118</v>
      </c>
      <c r="E184" s="126">
        <f t="shared" si="10"/>
        <v>18.952000000000002</v>
      </c>
      <c r="F184" s="216">
        <v>0.2</v>
      </c>
      <c r="G184" s="215">
        <f t="shared" si="11"/>
        <v>0.58105117766515302</v>
      </c>
      <c r="H184" s="217">
        <f t="shared" si="12"/>
        <v>0.19052558883257653</v>
      </c>
      <c r="I184" s="215">
        <f t="shared" si="13"/>
        <v>0.17320508075688773</v>
      </c>
      <c r="J184" s="93">
        <f t="shared" si="8"/>
        <v>1.3333333333333333E-3</v>
      </c>
      <c r="K184" s="1">
        <f t="shared" si="14"/>
        <v>263.66500000000002</v>
      </c>
      <c r="L184" s="94">
        <f>K184-H184</f>
        <v>263.47447441116742</v>
      </c>
      <c r="M184" s="327">
        <f t="shared" si="33"/>
        <v>263.31714107783409</v>
      </c>
      <c r="N184" s="94">
        <f t="shared" si="15"/>
        <v>263.50766666666669</v>
      </c>
      <c r="O184" s="1">
        <f t="shared" si="16"/>
        <v>263.66500000000002</v>
      </c>
      <c r="P184" s="332">
        <f t="shared" si="17"/>
        <v>0.15733333333332666</v>
      </c>
      <c r="Q184" s="332">
        <f t="shared" si="18"/>
        <v>0.89571784433180635</v>
      </c>
      <c r="R184" s="1" t="str">
        <f t="shared" si="19"/>
        <v>OK</v>
      </c>
      <c r="S184" s="13">
        <f t="shared" si="20"/>
        <v>58.430688467127666</v>
      </c>
      <c r="T184" s="192">
        <f t="shared" si="21"/>
        <v>2.0830882475267867</v>
      </c>
      <c r="U184" s="13">
        <f t="shared" si="22"/>
        <v>0.19052558883259962</v>
      </c>
      <c r="V184" s="13">
        <f t="shared" si="23"/>
        <v>0.34785892216592629</v>
      </c>
      <c r="W184" s="13">
        <f t="shared" si="24"/>
        <v>8.7798038964488079</v>
      </c>
      <c r="X184" s="13">
        <f t="shared" si="25"/>
        <v>0.5810511776651992</v>
      </c>
      <c r="Y184" s="13">
        <f t="shared" si="26"/>
        <v>0.73838451099852587</v>
      </c>
      <c r="Z184" s="13">
        <f t="shared" si="27"/>
        <v>8.7798038964503906</v>
      </c>
      <c r="AA184" s="13">
        <f t="shared" si="28"/>
        <v>14.9037447394347</v>
      </c>
      <c r="AC184" s="103"/>
      <c r="AD184" s="103"/>
      <c r="AE184" s="339">
        <f t="shared" si="29"/>
        <v>0.12630292152063305</v>
      </c>
      <c r="AF184">
        <f t="shared" si="30"/>
        <v>0.76400000000000001</v>
      </c>
      <c r="AG184">
        <f t="shared" si="31"/>
        <v>7.640000000000001E-2</v>
      </c>
      <c r="AH184">
        <f t="shared" si="32"/>
        <v>9.0152000000000019</v>
      </c>
    </row>
    <row r="185" spans="1:34" hidden="1" x14ac:dyDescent="0.45">
      <c r="A185" s="1">
        <v>7.4</v>
      </c>
      <c r="B185" s="1">
        <v>57</v>
      </c>
      <c r="C185" s="1">
        <v>58</v>
      </c>
      <c r="D185" s="76">
        <v>6</v>
      </c>
      <c r="E185" s="126">
        <f t="shared" si="10"/>
        <v>18.952000000000002</v>
      </c>
      <c r="F185" s="216">
        <v>0.2</v>
      </c>
      <c r="G185" s="215">
        <f t="shared" si="11"/>
        <v>0.58105117766515302</v>
      </c>
      <c r="H185" s="217">
        <f t="shared" si="12"/>
        <v>0.19052558883257653</v>
      </c>
      <c r="I185" s="215">
        <f t="shared" si="13"/>
        <v>0.17320508075688773</v>
      </c>
      <c r="J185" s="93">
        <f t="shared" si="8"/>
        <v>1.3333333333333333E-3</v>
      </c>
      <c r="K185" s="1">
        <f t="shared" si="14"/>
        <v>263.66500000000002</v>
      </c>
      <c r="L185" s="329">
        <f>_xlfn.MINIFS($M$155:$M$239,$C$155:$C$239,B185)-0.2</f>
        <v>263.11714107783411</v>
      </c>
      <c r="M185" s="328">
        <f t="shared" si="33"/>
        <v>263.10914107783412</v>
      </c>
      <c r="N185" s="94">
        <f t="shared" si="15"/>
        <v>263.29966666666672</v>
      </c>
      <c r="O185" s="1">
        <f t="shared" si="16"/>
        <v>263.3</v>
      </c>
      <c r="P185" s="332">
        <f t="shared" si="17"/>
        <v>3.3333333328755543E-4</v>
      </c>
      <c r="Q185" s="332">
        <f t="shared" si="18"/>
        <v>0.58171784433172813</v>
      </c>
      <c r="R185" s="1" t="str">
        <f t="shared" si="19"/>
        <v>OK</v>
      </c>
      <c r="S185" s="13">
        <f t="shared" si="20"/>
        <v>58.430688467127666</v>
      </c>
      <c r="T185" s="192">
        <f t="shared" si="21"/>
        <v>2.0830882475267867</v>
      </c>
      <c r="U185" s="13">
        <f t="shared" si="22"/>
        <v>0.54785892216591492</v>
      </c>
      <c r="V185" s="13">
        <f t="shared" si="23"/>
        <v>0.19085892216588718</v>
      </c>
      <c r="W185" s="13">
        <f t="shared" si="24"/>
        <v>0.4464307065990919</v>
      </c>
      <c r="X185" s="13">
        <f t="shared" si="25"/>
        <v>0.58171784433177431</v>
      </c>
      <c r="Y185" s="13">
        <f t="shared" si="26"/>
        <v>0.93871784433180205</v>
      </c>
      <c r="Z185" s="13">
        <f t="shared" si="27"/>
        <v>0.44759347562100976</v>
      </c>
      <c r="AA185" s="13">
        <f t="shared" si="28"/>
        <v>1.261786786900418</v>
      </c>
      <c r="AC185" s="103"/>
      <c r="AD185" s="103"/>
      <c r="AE185" s="339">
        <f t="shared" si="29"/>
        <v>0.21029779781673633</v>
      </c>
      <c r="AF185">
        <f t="shared" si="30"/>
        <v>0.76400000000000001</v>
      </c>
      <c r="AG185">
        <f t="shared" si="31"/>
        <v>7.640000000000001E-2</v>
      </c>
      <c r="AH185">
        <f t="shared" si="32"/>
        <v>0.45840000000000003</v>
      </c>
    </row>
    <row r="186" spans="1:34" x14ac:dyDescent="0.45">
      <c r="A186" s="1">
        <v>7</v>
      </c>
      <c r="B186" s="1">
        <v>52</v>
      </c>
      <c r="C186" s="1">
        <v>55</v>
      </c>
      <c r="D186" s="76">
        <v>11</v>
      </c>
      <c r="E186" s="126">
        <f t="shared" si="10"/>
        <v>288.25925000000001</v>
      </c>
      <c r="F186" s="216">
        <v>0.4</v>
      </c>
      <c r="G186" s="215">
        <f t="shared" si="11"/>
        <v>1.162102355330306</v>
      </c>
      <c r="H186" s="217">
        <f t="shared" si="12"/>
        <v>0.38105117766515306</v>
      </c>
      <c r="I186" s="215">
        <f t="shared" si="13"/>
        <v>0.34641016151377546</v>
      </c>
      <c r="J186" s="93">
        <f t="shared" si="8"/>
        <v>1.3333333333333333E-3</v>
      </c>
      <c r="K186" s="1">
        <f t="shared" si="14"/>
        <v>263.08999999999997</v>
      </c>
      <c r="L186" s="94">
        <f t="shared" si="34"/>
        <v>262.71621161675108</v>
      </c>
      <c r="M186" s="328">
        <f t="shared" si="33"/>
        <v>262.70154495008444</v>
      </c>
      <c r="N186" s="94">
        <f t="shared" si="15"/>
        <v>263.08259612774958</v>
      </c>
      <c r="O186" s="1">
        <f t="shared" si="16"/>
        <v>263.08999999999997</v>
      </c>
      <c r="P186" s="332">
        <f t="shared" si="17"/>
        <v>7.4038722503928511E-3</v>
      </c>
      <c r="Q186" s="332">
        <f t="shared" si="18"/>
        <v>1.1769100998310917</v>
      </c>
      <c r="R186" s="1" t="str">
        <f t="shared" si="19"/>
        <v>OK</v>
      </c>
      <c r="S186" s="13">
        <f t="shared" si="20"/>
        <v>371.01174535977839</v>
      </c>
      <c r="T186" s="192">
        <f t="shared" si="21"/>
        <v>0.28707663452180071</v>
      </c>
      <c r="U186" s="13">
        <f t="shared" si="22"/>
        <v>0.3737883832488933</v>
      </c>
      <c r="V186" s="13">
        <f t="shared" si="23"/>
        <v>0.38845504991553526</v>
      </c>
      <c r="W186" s="13">
        <f t="shared" si="24"/>
        <v>3.2738251817266741</v>
      </c>
      <c r="X186" s="13">
        <f t="shared" si="25"/>
        <v>1.1475767664977865</v>
      </c>
      <c r="Y186" s="13">
        <f t="shared" si="26"/>
        <v>1.1622434331644285</v>
      </c>
      <c r="Z186" s="13">
        <f t="shared" si="27"/>
        <v>3.1815641962651675</v>
      </c>
      <c r="AA186" s="13">
        <f t="shared" si="28"/>
        <v>3.2747269443180529</v>
      </c>
      <c r="AC186" s="103"/>
      <c r="AD186" s="103"/>
      <c r="AE186" s="339">
        <f t="shared" si="29"/>
        <v>0.29770244948345936</v>
      </c>
      <c r="AF186">
        <f t="shared" si="30"/>
        <v>1.528</v>
      </c>
      <c r="AG186">
        <f t="shared" si="31"/>
        <v>0.15280000000000002</v>
      </c>
      <c r="AH186">
        <f t="shared" si="32"/>
        <v>1.6808000000000003</v>
      </c>
    </row>
    <row r="187" spans="1:34" hidden="1" x14ac:dyDescent="0.45">
      <c r="A187" s="1">
        <v>7</v>
      </c>
      <c r="B187" s="1">
        <v>55</v>
      </c>
      <c r="C187" s="1">
        <v>58</v>
      </c>
      <c r="D187" s="76">
        <v>44</v>
      </c>
      <c r="E187" s="126">
        <f t="shared" si="10"/>
        <v>702.98770000000002</v>
      </c>
      <c r="F187" s="216">
        <v>0.6</v>
      </c>
      <c r="G187" s="215">
        <f t="shared" si="11"/>
        <v>1.7431535329954588</v>
      </c>
      <c r="H187" s="217">
        <f t="shared" si="12"/>
        <v>0.57157676649772948</v>
      </c>
      <c r="I187" s="215">
        <f t="shared" si="13"/>
        <v>0.51961524227066314</v>
      </c>
      <c r="J187" s="93">
        <f t="shared" si="8"/>
        <v>1.3333333333333333E-3</v>
      </c>
      <c r="K187" s="1">
        <f t="shared" si="14"/>
        <v>263.08999999999997</v>
      </c>
      <c r="L187" s="94">
        <f t="shared" si="34"/>
        <v>262.55961548900154</v>
      </c>
      <c r="M187" s="327">
        <f t="shared" si="33"/>
        <v>262.50094882233486</v>
      </c>
      <c r="N187" s="94">
        <f t="shared" si="15"/>
        <v>263.0725255888326</v>
      </c>
      <c r="O187" s="1">
        <f t="shared" si="16"/>
        <v>263.3</v>
      </c>
      <c r="P187" s="332">
        <f t="shared" si="17"/>
        <v>0.22747441116740674</v>
      </c>
      <c r="Q187" s="332">
        <f t="shared" si="18"/>
        <v>2.1981023553302723</v>
      </c>
      <c r="R187" s="1" t="str">
        <f t="shared" si="19"/>
        <v>OK</v>
      </c>
      <c r="S187" s="13">
        <f t="shared" si="20"/>
        <v>1093.8665686523198</v>
      </c>
      <c r="T187" s="192">
        <f t="shared" si="21"/>
        <v>0.55602518885084296</v>
      </c>
      <c r="U187" s="13">
        <f t="shared" si="22"/>
        <v>0.53038451099843087</v>
      </c>
      <c r="V187" s="13">
        <f t="shared" si="23"/>
        <v>0.79905117766514877</v>
      </c>
      <c r="W187" s="13">
        <f t="shared" si="24"/>
        <v>29.464426635540057</v>
      </c>
      <c r="X187" s="13">
        <f t="shared" si="25"/>
        <v>1.6607690219968618</v>
      </c>
      <c r="Y187" s="13">
        <f t="shared" si="26"/>
        <v>1.9294356886635797</v>
      </c>
      <c r="Z187" s="13">
        <f t="shared" si="27"/>
        <v>26.379691188668538</v>
      </c>
      <c r="AA187" s="13">
        <f t="shared" si="28"/>
        <v>36.989942843575719</v>
      </c>
      <c r="AC187" s="103"/>
      <c r="AD187" s="103"/>
      <c r="AE187" s="339">
        <f t="shared" si="29"/>
        <v>0.84068051917217546</v>
      </c>
      <c r="AF187">
        <f t="shared" si="30"/>
        <v>2.2919999999999998</v>
      </c>
      <c r="AG187">
        <f t="shared" si="31"/>
        <v>0.22919999999999999</v>
      </c>
      <c r="AH187">
        <f t="shared" si="32"/>
        <v>10.0848</v>
      </c>
    </row>
    <row r="188" spans="1:34" hidden="1" x14ac:dyDescent="0.45">
      <c r="A188" s="1">
        <v>7</v>
      </c>
      <c r="B188" s="1">
        <v>58</v>
      </c>
      <c r="C188" s="1" t="s">
        <v>1057</v>
      </c>
      <c r="D188" s="76">
        <v>10</v>
      </c>
      <c r="E188" s="126">
        <f t="shared" si="10"/>
        <v>721.93970000000002</v>
      </c>
      <c r="F188" s="216">
        <v>0.6</v>
      </c>
      <c r="G188" s="215">
        <f t="shared" si="11"/>
        <v>1.7431535329954588</v>
      </c>
      <c r="H188" s="217">
        <f t="shared" si="12"/>
        <v>0.57157676649772948</v>
      </c>
      <c r="I188" s="215">
        <f t="shared" si="13"/>
        <v>0.51961524227066314</v>
      </c>
      <c r="J188" s="93">
        <f t="shared" si="8"/>
        <v>1.3333333333333333E-3</v>
      </c>
      <c r="K188" s="1">
        <f t="shared" si="14"/>
        <v>263.3</v>
      </c>
      <c r="L188" s="94">
        <f t="shared" si="34"/>
        <v>262.50094882233486</v>
      </c>
      <c r="M188" s="327">
        <f t="shared" si="33"/>
        <v>262.48761548900154</v>
      </c>
      <c r="N188" s="94">
        <f t="shared" si="15"/>
        <v>263.05919225549928</v>
      </c>
      <c r="O188" s="1">
        <f t="shared" si="16"/>
        <v>263.3</v>
      </c>
      <c r="P188" s="332">
        <f t="shared" si="17"/>
        <v>0.24080774450072795</v>
      </c>
      <c r="Q188" s="332">
        <f t="shared" si="18"/>
        <v>2.2247690219969147</v>
      </c>
      <c r="R188" s="1" t="str">
        <f t="shared" si="19"/>
        <v>OK</v>
      </c>
      <c r="S188" s="13">
        <f t="shared" si="20"/>
        <v>1093.8665686523198</v>
      </c>
      <c r="T188" s="192">
        <f t="shared" si="21"/>
        <v>0.51517719368019199</v>
      </c>
      <c r="U188" s="13">
        <f t="shared" si="22"/>
        <v>0.79905117766514877</v>
      </c>
      <c r="V188" s="13">
        <f t="shared" si="23"/>
        <v>0.81238451099846998</v>
      </c>
      <c r="W188" s="13">
        <f t="shared" si="24"/>
        <v>6.696460598986377</v>
      </c>
      <c r="X188" s="13">
        <f t="shared" si="25"/>
        <v>2.1981023553302976</v>
      </c>
      <c r="Y188" s="13">
        <f t="shared" si="26"/>
        <v>2.2114356886636188</v>
      </c>
      <c r="Z188" s="13">
        <f t="shared" si="27"/>
        <v>11.179134911271504</v>
      </c>
      <c r="AA188" s="13">
        <f t="shared" si="28"/>
        <v>11.326119512737836</v>
      </c>
      <c r="AC188" s="103"/>
      <c r="AD188" s="103"/>
      <c r="AE188" s="339">
        <f t="shared" si="29"/>
        <v>1.1326119512737836</v>
      </c>
      <c r="AF188">
        <f t="shared" si="30"/>
        <v>2.2919999999999998</v>
      </c>
      <c r="AG188">
        <f t="shared" si="31"/>
        <v>0.22919999999999999</v>
      </c>
      <c r="AH188">
        <f t="shared" si="32"/>
        <v>2.2919999999999998</v>
      </c>
    </row>
    <row r="189" spans="1:34" x14ac:dyDescent="0.45">
      <c r="A189" s="1">
        <v>8.1</v>
      </c>
      <c r="B189" s="1">
        <v>76</v>
      </c>
      <c r="C189" s="1">
        <v>77</v>
      </c>
      <c r="D189" s="76">
        <v>78</v>
      </c>
      <c r="E189" s="126">
        <f t="shared" si="10"/>
        <v>239.73649999999998</v>
      </c>
      <c r="F189" s="216">
        <v>0.4</v>
      </c>
      <c r="G189" s="215">
        <f t="shared" si="11"/>
        <v>1.162102355330306</v>
      </c>
      <c r="H189" s="217">
        <f t="shared" si="12"/>
        <v>0.38105117766515306</v>
      </c>
      <c r="I189" s="215">
        <f t="shared" si="13"/>
        <v>0.34641016151377546</v>
      </c>
      <c r="J189" s="93">
        <f t="shared" si="8"/>
        <v>1.3333333333333333E-3</v>
      </c>
      <c r="K189" s="1">
        <f t="shared" si="14"/>
        <v>263.02499999999998</v>
      </c>
      <c r="L189" s="329">
        <f>K189-H189-0.1</f>
        <v>262.54394882233481</v>
      </c>
      <c r="M189" s="327">
        <f t="shared" si="33"/>
        <v>262.43994882233483</v>
      </c>
      <c r="N189" s="94">
        <f t="shared" si="15"/>
        <v>262.82099999999997</v>
      </c>
      <c r="O189" s="1">
        <f t="shared" si="16"/>
        <v>262.83499999999998</v>
      </c>
      <c r="P189" s="332">
        <f t="shared" si="17"/>
        <v>1.4000000000010004E-2</v>
      </c>
      <c r="Q189" s="332">
        <f t="shared" si="18"/>
        <v>1.190102355330326</v>
      </c>
      <c r="R189" s="1" t="str">
        <f t="shared" si="19"/>
        <v>OK</v>
      </c>
      <c r="S189" s="13">
        <f t="shared" si="20"/>
        <v>371.01174535977839</v>
      </c>
      <c r="T189" s="192">
        <f t="shared" si="21"/>
        <v>0.54758138773102316</v>
      </c>
      <c r="U189" s="13">
        <f t="shared" si="22"/>
        <v>0.48105117766516514</v>
      </c>
      <c r="V189" s="13">
        <f t="shared" si="23"/>
        <v>0.39505117766515241</v>
      </c>
      <c r="W189" s="13">
        <f t="shared" si="24"/>
        <v>23.214396743152779</v>
      </c>
      <c r="X189" s="13">
        <f t="shared" si="25"/>
        <v>1.1901023553303047</v>
      </c>
      <c r="Y189" s="13">
        <f t="shared" si="26"/>
        <v>1.2761023553303175</v>
      </c>
      <c r="Z189" s="13">
        <f t="shared" si="27"/>
        <v>24.498700515173415</v>
      </c>
      <c r="AA189" s="13">
        <f t="shared" si="28"/>
        <v>28.634525814951893</v>
      </c>
      <c r="AC189" s="103"/>
      <c r="AD189" s="103"/>
      <c r="AE189" s="339">
        <f t="shared" si="29"/>
        <v>0.36710930531989605</v>
      </c>
      <c r="AF189">
        <f t="shared" si="30"/>
        <v>1.528</v>
      </c>
      <c r="AG189">
        <f t="shared" si="31"/>
        <v>0.15280000000000002</v>
      </c>
      <c r="AH189">
        <f t="shared" si="32"/>
        <v>11.918400000000002</v>
      </c>
    </row>
    <row r="190" spans="1:34" x14ac:dyDescent="0.45">
      <c r="A190" s="1">
        <v>8.1</v>
      </c>
      <c r="B190" s="1">
        <v>77</v>
      </c>
      <c r="C190" s="1">
        <v>78</v>
      </c>
      <c r="D190" s="76">
        <v>46</v>
      </c>
      <c r="E190" s="126">
        <f t="shared" si="10"/>
        <v>239.73649999999998</v>
      </c>
      <c r="F190" s="216">
        <v>0.4</v>
      </c>
      <c r="G190" s="215">
        <f t="shared" si="11"/>
        <v>1.162102355330306</v>
      </c>
      <c r="H190" s="217">
        <f t="shared" si="12"/>
        <v>0.38105117766515306</v>
      </c>
      <c r="I190" s="215">
        <f t="shared" si="13"/>
        <v>0.34641016151377546</v>
      </c>
      <c r="J190" s="93">
        <f t="shared" si="8"/>
        <v>1.3333333333333333E-3</v>
      </c>
      <c r="K190" s="1">
        <f t="shared" si="14"/>
        <v>262.83499999999998</v>
      </c>
      <c r="L190" s="94">
        <f t="shared" si="34"/>
        <v>262.43994882233483</v>
      </c>
      <c r="M190" s="327">
        <f t="shared" si="33"/>
        <v>262.3786154890015</v>
      </c>
      <c r="N190" s="94">
        <f t="shared" si="15"/>
        <v>262.75966666666665</v>
      </c>
      <c r="O190" s="1">
        <f t="shared" si="16"/>
        <v>262.83499999999998</v>
      </c>
      <c r="P190" s="332">
        <f t="shared" si="17"/>
        <v>7.533333333333303E-2</v>
      </c>
      <c r="Q190" s="332">
        <f t="shared" si="18"/>
        <v>1.3127690219969721</v>
      </c>
      <c r="R190" s="1" t="str">
        <f t="shared" si="19"/>
        <v>OK</v>
      </c>
      <c r="S190" s="13">
        <f t="shared" si="20"/>
        <v>371.01174535977839</v>
      </c>
      <c r="T190" s="192">
        <f t="shared" si="21"/>
        <v>0.54758138773102316</v>
      </c>
      <c r="U190" s="13">
        <f t="shared" si="22"/>
        <v>0.39505117766515241</v>
      </c>
      <c r="V190" s="13">
        <f t="shared" si="23"/>
        <v>0.45638451099847543</v>
      </c>
      <c r="W190" s="13">
        <f t="shared" si="24"/>
        <v>13.690541669038819</v>
      </c>
      <c r="X190" s="13">
        <f t="shared" si="25"/>
        <v>1.1901023553303047</v>
      </c>
      <c r="Y190" s="13">
        <f t="shared" si="26"/>
        <v>1.2514356886636278</v>
      </c>
      <c r="Z190" s="13">
        <f t="shared" si="27"/>
        <v>14.447951585871502</v>
      </c>
      <c r="AA190" s="13">
        <f t="shared" si="28"/>
        <v>16.170049752901598</v>
      </c>
      <c r="AC190" s="103"/>
      <c r="AD190" s="103"/>
      <c r="AE190" s="339">
        <f t="shared" si="29"/>
        <v>0.35152282071525215</v>
      </c>
      <c r="AF190">
        <f t="shared" si="30"/>
        <v>1.528</v>
      </c>
      <c r="AG190">
        <f t="shared" si="31"/>
        <v>0.15280000000000002</v>
      </c>
      <c r="AH190">
        <f t="shared" si="32"/>
        <v>7.0288000000000013</v>
      </c>
    </row>
    <row r="191" spans="1:34" x14ac:dyDescent="0.45">
      <c r="A191" s="1">
        <v>8.1</v>
      </c>
      <c r="B191" s="1">
        <v>78</v>
      </c>
      <c r="C191" s="1">
        <v>75</v>
      </c>
      <c r="D191" s="76">
        <v>4</v>
      </c>
      <c r="E191" s="126">
        <f t="shared" si="10"/>
        <v>239.73649999999998</v>
      </c>
      <c r="F191" s="216">
        <v>0.4</v>
      </c>
      <c r="G191" s="215">
        <f t="shared" si="11"/>
        <v>1.162102355330306</v>
      </c>
      <c r="H191" s="217">
        <f t="shared" si="12"/>
        <v>0.38105117766515306</v>
      </c>
      <c r="I191" s="215">
        <f t="shared" si="13"/>
        <v>0.34641016151377546</v>
      </c>
      <c r="J191" s="93">
        <f t="shared" si="8"/>
        <v>1.3333333333333333E-3</v>
      </c>
      <c r="K191" s="1">
        <f t="shared" si="14"/>
        <v>262.83499999999998</v>
      </c>
      <c r="L191" s="94">
        <f t="shared" si="34"/>
        <v>262.3786154890015</v>
      </c>
      <c r="M191" s="327">
        <f t="shared" si="33"/>
        <v>262.37328215566816</v>
      </c>
      <c r="N191" s="94">
        <f t="shared" si="15"/>
        <v>262.75433333333331</v>
      </c>
      <c r="O191" s="1">
        <f t="shared" si="16"/>
        <v>262.83499999999998</v>
      </c>
      <c r="P191" s="332">
        <f t="shared" si="17"/>
        <v>8.0666666666672882E-2</v>
      </c>
      <c r="Q191" s="332">
        <f t="shared" si="18"/>
        <v>1.3234356886636518</v>
      </c>
      <c r="R191" s="1" t="str">
        <f t="shared" si="19"/>
        <v>OK</v>
      </c>
      <c r="S191" s="13">
        <f t="shared" si="20"/>
        <v>371.01174535977839</v>
      </c>
      <c r="T191" s="192">
        <f t="shared" si="21"/>
        <v>0.54758138773102316</v>
      </c>
      <c r="U191" s="13">
        <f t="shared" si="22"/>
        <v>0.45638451099847543</v>
      </c>
      <c r="V191" s="13">
        <f t="shared" si="23"/>
        <v>0.46171784433181529</v>
      </c>
      <c r="W191" s="13">
        <f t="shared" si="24"/>
        <v>1.1904818842642451</v>
      </c>
      <c r="X191" s="13">
        <f t="shared" si="25"/>
        <v>1.3127690219969508</v>
      </c>
      <c r="Y191" s="13">
        <f t="shared" si="26"/>
        <v>1.3181023553302906</v>
      </c>
      <c r="Z191" s="13">
        <f t="shared" si="27"/>
        <v>1.563362505114831</v>
      </c>
      <c r="AA191" s="13">
        <f t="shared" si="28"/>
        <v>1.5773938191272601</v>
      </c>
      <c r="AC191" s="103"/>
      <c r="AD191" s="103"/>
      <c r="AE191" s="339">
        <f t="shared" si="29"/>
        <v>0.39434845478181502</v>
      </c>
      <c r="AF191">
        <f t="shared" si="30"/>
        <v>1.528</v>
      </c>
      <c r="AG191">
        <f t="shared" si="31"/>
        <v>0.15280000000000002</v>
      </c>
      <c r="AH191">
        <f t="shared" si="32"/>
        <v>0.61120000000000008</v>
      </c>
    </row>
    <row r="192" spans="1:34" x14ac:dyDescent="0.45">
      <c r="A192" s="1">
        <v>8.1999999999999993</v>
      </c>
      <c r="B192" s="1">
        <v>79</v>
      </c>
      <c r="C192" s="1">
        <v>80</v>
      </c>
      <c r="D192" s="76">
        <v>86</v>
      </c>
      <c r="E192" s="126">
        <f t="shared" si="10"/>
        <v>259.83125000000001</v>
      </c>
      <c r="F192" s="216">
        <v>0.4</v>
      </c>
      <c r="G192" s="215">
        <f t="shared" si="11"/>
        <v>1.162102355330306</v>
      </c>
      <c r="H192" s="217">
        <f t="shared" si="12"/>
        <v>0.38105117766515306</v>
      </c>
      <c r="I192" s="215">
        <f t="shared" si="13"/>
        <v>0.34641016151377546</v>
      </c>
      <c r="J192" s="93">
        <f t="shared" si="8"/>
        <v>1.3333333333333333E-3</v>
      </c>
      <c r="K192" s="1">
        <f t="shared" si="14"/>
        <v>262.83499999999998</v>
      </c>
      <c r="L192" s="94">
        <f>K192-H192</f>
        <v>262.45394882233484</v>
      </c>
      <c r="M192" s="327">
        <f t="shared" si="33"/>
        <v>262.33928215566817</v>
      </c>
      <c r="N192" s="94">
        <f t="shared" si="15"/>
        <v>262.72033333333331</v>
      </c>
      <c r="O192" s="1">
        <f t="shared" si="16"/>
        <v>262.83499999999998</v>
      </c>
      <c r="P192" s="332">
        <f t="shared" si="17"/>
        <v>0.1146666666666647</v>
      </c>
      <c r="Q192" s="332">
        <f t="shared" si="18"/>
        <v>1.3914356886636354</v>
      </c>
      <c r="R192" s="1" t="str">
        <f t="shared" si="19"/>
        <v>OK</v>
      </c>
      <c r="S192" s="13">
        <f t="shared" si="20"/>
        <v>371.01174535977839</v>
      </c>
      <c r="T192" s="192">
        <f t="shared" si="21"/>
        <v>0.42789501016439851</v>
      </c>
      <c r="U192" s="13">
        <f t="shared" si="22"/>
        <v>0.3810511776651424</v>
      </c>
      <c r="V192" s="13">
        <f t="shared" si="23"/>
        <v>0.4957178443318071</v>
      </c>
      <c r="W192" s="13">
        <f t="shared" si="24"/>
        <v>25.595360511681267</v>
      </c>
      <c r="X192" s="13">
        <f t="shared" si="25"/>
        <v>1.1621023553302847</v>
      </c>
      <c r="Y192" s="13">
        <f t="shared" si="26"/>
        <v>1.2767690219969494</v>
      </c>
      <c r="Z192" s="13">
        <f t="shared" si="27"/>
        <v>25.595360511680205</v>
      </c>
      <c r="AA192" s="13">
        <f t="shared" si="28"/>
        <v>31.60799141391751</v>
      </c>
      <c r="AC192" s="103"/>
      <c r="AD192" s="103"/>
      <c r="AE192" s="339">
        <f t="shared" si="29"/>
        <v>0.36753478388276173</v>
      </c>
      <c r="AF192">
        <f t="shared" si="30"/>
        <v>1.528</v>
      </c>
      <c r="AG192">
        <f t="shared" si="31"/>
        <v>0.15280000000000002</v>
      </c>
      <c r="AH192">
        <f t="shared" si="32"/>
        <v>13.140800000000002</v>
      </c>
    </row>
    <row r="193" spans="1:34" x14ac:dyDescent="0.45">
      <c r="A193" s="1">
        <v>8.1999999999999993</v>
      </c>
      <c r="B193" s="1">
        <v>80</v>
      </c>
      <c r="C193" s="1">
        <v>81</v>
      </c>
      <c r="D193" s="76">
        <v>4</v>
      </c>
      <c r="E193" s="126">
        <f t="shared" si="10"/>
        <v>259.83125000000001</v>
      </c>
      <c r="F193" s="216">
        <v>0.4</v>
      </c>
      <c r="G193" s="215">
        <f t="shared" si="11"/>
        <v>1.162102355330306</v>
      </c>
      <c r="H193" s="217">
        <f t="shared" si="12"/>
        <v>0.38105117766515306</v>
      </c>
      <c r="I193" s="215">
        <f t="shared" si="13"/>
        <v>0.34641016151377546</v>
      </c>
      <c r="J193" s="93">
        <f t="shared" si="8"/>
        <v>1.3333333333333333E-3</v>
      </c>
      <c r="K193" s="1">
        <f t="shared" si="14"/>
        <v>262.83499999999998</v>
      </c>
      <c r="L193" s="94">
        <f t="shared" si="34"/>
        <v>262.33928215566817</v>
      </c>
      <c r="M193" s="327">
        <f t="shared" si="33"/>
        <v>262.33394882233483</v>
      </c>
      <c r="N193" s="94">
        <f t="shared" si="15"/>
        <v>262.71499999999997</v>
      </c>
      <c r="O193" s="1">
        <f t="shared" si="16"/>
        <v>262.83499999999998</v>
      </c>
      <c r="P193" s="332">
        <f t="shared" si="17"/>
        <v>0.12000000000000455</v>
      </c>
      <c r="Q193" s="332">
        <f t="shared" si="18"/>
        <v>1.4021023553303151</v>
      </c>
      <c r="R193" s="1" t="str">
        <f t="shared" si="19"/>
        <v>OK</v>
      </c>
      <c r="S193" s="13">
        <f t="shared" si="20"/>
        <v>371.01174535977839</v>
      </c>
      <c r="T193" s="192">
        <f t="shared" si="21"/>
        <v>0.42789501016439851</v>
      </c>
      <c r="U193" s="13">
        <f t="shared" si="22"/>
        <v>0.4957178443318071</v>
      </c>
      <c r="V193" s="13">
        <f t="shared" si="23"/>
        <v>0.50105117766514695</v>
      </c>
      <c r="W193" s="13">
        <f t="shared" si="24"/>
        <v>1.1904818842642451</v>
      </c>
      <c r="X193" s="13">
        <f t="shared" si="25"/>
        <v>1.3914356886636141</v>
      </c>
      <c r="Y193" s="13">
        <f t="shared" si="26"/>
        <v>1.396769021996954</v>
      </c>
      <c r="Z193" s="13">
        <f t="shared" si="27"/>
        <v>1.7760932756867862</v>
      </c>
      <c r="AA193" s="13">
        <f t="shared" si="28"/>
        <v>1.7909637008103276</v>
      </c>
      <c r="AC193" s="103"/>
      <c r="AD193" s="103"/>
      <c r="AE193" s="339">
        <f t="shared" si="29"/>
        <v>0.44774092520258191</v>
      </c>
      <c r="AF193">
        <f t="shared" si="30"/>
        <v>1.528</v>
      </c>
      <c r="AG193">
        <f t="shared" si="31"/>
        <v>0.15280000000000002</v>
      </c>
      <c r="AH193">
        <f t="shared" si="32"/>
        <v>0.61120000000000008</v>
      </c>
    </row>
    <row r="194" spans="1:34" x14ac:dyDescent="0.45">
      <c r="A194" s="1">
        <v>8.3000000000000007</v>
      </c>
      <c r="B194" s="1">
        <v>83</v>
      </c>
      <c r="C194" s="1">
        <v>84</v>
      </c>
      <c r="D194" s="76">
        <v>90</v>
      </c>
      <c r="E194" s="126">
        <f t="shared" si="10"/>
        <v>242.92150000000001</v>
      </c>
      <c r="F194" s="216">
        <v>0.4</v>
      </c>
      <c r="G194" s="215">
        <f t="shared" si="11"/>
        <v>1.162102355330306</v>
      </c>
      <c r="H194" s="217">
        <f t="shared" si="12"/>
        <v>0.38105117766515306</v>
      </c>
      <c r="I194" s="215">
        <f t="shared" si="13"/>
        <v>0.34641016151377546</v>
      </c>
      <c r="J194" s="93">
        <f t="shared" si="8"/>
        <v>1.3333333333333333E-3</v>
      </c>
      <c r="K194" s="1">
        <f t="shared" si="14"/>
        <v>262.85500000000002</v>
      </c>
      <c r="L194" s="94">
        <f>K194-H194</f>
        <v>262.47394882233488</v>
      </c>
      <c r="M194" s="328">
        <f t="shared" si="33"/>
        <v>262.35394882233487</v>
      </c>
      <c r="N194" s="94">
        <f t="shared" si="15"/>
        <v>262.73500000000001</v>
      </c>
      <c r="O194" s="1">
        <f t="shared" si="16"/>
        <v>262.85500000000002</v>
      </c>
      <c r="P194" s="332">
        <f t="shared" si="17"/>
        <v>0.12000000000000455</v>
      </c>
      <c r="Q194" s="332">
        <f t="shared" si="18"/>
        <v>1.4021023553303151</v>
      </c>
      <c r="R194" s="1" t="str">
        <f t="shared" si="19"/>
        <v>OK</v>
      </c>
      <c r="S194" s="13">
        <f t="shared" si="20"/>
        <v>371.01174535977839</v>
      </c>
      <c r="T194" s="192">
        <f t="shared" si="21"/>
        <v>0.52729069003681595</v>
      </c>
      <c r="U194" s="13">
        <f t="shared" si="22"/>
        <v>0.3810511776651424</v>
      </c>
      <c r="V194" s="13">
        <f t="shared" si="23"/>
        <v>0.50105117766514695</v>
      </c>
      <c r="W194" s="13">
        <f t="shared" si="24"/>
        <v>26.785842395945515</v>
      </c>
      <c r="X194" s="13">
        <f t="shared" si="25"/>
        <v>1.1621023553302847</v>
      </c>
      <c r="Y194" s="13">
        <f t="shared" si="26"/>
        <v>1.2821023553302893</v>
      </c>
      <c r="Z194" s="13">
        <f t="shared" si="27"/>
        <v>26.7858423959444</v>
      </c>
      <c r="AA194" s="13">
        <f t="shared" si="28"/>
        <v>33.385195114728198</v>
      </c>
      <c r="AC194" s="103"/>
      <c r="AD194" s="103"/>
      <c r="AE194" s="339">
        <f t="shared" si="29"/>
        <v>0.37094661238586885</v>
      </c>
      <c r="AF194">
        <f t="shared" si="30"/>
        <v>1.528</v>
      </c>
      <c r="AG194">
        <f t="shared" si="31"/>
        <v>0.15280000000000002</v>
      </c>
      <c r="AH194">
        <f t="shared" si="32"/>
        <v>13.752000000000002</v>
      </c>
    </row>
    <row r="195" spans="1:34" hidden="1" x14ac:dyDescent="0.45">
      <c r="A195" s="1">
        <v>8</v>
      </c>
      <c r="B195" s="1">
        <v>73</v>
      </c>
      <c r="C195" s="1">
        <v>74</v>
      </c>
      <c r="D195" s="76">
        <v>80</v>
      </c>
      <c r="E195" s="126">
        <f t="shared" si="10"/>
        <v>20.699750000000002</v>
      </c>
      <c r="F195" s="216">
        <v>0.2</v>
      </c>
      <c r="G195" s="215">
        <f t="shared" si="11"/>
        <v>0.58105117766515302</v>
      </c>
      <c r="H195" s="217">
        <f t="shared" si="12"/>
        <v>0.19052558883257653</v>
      </c>
      <c r="I195" s="215">
        <f t="shared" si="13"/>
        <v>0.17320508075688773</v>
      </c>
      <c r="J195" s="93">
        <f t="shared" si="8"/>
        <v>1.3333333333333333E-3</v>
      </c>
      <c r="K195" s="1">
        <f t="shared" si="14"/>
        <v>263.495</v>
      </c>
      <c r="L195" s="94">
        <f>K195-H195</f>
        <v>263.3044744111674</v>
      </c>
      <c r="M195" s="327">
        <f t="shared" si="33"/>
        <v>263.19780774450072</v>
      </c>
      <c r="N195" s="94">
        <f t="shared" si="15"/>
        <v>263.38833333333332</v>
      </c>
      <c r="O195" s="1">
        <f t="shared" si="16"/>
        <v>263.495</v>
      </c>
      <c r="P195" s="332">
        <f t="shared" si="17"/>
        <v>0.10666666666668334</v>
      </c>
      <c r="Q195" s="332">
        <f t="shared" si="18"/>
        <v>0.7943845109985197</v>
      </c>
      <c r="R195" s="1" t="str">
        <f t="shared" si="19"/>
        <v>OK</v>
      </c>
      <c r="S195" s="13">
        <f t="shared" si="20"/>
        <v>58.430688467127666</v>
      </c>
      <c r="T195" s="192">
        <f t="shared" si="21"/>
        <v>1.8227726647484952</v>
      </c>
      <c r="U195" s="13">
        <f t="shared" si="22"/>
        <v>0.19052558883259962</v>
      </c>
      <c r="V195" s="13">
        <f t="shared" si="23"/>
        <v>0.29719225549928296</v>
      </c>
      <c r="W195" s="13">
        <f t="shared" si="24"/>
        <v>5.9524094213212253</v>
      </c>
      <c r="X195" s="13">
        <f t="shared" si="25"/>
        <v>0.5810511776651992</v>
      </c>
      <c r="Y195" s="13">
        <f t="shared" si="26"/>
        <v>0.68771784433188254</v>
      </c>
      <c r="Z195" s="13">
        <f t="shared" si="27"/>
        <v>5.9524094213222991</v>
      </c>
      <c r="AA195" s="13">
        <f t="shared" si="28"/>
        <v>8.6591166682498297</v>
      </c>
      <c r="AC195" s="103"/>
      <c r="AD195" s="103"/>
      <c r="AE195" s="339">
        <f t="shared" si="29"/>
        <v>0.10823895835312287</v>
      </c>
      <c r="AF195">
        <f t="shared" si="30"/>
        <v>0.76400000000000001</v>
      </c>
      <c r="AG195">
        <f t="shared" si="31"/>
        <v>7.640000000000001E-2</v>
      </c>
      <c r="AH195">
        <f t="shared" si="32"/>
        <v>6.112000000000001</v>
      </c>
    </row>
    <row r="196" spans="1:34" hidden="1" x14ac:dyDescent="0.45">
      <c r="A196" s="1">
        <v>8</v>
      </c>
      <c r="B196" s="1">
        <v>74</v>
      </c>
      <c r="C196" s="1">
        <v>75</v>
      </c>
      <c r="D196" s="76">
        <v>103</v>
      </c>
      <c r="E196" s="126">
        <f t="shared" si="10"/>
        <v>38.86045</v>
      </c>
      <c r="F196" s="216">
        <v>0.2</v>
      </c>
      <c r="G196" s="215">
        <f t="shared" si="11"/>
        <v>0.58105117766515302</v>
      </c>
      <c r="H196" s="217">
        <f t="shared" si="12"/>
        <v>0.19052558883257653</v>
      </c>
      <c r="I196" s="215">
        <f t="shared" si="13"/>
        <v>0.17320508075688773</v>
      </c>
      <c r="J196" s="93">
        <f t="shared" si="8"/>
        <v>1.3333333333333333E-3</v>
      </c>
      <c r="K196" s="1">
        <f t="shared" si="14"/>
        <v>263.495</v>
      </c>
      <c r="L196" s="329">
        <f>_xlfn.MINIFS($M$155:$M$239,$C$155:$C$239,B196)-0.425</f>
        <v>262.77280774450071</v>
      </c>
      <c r="M196" s="328">
        <f t="shared" si="33"/>
        <v>262.63547441116737</v>
      </c>
      <c r="N196" s="94">
        <f t="shared" si="15"/>
        <v>262.82599999999996</v>
      </c>
      <c r="O196" s="1">
        <f t="shared" si="16"/>
        <v>262.83499999999998</v>
      </c>
      <c r="P196" s="332">
        <f t="shared" si="17"/>
        <v>9.0000000000145519E-3</v>
      </c>
      <c r="Q196" s="332">
        <f t="shared" si="18"/>
        <v>0.59905117766518212</v>
      </c>
      <c r="R196" s="1" t="str">
        <f t="shared" si="19"/>
        <v>OK</v>
      </c>
      <c r="S196" s="13">
        <f t="shared" si="20"/>
        <v>58.430688467127666</v>
      </c>
      <c r="T196" s="192">
        <f t="shared" si="21"/>
        <v>0.50360298110618029</v>
      </c>
      <c r="U196" s="13">
        <f t="shared" si="22"/>
        <v>0.72219225549929433</v>
      </c>
      <c r="V196" s="13">
        <f t="shared" si="23"/>
        <v>0.19952558883261418</v>
      </c>
      <c r="W196" s="13">
        <f t="shared" si="24"/>
        <v>7.6637271299510772</v>
      </c>
      <c r="X196" s="13">
        <f t="shared" si="25"/>
        <v>0.59905117766522831</v>
      </c>
      <c r="Y196" s="13">
        <f t="shared" si="26"/>
        <v>1.1217178443319085</v>
      </c>
      <c r="Z196" s="13">
        <f t="shared" si="27"/>
        <v>8.2107045716489964</v>
      </c>
      <c r="AA196" s="13">
        <f t="shared" si="28"/>
        <v>31.369961249035065</v>
      </c>
      <c r="AC196" s="103"/>
      <c r="AD196" s="103"/>
      <c r="AE196" s="339">
        <f t="shared" si="29"/>
        <v>0.30456273057315597</v>
      </c>
      <c r="AF196">
        <f t="shared" si="30"/>
        <v>0.76400000000000001</v>
      </c>
      <c r="AG196">
        <f t="shared" si="31"/>
        <v>7.640000000000001E-2</v>
      </c>
      <c r="AH196">
        <f t="shared" si="32"/>
        <v>7.8692000000000011</v>
      </c>
    </row>
    <row r="197" spans="1:34" x14ac:dyDescent="0.45">
      <c r="A197" s="1">
        <v>8</v>
      </c>
      <c r="B197" s="1">
        <v>75</v>
      </c>
      <c r="C197" s="1">
        <v>81</v>
      </c>
      <c r="D197" s="76">
        <v>8</v>
      </c>
      <c r="E197" s="126">
        <f t="shared" si="10"/>
        <v>278.59694999999999</v>
      </c>
      <c r="F197" s="216">
        <v>0.4</v>
      </c>
      <c r="G197" s="215">
        <f t="shared" si="11"/>
        <v>1.162102355330306</v>
      </c>
      <c r="H197" s="217">
        <f t="shared" si="12"/>
        <v>0.38105117766515306</v>
      </c>
      <c r="I197" s="215">
        <f t="shared" si="13"/>
        <v>0.34641016151377546</v>
      </c>
      <c r="J197" s="93">
        <f t="shared" si="8"/>
        <v>1.3333333333333333E-3</v>
      </c>
      <c r="K197" s="1">
        <f t="shared" si="14"/>
        <v>262.83499999999998</v>
      </c>
      <c r="L197" s="94">
        <f t="shared" si="34"/>
        <v>262.37328215566816</v>
      </c>
      <c r="M197" s="328">
        <f t="shared" si="33"/>
        <v>262.36261548900148</v>
      </c>
      <c r="N197" s="94">
        <f t="shared" si="15"/>
        <v>262.74366666666663</v>
      </c>
      <c r="O197" s="1">
        <f t="shared" si="16"/>
        <v>262.83499999999998</v>
      </c>
      <c r="P197" s="332">
        <f t="shared" si="17"/>
        <v>9.1333333333352584E-2</v>
      </c>
      <c r="Q197" s="332">
        <f t="shared" si="18"/>
        <v>1.3447690219970112</v>
      </c>
      <c r="R197" s="1" t="str">
        <f t="shared" si="19"/>
        <v>OK</v>
      </c>
      <c r="S197" s="13">
        <f t="shared" si="20"/>
        <v>371.01174535977839</v>
      </c>
      <c r="T197" s="192">
        <f t="shared" si="21"/>
        <v>0.3317150290402619</v>
      </c>
      <c r="U197" s="13">
        <f t="shared" si="22"/>
        <v>0.46171784433181529</v>
      </c>
      <c r="V197" s="13">
        <f t="shared" si="23"/>
        <v>0.47238451099849499</v>
      </c>
      <c r="W197" s="13">
        <f t="shared" si="24"/>
        <v>2.3809637685284901</v>
      </c>
      <c r="X197" s="13">
        <f t="shared" si="25"/>
        <v>1.3234356886636305</v>
      </c>
      <c r="Y197" s="13">
        <f t="shared" si="26"/>
        <v>1.3341023553303102</v>
      </c>
      <c r="Z197" s="13">
        <f t="shared" si="27"/>
        <v>3.1829640440571563</v>
      </c>
      <c r="AA197" s="13">
        <f t="shared" si="28"/>
        <v>3.239658188995763</v>
      </c>
      <c r="AC197" s="103"/>
      <c r="AD197" s="103"/>
      <c r="AE197" s="339">
        <f t="shared" si="29"/>
        <v>0.40495727362447037</v>
      </c>
      <c r="AF197">
        <f t="shared" si="30"/>
        <v>1.528</v>
      </c>
      <c r="AG197">
        <f t="shared" si="31"/>
        <v>0.15280000000000002</v>
      </c>
      <c r="AH197">
        <f t="shared" si="32"/>
        <v>1.2224000000000002</v>
      </c>
    </row>
    <row r="198" spans="1:34" hidden="1" x14ac:dyDescent="0.45">
      <c r="A198" s="1">
        <v>8</v>
      </c>
      <c r="B198" s="1">
        <v>81</v>
      </c>
      <c r="C198" s="1">
        <v>82</v>
      </c>
      <c r="D198" s="76">
        <v>104</v>
      </c>
      <c r="E198" s="126">
        <f t="shared" si="10"/>
        <v>578.16120000000001</v>
      </c>
      <c r="F198" s="216">
        <v>0.5</v>
      </c>
      <c r="G198" s="215">
        <f t="shared" si="11"/>
        <v>1.4526279441628827</v>
      </c>
      <c r="H198" s="217">
        <f t="shared" si="12"/>
        <v>0.47631397208144127</v>
      </c>
      <c r="I198" s="215">
        <f t="shared" si="13"/>
        <v>0.4330127018922193</v>
      </c>
      <c r="J198" s="93">
        <f t="shared" si="8"/>
        <v>1.3333333333333333E-3</v>
      </c>
      <c r="K198" s="1">
        <f t="shared" si="14"/>
        <v>262.83499999999998</v>
      </c>
      <c r="L198" s="94">
        <f t="shared" si="34"/>
        <v>262.33394882233483</v>
      </c>
      <c r="M198" s="327">
        <f t="shared" si="33"/>
        <v>262.19528215566817</v>
      </c>
      <c r="N198" s="94">
        <f t="shared" si="15"/>
        <v>262.67159612774958</v>
      </c>
      <c r="O198" s="1">
        <f t="shared" si="16"/>
        <v>262.755</v>
      </c>
      <c r="P198" s="332">
        <f t="shared" si="17"/>
        <v>8.3403872250414679E-2</v>
      </c>
      <c r="Q198" s="332">
        <f t="shared" si="18"/>
        <v>1.619435688663712</v>
      </c>
      <c r="R198" s="1" t="str">
        <f t="shared" si="19"/>
        <v>OK</v>
      </c>
      <c r="S198" s="13">
        <f t="shared" si="20"/>
        <v>672.68905250044338</v>
      </c>
      <c r="T198" s="192">
        <f t="shared" si="21"/>
        <v>0.1634973991690265</v>
      </c>
      <c r="U198" s="13">
        <f t="shared" si="22"/>
        <v>0.50105117766514695</v>
      </c>
      <c r="V198" s="13">
        <f t="shared" si="23"/>
        <v>0.55971784433182847</v>
      </c>
      <c r="W198" s="13">
        <f t="shared" si="24"/>
        <v>48.363326548234951</v>
      </c>
      <c r="X198" s="13">
        <f t="shared" si="25"/>
        <v>1.5021023553302939</v>
      </c>
      <c r="Y198" s="13">
        <f t="shared" si="26"/>
        <v>1.5607690219969754</v>
      </c>
      <c r="Z198" s="13">
        <f t="shared" si="27"/>
        <v>52.164098633109226</v>
      </c>
      <c r="AA198" s="13">
        <f t="shared" si="28"/>
        <v>56.835998440660276</v>
      </c>
      <c r="AC198" s="103"/>
      <c r="AD198" s="103"/>
      <c r="AE198" s="339">
        <f t="shared" si="29"/>
        <v>0.54649998500634878</v>
      </c>
      <c r="AF198">
        <f t="shared" si="30"/>
        <v>1.91</v>
      </c>
      <c r="AG198">
        <f t="shared" si="31"/>
        <v>0.191</v>
      </c>
      <c r="AH198">
        <f t="shared" si="32"/>
        <v>19.864000000000001</v>
      </c>
    </row>
    <row r="199" spans="1:34" hidden="1" x14ac:dyDescent="0.45">
      <c r="A199" s="1">
        <v>8</v>
      </c>
      <c r="B199" s="1">
        <v>82</v>
      </c>
      <c r="C199" s="1">
        <v>84</v>
      </c>
      <c r="D199" s="76">
        <v>5</v>
      </c>
      <c r="E199" s="126">
        <f t="shared" si="10"/>
        <v>578.16120000000001</v>
      </c>
      <c r="F199" s="216">
        <v>0.5</v>
      </c>
      <c r="G199" s="215">
        <f t="shared" si="11"/>
        <v>1.4526279441628827</v>
      </c>
      <c r="H199" s="217">
        <f t="shared" si="12"/>
        <v>0.47631397208144127</v>
      </c>
      <c r="I199" s="215">
        <f t="shared" si="13"/>
        <v>0.4330127018922193</v>
      </c>
      <c r="J199" s="93">
        <f t="shared" si="8"/>
        <v>1.3333333333333333E-3</v>
      </c>
      <c r="K199" s="1">
        <f t="shared" si="14"/>
        <v>262.755</v>
      </c>
      <c r="L199" s="94">
        <f t="shared" si="34"/>
        <v>262.19528215566817</v>
      </c>
      <c r="M199" s="327">
        <f t="shared" si="33"/>
        <v>262.18861548900151</v>
      </c>
      <c r="N199" s="94">
        <f t="shared" si="15"/>
        <v>262.66492946108292</v>
      </c>
      <c r="O199" s="1">
        <f t="shared" si="16"/>
        <v>262.85500000000002</v>
      </c>
      <c r="P199" s="332">
        <f t="shared" si="17"/>
        <v>0.19007053891709802</v>
      </c>
      <c r="Q199" s="332">
        <f t="shared" si="18"/>
        <v>1.8327690219970787</v>
      </c>
      <c r="R199" s="1" t="str">
        <f t="shared" si="19"/>
        <v>OK</v>
      </c>
      <c r="S199" s="13">
        <f t="shared" si="20"/>
        <v>672.68905250044338</v>
      </c>
      <c r="T199" s="192">
        <f t="shared" si="21"/>
        <v>0.1634973991690265</v>
      </c>
      <c r="U199" s="13">
        <f t="shared" si="22"/>
        <v>0.55971784433182847</v>
      </c>
      <c r="V199" s="13">
        <f t="shared" si="23"/>
        <v>0.66638451099851181</v>
      </c>
      <c r="W199" s="13">
        <f t="shared" si="24"/>
        <v>2.3251599302036032</v>
      </c>
      <c r="X199" s="13">
        <f t="shared" si="25"/>
        <v>1.6194356886636569</v>
      </c>
      <c r="Y199" s="13">
        <f t="shared" si="26"/>
        <v>1.7261023553303403</v>
      </c>
      <c r="Z199" s="13">
        <f t="shared" si="27"/>
        <v>2.9657149371469158</v>
      </c>
      <c r="AA199" s="13">
        <f t="shared" si="28"/>
        <v>3.4117866763461855</v>
      </c>
      <c r="AC199" s="103"/>
      <c r="AD199" s="103"/>
      <c r="AE199" s="339">
        <f t="shared" si="29"/>
        <v>0.68235733526923714</v>
      </c>
      <c r="AF199">
        <f t="shared" si="30"/>
        <v>1.91</v>
      </c>
      <c r="AG199">
        <f t="shared" si="31"/>
        <v>0.191</v>
      </c>
      <c r="AH199">
        <f t="shared" si="32"/>
        <v>0.95500000000000007</v>
      </c>
    </row>
    <row r="200" spans="1:34" hidden="1" x14ac:dyDescent="0.45">
      <c r="A200" s="1">
        <v>8</v>
      </c>
      <c r="B200" s="1">
        <v>84</v>
      </c>
      <c r="C200" s="1" t="s">
        <v>1058</v>
      </c>
      <c r="D200" s="76">
        <v>25</v>
      </c>
      <c r="E200" s="126">
        <f t="shared" si="10"/>
        <v>821.08270000000005</v>
      </c>
      <c r="F200" s="216">
        <v>0.6</v>
      </c>
      <c r="G200" s="215">
        <f t="shared" si="11"/>
        <v>1.7431535329954588</v>
      </c>
      <c r="H200" s="217">
        <f t="shared" si="12"/>
        <v>0.57157676649772948</v>
      </c>
      <c r="I200" s="215">
        <f t="shared" si="13"/>
        <v>0.51961524227066314</v>
      </c>
      <c r="J200" s="93">
        <f t="shared" si="8"/>
        <v>1.3333333333333333E-3</v>
      </c>
      <c r="K200" s="1">
        <f t="shared" si="14"/>
        <v>262.85500000000002</v>
      </c>
      <c r="L200" s="94">
        <f t="shared" si="34"/>
        <v>262.18861548900151</v>
      </c>
      <c r="M200" s="327">
        <f t="shared" si="33"/>
        <v>262.15528215566815</v>
      </c>
      <c r="N200" s="94">
        <f t="shared" si="15"/>
        <v>262.72685892216589</v>
      </c>
      <c r="O200" s="1">
        <f t="shared" si="16"/>
        <v>262.85500000000002</v>
      </c>
      <c r="P200" s="332">
        <f t="shared" si="17"/>
        <v>0.12814107783412965</v>
      </c>
      <c r="Q200" s="332">
        <f t="shared" si="18"/>
        <v>1.9994356886637181</v>
      </c>
      <c r="R200" s="1" t="str">
        <f t="shared" si="19"/>
        <v>OK</v>
      </c>
      <c r="S200" s="13">
        <f t="shared" si="20"/>
        <v>1093.8665686523198</v>
      </c>
      <c r="T200" s="192">
        <f t="shared" si="21"/>
        <v>0.33222459644116203</v>
      </c>
      <c r="U200" s="13">
        <f t="shared" si="22"/>
        <v>0.66638451099851181</v>
      </c>
      <c r="V200" s="13">
        <f t="shared" si="23"/>
        <v>0.69971784433187167</v>
      </c>
      <c r="W200" s="13">
        <f t="shared" si="24"/>
        <v>16.741151497465943</v>
      </c>
      <c r="X200" s="13">
        <f t="shared" si="25"/>
        <v>1.9327690219970237</v>
      </c>
      <c r="Y200" s="13">
        <f t="shared" si="26"/>
        <v>1.9661023553303836</v>
      </c>
      <c r="Z200" s="13">
        <f t="shared" si="27"/>
        <v>21.097475577445817</v>
      </c>
      <c r="AA200" s="13">
        <f t="shared" si="28"/>
        <v>21.90974044772301</v>
      </c>
      <c r="AC200" s="103"/>
      <c r="AD200" s="103"/>
      <c r="AE200" s="339">
        <f t="shared" si="29"/>
        <v>0.87638961790892045</v>
      </c>
      <c r="AF200">
        <f t="shared" si="30"/>
        <v>2.2919999999999998</v>
      </c>
      <c r="AG200">
        <f t="shared" si="31"/>
        <v>0.22919999999999999</v>
      </c>
      <c r="AH200">
        <f t="shared" si="32"/>
        <v>5.7299999999999995</v>
      </c>
    </row>
    <row r="201" spans="1:34" hidden="1" x14ac:dyDescent="0.45">
      <c r="A201" s="1">
        <v>9.1</v>
      </c>
      <c r="B201" s="1">
        <v>89</v>
      </c>
      <c r="C201" s="1">
        <v>88</v>
      </c>
      <c r="D201" s="76">
        <v>38</v>
      </c>
      <c r="E201" s="126">
        <f t="shared" si="10"/>
        <v>30.577749999999998</v>
      </c>
      <c r="F201" s="216">
        <v>0.2</v>
      </c>
      <c r="G201" s="215">
        <f t="shared" si="11"/>
        <v>0.58105117766515302</v>
      </c>
      <c r="H201" s="217">
        <f t="shared" si="12"/>
        <v>0.19052558883257653</v>
      </c>
      <c r="I201" s="215">
        <f t="shared" si="13"/>
        <v>0.17320508075688773</v>
      </c>
      <c r="J201" s="93">
        <f t="shared" si="8"/>
        <v>1.3333333333333333E-3</v>
      </c>
      <c r="K201" s="1">
        <f t="shared" si="14"/>
        <v>263.20499999999998</v>
      </c>
      <c r="L201" s="329">
        <f>K201-H201-0.05</f>
        <v>262.96447441116737</v>
      </c>
      <c r="M201" s="328">
        <f t="shared" si="33"/>
        <v>262.91380774450073</v>
      </c>
      <c r="N201" s="94">
        <f t="shared" si="15"/>
        <v>263.10433333333333</v>
      </c>
      <c r="O201" s="1">
        <f t="shared" si="16"/>
        <v>263.10500000000002</v>
      </c>
      <c r="P201" s="332">
        <f t="shared" si="17"/>
        <v>6.666666666887977E-4</v>
      </c>
      <c r="Q201" s="332">
        <f t="shared" si="18"/>
        <v>0.58238451099853061</v>
      </c>
      <c r="R201" s="1" t="str">
        <f t="shared" si="19"/>
        <v>OK</v>
      </c>
      <c r="S201" s="13">
        <f t="shared" si="20"/>
        <v>58.430688467127666</v>
      </c>
      <c r="T201" s="192">
        <f t="shared" si="21"/>
        <v>0.91088907676750808</v>
      </c>
      <c r="U201" s="13">
        <f t="shared" si="22"/>
        <v>0.24052558883261099</v>
      </c>
      <c r="V201" s="13">
        <f t="shared" si="23"/>
        <v>0.19119225549928842</v>
      </c>
      <c r="W201" s="13">
        <f t="shared" si="24"/>
        <v>2.8273944751275821</v>
      </c>
      <c r="X201" s="13">
        <f t="shared" si="25"/>
        <v>0.5823845109985768</v>
      </c>
      <c r="Y201" s="13">
        <f t="shared" si="26"/>
        <v>0.63171784433189937</v>
      </c>
      <c r="Z201" s="13">
        <f t="shared" si="27"/>
        <v>2.8421313271849891</v>
      </c>
      <c r="AA201" s="13">
        <f t="shared" si="28"/>
        <v>3.4111406310497485</v>
      </c>
      <c r="AC201" s="103"/>
      <c r="AD201" s="103"/>
      <c r="AE201" s="339">
        <f t="shared" si="29"/>
        <v>8.9766858711835484E-2</v>
      </c>
      <c r="AF201">
        <f t="shared" si="30"/>
        <v>0.76400000000000001</v>
      </c>
      <c r="AG201">
        <f t="shared" si="31"/>
        <v>7.640000000000001E-2</v>
      </c>
      <c r="AH201">
        <f t="shared" si="32"/>
        <v>2.9032000000000004</v>
      </c>
    </row>
    <row r="202" spans="1:34" hidden="1" x14ac:dyDescent="0.45">
      <c r="A202" s="1">
        <v>9.1</v>
      </c>
      <c r="B202" s="1">
        <v>88</v>
      </c>
      <c r="C202" s="1">
        <v>87</v>
      </c>
      <c r="D202" s="76">
        <v>36</v>
      </c>
      <c r="E202" s="126">
        <f t="shared" si="10"/>
        <v>30.577749999999998</v>
      </c>
      <c r="F202" s="216">
        <v>0.2</v>
      </c>
      <c r="G202" s="215">
        <f t="shared" si="11"/>
        <v>0.58105117766515302</v>
      </c>
      <c r="H202" s="217">
        <f t="shared" si="12"/>
        <v>0.19052558883257653</v>
      </c>
      <c r="I202" s="215">
        <f t="shared" si="13"/>
        <v>0.17320508075688773</v>
      </c>
      <c r="J202" s="93">
        <f t="shared" si="8"/>
        <v>1.3333333333333333E-3</v>
      </c>
      <c r="K202" s="1">
        <f t="shared" si="14"/>
        <v>263.10500000000002</v>
      </c>
      <c r="L202" s="329">
        <f>_xlfn.MINIFS($M$155:$M$239,$C$155:$C$239,B202)-0.202</f>
        <v>262.71180774450073</v>
      </c>
      <c r="M202" s="328">
        <f t="shared" si="33"/>
        <v>262.66380774450073</v>
      </c>
      <c r="N202" s="94">
        <f t="shared" si="15"/>
        <v>262.85433333333333</v>
      </c>
      <c r="O202" s="1">
        <f t="shared" si="16"/>
        <v>262.85500000000002</v>
      </c>
      <c r="P202" s="332">
        <f t="shared" si="17"/>
        <v>6.666666666887977E-4</v>
      </c>
      <c r="Q202" s="332">
        <f t="shared" si="18"/>
        <v>0.58238451099853061</v>
      </c>
      <c r="R202" s="1" t="str">
        <f t="shared" si="19"/>
        <v>OK</v>
      </c>
      <c r="S202" s="13">
        <f t="shared" si="20"/>
        <v>58.430688467127666</v>
      </c>
      <c r="T202" s="192">
        <f t="shared" si="21"/>
        <v>0.91088907676750808</v>
      </c>
      <c r="U202" s="13">
        <f t="shared" si="22"/>
        <v>0.3931922554992866</v>
      </c>
      <c r="V202" s="13">
        <f t="shared" si="23"/>
        <v>0.19119225549928842</v>
      </c>
      <c r="W202" s="13">
        <f t="shared" si="24"/>
        <v>2.6785842395945512</v>
      </c>
      <c r="X202" s="13">
        <f t="shared" si="25"/>
        <v>0.5823845109985768</v>
      </c>
      <c r="Y202" s="13">
        <f t="shared" si="26"/>
        <v>0.78438451099857498</v>
      </c>
      <c r="Z202" s="13">
        <f t="shared" si="27"/>
        <v>2.6925454678594631</v>
      </c>
      <c r="AA202" s="13">
        <f t="shared" si="28"/>
        <v>5.1773315498502628</v>
      </c>
      <c r="AC202" s="103"/>
      <c r="AD202" s="103"/>
      <c r="AE202" s="339">
        <f t="shared" si="29"/>
        <v>0.14381476527361842</v>
      </c>
      <c r="AF202">
        <f t="shared" si="30"/>
        <v>0.76400000000000001</v>
      </c>
      <c r="AG202">
        <f t="shared" si="31"/>
        <v>7.640000000000001E-2</v>
      </c>
      <c r="AH202">
        <f t="shared" si="32"/>
        <v>2.7504000000000004</v>
      </c>
    </row>
    <row r="203" spans="1:34" x14ac:dyDescent="0.45">
      <c r="A203" s="1">
        <v>9.1999999999999993</v>
      </c>
      <c r="B203" s="1">
        <v>85</v>
      </c>
      <c r="C203" s="1">
        <v>86</v>
      </c>
      <c r="D203" s="76">
        <v>78</v>
      </c>
      <c r="E203" s="126">
        <f t="shared" si="10"/>
        <v>180.55374999999998</v>
      </c>
      <c r="F203" s="216">
        <v>0.4</v>
      </c>
      <c r="G203" s="215">
        <f t="shared" si="11"/>
        <v>1.162102355330306</v>
      </c>
      <c r="H203" s="217">
        <f t="shared" si="12"/>
        <v>0.38105117766515306</v>
      </c>
      <c r="I203" s="215">
        <f t="shared" si="13"/>
        <v>0.34641016151377546</v>
      </c>
      <c r="J203" s="93">
        <f t="shared" si="8"/>
        <v>1.3333333333333333E-3</v>
      </c>
      <c r="K203" s="1">
        <f t="shared" si="14"/>
        <v>262.83999999999997</v>
      </c>
      <c r="L203" s="94">
        <f>K203-H203</f>
        <v>262.45894882233483</v>
      </c>
      <c r="M203" s="327">
        <f t="shared" si="33"/>
        <v>262.35494882233485</v>
      </c>
      <c r="N203" s="94">
        <f t="shared" si="15"/>
        <v>262.73599999999999</v>
      </c>
      <c r="O203" s="1">
        <f t="shared" si="16"/>
        <v>262.85500000000002</v>
      </c>
      <c r="P203" s="332">
        <f t="shared" si="17"/>
        <v>0.11900000000002819</v>
      </c>
      <c r="Q203" s="332">
        <f t="shared" si="18"/>
        <v>1.4001023553303624</v>
      </c>
      <c r="R203" s="1" t="str">
        <f t="shared" si="19"/>
        <v>OK</v>
      </c>
      <c r="S203" s="13">
        <f t="shared" si="20"/>
        <v>371.01174535977839</v>
      </c>
      <c r="T203" s="192">
        <f t="shared" si="21"/>
        <v>1.0548548305409244</v>
      </c>
      <c r="U203" s="13">
        <f t="shared" si="22"/>
        <v>0.3810511776651424</v>
      </c>
      <c r="V203" s="13">
        <f t="shared" si="23"/>
        <v>0.5000511776651706</v>
      </c>
      <c r="W203" s="13">
        <f t="shared" si="24"/>
        <v>23.214396743152779</v>
      </c>
      <c r="X203" s="13">
        <f t="shared" si="25"/>
        <v>1.1621023553302847</v>
      </c>
      <c r="Y203" s="13">
        <f t="shared" si="26"/>
        <v>1.2811023553303129</v>
      </c>
      <c r="Z203" s="13">
        <f t="shared" si="27"/>
        <v>23.214396743151813</v>
      </c>
      <c r="AA203" s="13">
        <f t="shared" si="28"/>
        <v>28.883853274241076</v>
      </c>
      <c r="AC203" s="103"/>
      <c r="AD203" s="103"/>
      <c r="AE203" s="339">
        <f t="shared" si="29"/>
        <v>0.37030581120821893</v>
      </c>
      <c r="AF203">
        <f t="shared" si="30"/>
        <v>1.528</v>
      </c>
      <c r="AG203">
        <f t="shared" si="31"/>
        <v>0.15280000000000002</v>
      </c>
      <c r="AH203">
        <f t="shared" si="32"/>
        <v>11.918400000000002</v>
      </c>
    </row>
    <row r="204" spans="1:34" x14ac:dyDescent="0.45">
      <c r="A204" s="1">
        <v>9.1999999999999993</v>
      </c>
      <c r="B204" s="1">
        <v>86</v>
      </c>
      <c r="C204" s="1">
        <v>87</v>
      </c>
      <c r="D204" s="76">
        <v>24</v>
      </c>
      <c r="E204" s="126">
        <f t="shared" si="10"/>
        <v>191.85274999999999</v>
      </c>
      <c r="F204" s="216">
        <v>0.4</v>
      </c>
      <c r="G204" s="215">
        <f t="shared" si="11"/>
        <v>1.162102355330306</v>
      </c>
      <c r="H204" s="217">
        <f t="shared" si="12"/>
        <v>0.38105117766515306</v>
      </c>
      <c r="I204" s="215">
        <f t="shared" si="13"/>
        <v>0.34641016151377546</v>
      </c>
      <c r="J204" s="93">
        <f t="shared" si="8"/>
        <v>1.3333333333333333E-3</v>
      </c>
      <c r="K204" s="1">
        <f t="shared" si="14"/>
        <v>262.85500000000002</v>
      </c>
      <c r="L204" s="94">
        <f t="shared" si="34"/>
        <v>262.35494882233485</v>
      </c>
      <c r="M204" s="327">
        <f t="shared" si="33"/>
        <v>262.32294882233487</v>
      </c>
      <c r="N204" s="94">
        <f t="shared" si="15"/>
        <v>262.70400000000001</v>
      </c>
      <c r="O204" s="1">
        <f t="shared" si="16"/>
        <v>262.85500000000002</v>
      </c>
      <c r="P204" s="332">
        <f t="shared" si="17"/>
        <v>0.15100000000001046</v>
      </c>
      <c r="Q204" s="332">
        <f t="shared" si="18"/>
        <v>1.464102355330327</v>
      </c>
      <c r="R204" s="1" t="str">
        <f t="shared" si="19"/>
        <v>OK</v>
      </c>
      <c r="S204" s="13">
        <f t="shared" si="20"/>
        <v>371.01174535977839</v>
      </c>
      <c r="T204" s="192">
        <f t="shared" si="21"/>
        <v>0.93383595158150412</v>
      </c>
      <c r="U204" s="13">
        <f t="shared" si="22"/>
        <v>0.5000511776651706</v>
      </c>
      <c r="V204" s="13">
        <f t="shared" si="23"/>
        <v>0.53205117766515286</v>
      </c>
      <c r="W204" s="13">
        <f t="shared" si="24"/>
        <v>7.1428913055854704</v>
      </c>
      <c r="X204" s="13">
        <f t="shared" si="25"/>
        <v>1.4001023553303411</v>
      </c>
      <c r="Y204" s="13">
        <f t="shared" si="26"/>
        <v>1.4321023553303234</v>
      </c>
      <c r="Z204" s="13">
        <f t="shared" si="27"/>
        <v>10.801719632409414</v>
      </c>
      <c r="AA204" s="13">
        <f t="shared" si="28"/>
        <v>11.345502936855961</v>
      </c>
      <c r="AC204" s="103"/>
      <c r="AD204" s="103"/>
      <c r="AE204" s="339">
        <f t="shared" si="29"/>
        <v>0.47272928903566508</v>
      </c>
      <c r="AF204">
        <f t="shared" si="30"/>
        <v>1.528</v>
      </c>
      <c r="AG204">
        <f t="shared" si="31"/>
        <v>0.15280000000000002</v>
      </c>
      <c r="AH204">
        <f t="shared" si="32"/>
        <v>3.6672000000000002</v>
      </c>
    </row>
    <row r="205" spans="1:34" x14ac:dyDescent="0.45">
      <c r="A205" s="1">
        <v>9</v>
      </c>
      <c r="B205" s="1">
        <v>87</v>
      </c>
      <c r="C205" s="1" t="s">
        <v>1059</v>
      </c>
      <c r="D205" s="76">
        <v>25</v>
      </c>
      <c r="E205" s="126">
        <f t="shared" si="10"/>
        <v>222.43049999999999</v>
      </c>
      <c r="F205" s="216">
        <v>0.4</v>
      </c>
      <c r="G205" s="215">
        <f t="shared" si="11"/>
        <v>1.162102355330306</v>
      </c>
      <c r="H205" s="217">
        <f t="shared" si="12"/>
        <v>0.38105117766515306</v>
      </c>
      <c r="I205" s="215">
        <f t="shared" si="13"/>
        <v>0.34641016151377546</v>
      </c>
      <c r="J205" s="93">
        <f t="shared" si="8"/>
        <v>1.3333333333333333E-3</v>
      </c>
      <c r="K205" s="1">
        <f t="shared" si="14"/>
        <v>262.85500000000002</v>
      </c>
      <c r="L205" s="94">
        <f t="shared" si="34"/>
        <v>262.32294882233487</v>
      </c>
      <c r="M205" s="327">
        <f t="shared" si="33"/>
        <v>262.28961548900151</v>
      </c>
      <c r="N205" s="94">
        <f t="shared" si="15"/>
        <v>262.67066666666665</v>
      </c>
      <c r="O205" s="1">
        <f t="shared" si="16"/>
        <v>262.85500000000002</v>
      </c>
      <c r="P205" s="332">
        <f t="shared" si="17"/>
        <v>0.18433333333337032</v>
      </c>
      <c r="Q205" s="332">
        <f t="shared" si="18"/>
        <v>1.5307690219970467</v>
      </c>
      <c r="R205" s="1" t="str">
        <f t="shared" si="19"/>
        <v>OK</v>
      </c>
      <c r="S205" s="13">
        <f t="shared" si="20"/>
        <v>371.01174535977839</v>
      </c>
      <c r="T205" s="192">
        <f t="shared" si="21"/>
        <v>0.66798953093113755</v>
      </c>
      <c r="U205" s="13">
        <f t="shared" si="22"/>
        <v>0.53205117766515286</v>
      </c>
      <c r="V205" s="13">
        <f t="shared" si="23"/>
        <v>0.56538451099851272</v>
      </c>
      <c r="W205" s="13">
        <f t="shared" si="24"/>
        <v>7.4405117766515314</v>
      </c>
      <c r="X205" s="13">
        <f t="shared" si="25"/>
        <v>1.4641023553303056</v>
      </c>
      <c r="Y205" s="13">
        <f t="shared" si="26"/>
        <v>1.4974356886636655</v>
      </c>
      <c r="Z205" s="13">
        <f t="shared" si="27"/>
        <v>12.39747316802343</v>
      </c>
      <c r="AA205" s="13">
        <f t="shared" si="28"/>
        <v>13.014460260522664</v>
      </c>
      <c r="AC205" s="103"/>
      <c r="AD205" s="103"/>
      <c r="AE205" s="339">
        <f t="shared" si="29"/>
        <v>0.52057841042090658</v>
      </c>
      <c r="AF205">
        <f t="shared" si="30"/>
        <v>1.528</v>
      </c>
      <c r="AG205">
        <f t="shared" si="31"/>
        <v>0.15280000000000002</v>
      </c>
      <c r="AH205">
        <f t="shared" si="32"/>
        <v>3.8200000000000003</v>
      </c>
    </row>
    <row r="206" spans="1:34" x14ac:dyDescent="0.45">
      <c r="A206" s="1">
        <v>10.1</v>
      </c>
      <c r="B206" s="1">
        <v>64</v>
      </c>
      <c r="C206" s="1">
        <v>65</v>
      </c>
      <c r="D206" s="76">
        <v>86</v>
      </c>
      <c r="E206" s="126">
        <f t="shared" si="10"/>
        <v>235.45575000000002</v>
      </c>
      <c r="F206" s="216">
        <v>0.4</v>
      </c>
      <c r="G206" s="215">
        <f t="shared" si="11"/>
        <v>1.162102355330306</v>
      </c>
      <c r="H206" s="217">
        <f t="shared" si="12"/>
        <v>0.38105117766515306</v>
      </c>
      <c r="I206" s="215">
        <f t="shared" si="13"/>
        <v>0.34641016151377546</v>
      </c>
      <c r="J206" s="93">
        <f t="shared" si="8"/>
        <v>1.3333333333333333E-3</v>
      </c>
      <c r="K206" s="1">
        <f t="shared" si="14"/>
        <v>263.02499999999998</v>
      </c>
      <c r="L206" s="94">
        <f>K206-H206</f>
        <v>262.64394882233483</v>
      </c>
      <c r="M206" s="327">
        <f t="shared" si="33"/>
        <v>262.52928215566817</v>
      </c>
      <c r="N206" s="94">
        <f t="shared" si="15"/>
        <v>262.91033333333331</v>
      </c>
      <c r="O206" s="1">
        <f t="shared" si="16"/>
        <v>263.04000000000002</v>
      </c>
      <c r="P206" s="332">
        <f t="shared" si="17"/>
        <v>0.1296666666667079</v>
      </c>
      <c r="Q206" s="332">
        <f t="shared" si="18"/>
        <v>1.4214356886637218</v>
      </c>
      <c r="R206" s="1" t="str">
        <f t="shared" si="19"/>
        <v>OK</v>
      </c>
      <c r="S206" s="13">
        <f t="shared" si="20"/>
        <v>371.01174535977839</v>
      </c>
      <c r="T206" s="192">
        <f t="shared" si="21"/>
        <v>0.57571749834004204</v>
      </c>
      <c r="U206" s="13">
        <f t="shared" si="22"/>
        <v>0.3810511776651424</v>
      </c>
      <c r="V206" s="13">
        <f t="shared" si="23"/>
        <v>0.5107178443318503</v>
      </c>
      <c r="W206" s="13">
        <f t="shared" si="24"/>
        <v>25.595360511681267</v>
      </c>
      <c r="X206" s="13">
        <f t="shared" si="25"/>
        <v>1.1621023553302847</v>
      </c>
      <c r="Y206" s="13">
        <f t="shared" si="26"/>
        <v>1.2917690219969926</v>
      </c>
      <c r="Z206" s="13">
        <f t="shared" si="27"/>
        <v>25.595360511680205</v>
      </c>
      <c r="AA206" s="13">
        <f t="shared" si="28"/>
        <v>32.436344933107939</v>
      </c>
      <c r="AC206" s="103"/>
      <c r="AD206" s="103"/>
      <c r="AE206" s="339">
        <f t="shared" si="29"/>
        <v>0.37716680154776672</v>
      </c>
      <c r="AF206">
        <f t="shared" si="30"/>
        <v>1.528</v>
      </c>
      <c r="AG206">
        <f t="shared" si="31"/>
        <v>0.15280000000000002</v>
      </c>
      <c r="AH206">
        <f t="shared" si="32"/>
        <v>13.140800000000002</v>
      </c>
    </row>
    <row r="207" spans="1:34" x14ac:dyDescent="0.45">
      <c r="A207" s="1">
        <v>10.1</v>
      </c>
      <c r="B207" s="1">
        <v>65</v>
      </c>
      <c r="C207" s="1">
        <v>66</v>
      </c>
      <c r="D207" s="76">
        <v>5</v>
      </c>
      <c r="E207" s="126">
        <f t="shared" si="10"/>
        <v>235.45575000000002</v>
      </c>
      <c r="F207" s="216">
        <v>0.4</v>
      </c>
      <c r="G207" s="215">
        <f t="shared" si="11"/>
        <v>1.162102355330306</v>
      </c>
      <c r="H207" s="217">
        <f t="shared" si="12"/>
        <v>0.38105117766515306</v>
      </c>
      <c r="I207" s="215">
        <f t="shared" si="13"/>
        <v>0.34641016151377546</v>
      </c>
      <c r="J207" s="93">
        <f t="shared" si="8"/>
        <v>1.3333333333333333E-3</v>
      </c>
      <c r="K207" s="1">
        <f t="shared" si="14"/>
        <v>263.04000000000002</v>
      </c>
      <c r="L207" s="94">
        <f t="shared" si="34"/>
        <v>262.52928215566817</v>
      </c>
      <c r="M207" s="327">
        <f t="shared" si="33"/>
        <v>262.52261548900151</v>
      </c>
      <c r="N207" s="94">
        <f t="shared" si="15"/>
        <v>262.90366666666665</v>
      </c>
      <c r="O207" s="1">
        <f t="shared" si="16"/>
        <v>263.04000000000002</v>
      </c>
      <c r="P207" s="332">
        <f t="shared" si="17"/>
        <v>0.1363333333333685</v>
      </c>
      <c r="Q207" s="332">
        <f t="shared" si="18"/>
        <v>1.434769021997043</v>
      </c>
      <c r="R207" s="1" t="str">
        <f t="shared" si="19"/>
        <v>OK</v>
      </c>
      <c r="S207" s="13">
        <f t="shared" si="20"/>
        <v>371.01174535977839</v>
      </c>
      <c r="T207" s="192">
        <f t="shared" si="21"/>
        <v>0.57571749834004204</v>
      </c>
      <c r="U207" s="13">
        <f t="shared" si="22"/>
        <v>0.5107178443318503</v>
      </c>
      <c r="V207" s="13">
        <f t="shared" si="23"/>
        <v>0.5173845109985109</v>
      </c>
      <c r="W207" s="13">
        <f t="shared" si="24"/>
        <v>1.4881023553303063</v>
      </c>
      <c r="X207" s="13">
        <f t="shared" si="25"/>
        <v>1.4214356886637005</v>
      </c>
      <c r="Y207" s="13">
        <f t="shared" si="26"/>
        <v>1.4281023553303611</v>
      </c>
      <c r="Z207" s="13">
        <f t="shared" si="27"/>
        <v>2.3255992712585609</v>
      </c>
      <c r="AA207" s="13">
        <f t="shared" si="28"/>
        <v>2.349345421625157</v>
      </c>
      <c r="AC207" s="103"/>
      <c r="AD207" s="103"/>
      <c r="AE207" s="339">
        <f t="shared" si="29"/>
        <v>0.46986908432503138</v>
      </c>
      <c r="AF207">
        <f t="shared" si="30"/>
        <v>1.528</v>
      </c>
      <c r="AG207">
        <f t="shared" si="31"/>
        <v>0.15280000000000002</v>
      </c>
      <c r="AH207">
        <f t="shared" si="32"/>
        <v>0.76400000000000012</v>
      </c>
    </row>
    <row r="208" spans="1:34" hidden="1" x14ac:dyDescent="0.45">
      <c r="A208" s="1">
        <v>10.199999999999999</v>
      </c>
      <c r="B208" s="1">
        <v>62</v>
      </c>
      <c r="C208" s="1">
        <v>63</v>
      </c>
      <c r="D208" s="76">
        <v>39</v>
      </c>
      <c r="E208" s="126">
        <f t="shared" si="10"/>
        <v>98.76124999999999</v>
      </c>
      <c r="F208" s="216">
        <v>0.3</v>
      </c>
      <c r="G208" s="215">
        <f t="shared" si="11"/>
        <v>0.87157676649772942</v>
      </c>
      <c r="H208" s="217">
        <f t="shared" si="12"/>
        <v>0.28578838324886474</v>
      </c>
      <c r="I208" s="215">
        <f t="shared" si="13"/>
        <v>0.25980762113533157</v>
      </c>
      <c r="J208" s="93">
        <f t="shared" si="8"/>
        <v>1.3333333333333333E-3</v>
      </c>
      <c r="K208" s="1">
        <f t="shared" si="14"/>
        <v>263.04000000000002</v>
      </c>
      <c r="L208" s="94">
        <f>K208-H208</f>
        <v>262.75421161675115</v>
      </c>
      <c r="M208" s="327">
        <f t="shared" si="33"/>
        <v>262.70221161675113</v>
      </c>
      <c r="N208" s="94">
        <f t="shared" si="15"/>
        <v>262.988</v>
      </c>
      <c r="O208" s="1">
        <f t="shared" si="16"/>
        <v>263.04000000000002</v>
      </c>
      <c r="P208" s="332">
        <f t="shared" si="17"/>
        <v>5.2000000000020918E-2</v>
      </c>
      <c r="Q208" s="332">
        <f t="shared" si="18"/>
        <v>0.97557676649777125</v>
      </c>
      <c r="R208" s="1" t="str">
        <f t="shared" si="19"/>
        <v>OK</v>
      </c>
      <c r="S208" s="13">
        <f t="shared" si="20"/>
        <v>172.27318945266666</v>
      </c>
      <c r="T208" s="192">
        <f t="shared" si="21"/>
        <v>0.7443399051011067</v>
      </c>
      <c r="U208" s="13">
        <f t="shared" si="22"/>
        <v>0.28578838324887101</v>
      </c>
      <c r="V208" s="13">
        <f t="shared" si="23"/>
        <v>0.33778838324889193</v>
      </c>
      <c r="W208" s="13">
        <f t="shared" si="24"/>
        <v>6.5290490840117172</v>
      </c>
      <c r="X208" s="13">
        <f t="shared" si="25"/>
        <v>0.87157676649774207</v>
      </c>
      <c r="Y208" s="13">
        <f t="shared" si="26"/>
        <v>0.92357676649776299</v>
      </c>
      <c r="Z208" s="13">
        <f t="shared" si="27"/>
        <v>6.5290490840119304</v>
      </c>
      <c r="AA208" s="13">
        <f t="shared" si="28"/>
        <v>7.4391919252410172</v>
      </c>
      <c r="AC208" s="103"/>
      <c r="AD208" s="103"/>
      <c r="AE208" s="339">
        <f t="shared" si="29"/>
        <v>0.19074851090361583</v>
      </c>
      <c r="AF208">
        <f t="shared" si="30"/>
        <v>1.1459999999999999</v>
      </c>
      <c r="AG208">
        <f t="shared" si="31"/>
        <v>0.11459999999999999</v>
      </c>
      <c r="AH208">
        <f t="shared" si="32"/>
        <v>4.4693999999999994</v>
      </c>
    </row>
    <row r="209" spans="1:34" hidden="1" x14ac:dyDescent="0.45">
      <c r="A209" s="1">
        <v>10.199999999999999</v>
      </c>
      <c r="B209" s="1">
        <v>63</v>
      </c>
      <c r="C209" s="1">
        <v>66</v>
      </c>
      <c r="D209" s="76">
        <v>5</v>
      </c>
      <c r="E209" s="126">
        <f t="shared" si="10"/>
        <v>98.76124999999999</v>
      </c>
      <c r="F209" s="216">
        <v>0.3</v>
      </c>
      <c r="G209" s="215">
        <f t="shared" si="11"/>
        <v>0.87157676649772942</v>
      </c>
      <c r="H209" s="217">
        <f t="shared" si="12"/>
        <v>0.28578838324886474</v>
      </c>
      <c r="I209" s="215">
        <f t="shared" si="13"/>
        <v>0.25980762113533157</v>
      </c>
      <c r="J209" s="93">
        <f t="shared" si="8"/>
        <v>1.3333333333333333E-3</v>
      </c>
      <c r="K209" s="1">
        <f t="shared" si="14"/>
        <v>263.04000000000002</v>
      </c>
      <c r="L209" s="94">
        <f t="shared" si="34"/>
        <v>262.70221161675113</v>
      </c>
      <c r="M209" s="328">
        <f t="shared" si="33"/>
        <v>262.69554495008447</v>
      </c>
      <c r="N209" s="94">
        <f t="shared" si="15"/>
        <v>262.98133333333334</v>
      </c>
      <c r="O209" s="1">
        <f t="shared" si="16"/>
        <v>263.04000000000002</v>
      </c>
      <c r="P209" s="332">
        <f t="shared" si="17"/>
        <v>5.8666666666681522E-2</v>
      </c>
      <c r="Q209" s="332">
        <f t="shared" si="18"/>
        <v>0.98891009983109246</v>
      </c>
      <c r="R209" s="1" t="str">
        <f t="shared" si="19"/>
        <v>OK</v>
      </c>
      <c r="S209" s="13">
        <f t="shared" si="20"/>
        <v>172.27318945266666</v>
      </c>
      <c r="T209" s="192">
        <f t="shared" si="21"/>
        <v>0.7443399051011067</v>
      </c>
      <c r="U209" s="13">
        <f t="shared" si="22"/>
        <v>0.33778838324889193</v>
      </c>
      <c r="V209" s="13">
        <f t="shared" si="23"/>
        <v>0.34445504991555254</v>
      </c>
      <c r="W209" s="13">
        <f t="shared" si="24"/>
        <v>0.83705757487329713</v>
      </c>
      <c r="X209" s="13">
        <f t="shared" si="25"/>
        <v>0.97557676649778391</v>
      </c>
      <c r="Y209" s="13">
        <f t="shared" si="26"/>
        <v>0.98224343316444451</v>
      </c>
      <c r="Z209" s="13">
        <f t="shared" si="27"/>
        <v>1.0771875341628392</v>
      </c>
      <c r="AA209" s="13">
        <f t="shared" si="28"/>
        <v>1.093502702493343</v>
      </c>
      <c r="AC209" s="103"/>
      <c r="AD209" s="103"/>
      <c r="AE209" s="339">
        <f t="shared" si="29"/>
        <v>0.21870054049866861</v>
      </c>
      <c r="AF209">
        <f t="shared" si="30"/>
        <v>1.1459999999999999</v>
      </c>
      <c r="AG209">
        <f t="shared" si="31"/>
        <v>0.11459999999999999</v>
      </c>
      <c r="AH209">
        <f t="shared" si="32"/>
        <v>0.57299999999999995</v>
      </c>
    </row>
    <row r="210" spans="1:34" hidden="1" x14ac:dyDescent="0.45">
      <c r="A210" s="1">
        <v>10.3</v>
      </c>
      <c r="B210" s="1">
        <v>60</v>
      </c>
      <c r="C210" s="1">
        <v>61</v>
      </c>
      <c r="D210" s="76">
        <v>48</v>
      </c>
      <c r="E210" s="126">
        <f t="shared" si="10"/>
        <v>144.07500000000002</v>
      </c>
      <c r="F210" s="216">
        <v>0.3</v>
      </c>
      <c r="G210" s="215">
        <f t="shared" si="11"/>
        <v>0.87157676649772942</v>
      </c>
      <c r="H210" s="217">
        <f t="shared" si="12"/>
        <v>0.28578838324886474</v>
      </c>
      <c r="I210" s="215">
        <f t="shared" si="13"/>
        <v>0.25980762113533157</v>
      </c>
      <c r="J210" s="93">
        <f t="shared" si="8"/>
        <v>1.3333333333333333E-3</v>
      </c>
      <c r="K210" s="1">
        <f t="shared" si="14"/>
        <v>263.04000000000002</v>
      </c>
      <c r="L210" s="94">
        <f>K210-H210</f>
        <v>262.75421161675115</v>
      </c>
      <c r="M210" s="328">
        <f t="shared" si="33"/>
        <v>262.69021161675113</v>
      </c>
      <c r="N210" s="94">
        <f t="shared" si="15"/>
        <v>262.976</v>
      </c>
      <c r="O210" s="1">
        <f t="shared" si="16"/>
        <v>263.04000000000002</v>
      </c>
      <c r="P210" s="332">
        <f t="shared" si="17"/>
        <v>6.4000000000021373E-2</v>
      </c>
      <c r="Q210" s="332">
        <f t="shared" si="18"/>
        <v>0.99957676649777216</v>
      </c>
      <c r="R210" s="1" t="str">
        <f t="shared" si="19"/>
        <v>OK</v>
      </c>
      <c r="S210" s="13">
        <f t="shared" si="20"/>
        <v>172.27318945266666</v>
      </c>
      <c r="T210" s="192">
        <f t="shared" si="21"/>
        <v>0.19571882320087897</v>
      </c>
      <c r="U210" s="13">
        <f t="shared" si="22"/>
        <v>0.28578838324887101</v>
      </c>
      <c r="V210" s="13">
        <f t="shared" si="23"/>
        <v>0.34978838324889239</v>
      </c>
      <c r="W210" s="13">
        <f t="shared" si="24"/>
        <v>8.0357527187836517</v>
      </c>
      <c r="X210" s="13">
        <f t="shared" si="25"/>
        <v>0.87157676649774207</v>
      </c>
      <c r="Y210" s="13">
        <f t="shared" si="26"/>
        <v>0.93557676649776345</v>
      </c>
      <c r="Z210" s="13">
        <f t="shared" si="27"/>
        <v>8.0357527187839146</v>
      </c>
      <c r="AA210" s="13">
        <f t="shared" si="28"/>
        <v>9.4236466321249246</v>
      </c>
      <c r="AC210" s="103"/>
      <c r="AD210" s="103"/>
      <c r="AE210" s="339">
        <f t="shared" si="29"/>
        <v>0.19632597150260259</v>
      </c>
      <c r="AF210">
        <f t="shared" si="30"/>
        <v>1.1459999999999999</v>
      </c>
      <c r="AG210">
        <f t="shared" si="31"/>
        <v>0.11459999999999999</v>
      </c>
      <c r="AH210">
        <f t="shared" si="32"/>
        <v>5.5007999999999999</v>
      </c>
    </row>
    <row r="211" spans="1:34" hidden="1" x14ac:dyDescent="0.45">
      <c r="A211" s="1">
        <v>10.4</v>
      </c>
      <c r="B211" s="1">
        <v>59</v>
      </c>
      <c r="C211" s="1">
        <v>61</v>
      </c>
      <c r="D211" s="76">
        <v>52</v>
      </c>
      <c r="E211" s="126">
        <f t="shared" si="10"/>
        <v>146.00075000000001</v>
      </c>
      <c r="F211" s="216">
        <v>0.3</v>
      </c>
      <c r="G211" s="215">
        <f t="shared" si="11"/>
        <v>0.87157676649772942</v>
      </c>
      <c r="H211" s="217">
        <f t="shared" si="12"/>
        <v>0.28578838324886474</v>
      </c>
      <c r="I211" s="215">
        <f t="shared" si="13"/>
        <v>0.25980762113533157</v>
      </c>
      <c r="J211" s="93">
        <f t="shared" si="8"/>
        <v>1.3333333333333333E-3</v>
      </c>
      <c r="K211" s="1">
        <f t="shared" si="14"/>
        <v>263.04000000000002</v>
      </c>
      <c r="L211" s="94">
        <f>K211-H211</f>
        <v>262.75421161675115</v>
      </c>
      <c r="M211" s="327">
        <f t="shared" si="33"/>
        <v>262.68487828341779</v>
      </c>
      <c r="N211" s="94">
        <f t="shared" si="15"/>
        <v>262.97066666666666</v>
      </c>
      <c r="O211" s="1">
        <f t="shared" si="16"/>
        <v>263.04000000000002</v>
      </c>
      <c r="P211" s="332">
        <f t="shared" si="17"/>
        <v>6.9333333333361225E-2</v>
      </c>
      <c r="Q211" s="332">
        <f t="shared" si="18"/>
        <v>1.0102434331644519</v>
      </c>
      <c r="R211" s="1" t="str">
        <f t="shared" si="19"/>
        <v>OK</v>
      </c>
      <c r="S211" s="13">
        <f t="shared" si="20"/>
        <v>172.27318945266666</v>
      </c>
      <c r="T211" s="192">
        <f t="shared" si="21"/>
        <v>0.17994729104245452</v>
      </c>
      <c r="U211" s="13">
        <f t="shared" si="22"/>
        <v>0.28578838324887101</v>
      </c>
      <c r="V211" s="13">
        <f t="shared" si="23"/>
        <v>0.35512171658223224</v>
      </c>
      <c r="W211" s="13">
        <f t="shared" si="24"/>
        <v>8.7053987786822891</v>
      </c>
      <c r="X211" s="13">
        <f t="shared" si="25"/>
        <v>0.87157676649774207</v>
      </c>
      <c r="Y211" s="13">
        <f t="shared" si="26"/>
        <v>0.9409100998311033</v>
      </c>
      <c r="Z211" s="13">
        <f t="shared" si="27"/>
        <v>8.7053987786825751</v>
      </c>
      <c r="AA211" s="13">
        <f t="shared" si="28"/>
        <v>10.339053607534296</v>
      </c>
      <c r="AC211" s="103"/>
      <c r="AD211" s="103"/>
      <c r="AE211" s="339">
        <f t="shared" si="29"/>
        <v>0.19882795399104417</v>
      </c>
      <c r="AF211">
        <f t="shared" si="30"/>
        <v>1.1459999999999999</v>
      </c>
      <c r="AG211">
        <f t="shared" si="31"/>
        <v>0.11459999999999999</v>
      </c>
      <c r="AH211">
        <f t="shared" si="32"/>
        <v>5.9592000000000001</v>
      </c>
    </row>
    <row r="212" spans="1:34" x14ac:dyDescent="0.45">
      <c r="A212" s="1">
        <v>10.5</v>
      </c>
      <c r="B212" s="1">
        <v>68</v>
      </c>
      <c r="C212" s="1">
        <v>69</v>
      </c>
      <c r="D212" s="76">
        <v>86</v>
      </c>
      <c r="E212" s="126">
        <f t="shared" si="10"/>
        <v>180.14974999999998</v>
      </c>
      <c r="F212" s="216">
        <v>0.4</v>
      </c>
      <c r="G212" s="215">
        <f t="shared" si="11"/>
        <v>1.162102355330306</v>
      </c>
      <c r="H212" s="217">
        <f t="shared" si="12"/>
        <v>0.38105117766515306</v>
      </c>
      <c r="I212" s="215">
        <f t="shared" si="13"/>
        <v>0.34641016151377546</v>
      </c>
      <c r="J212" s="93">
        <f t="shared" si="8"/>
        <v>1.3333333333333333E-3</v>
      </c>
      <c r="K212" s="1">
        <f t="shared" si="14"/>
        <v>263.125</v>
      </c>
      <c r="L212" s="94">
        <f>K212-H212</f>
        <v>262.74394882233486</v>
      </c>
      <c r="M212" s="327">
        <f t="shared" si="33"/>
        <v>262.62928215566819</v>
      </c>
      <c r="N212" s="94">
        <f t="shared" si="15"/>
        <v>263.01033333333334</v>
      </c>
      <c r="O212" s="1">
        <f t="shared" si="16"/>
        <v>263.125</v>
      </c>
      <c r="P212" s="332">
        <f t="shared" si="17"/>
        <v>0.1146666666666647</v>
      </c>
      <c r="Q212" s="332">
        <f t="shared" si="18"/>
        <v>1.3914356886636354</v>
      </c>
      <c r="R212" s="1" t="str">
        <f t="shared" si="19"/>
        <v>OK</v>
      </c>
      <c r="S212" s="13">
        <f t="shared" si="20"/>
        <v>371.01174535977839</v>
      </c>
      <c r="T212" s="192">
        <f t="shared" si="21"/>
        <v>1.0594630043049098</v>
      </c>
      <c r="U212" s="13">
        <f t="shared" si="22"/>
        <v>0.3810511776651424</v>
      </c>
      <c r="V212" s="13">
        <f t="shared" si="23"/>
        <v>0.4957178443318071</v>
      </c>
      <c r="W212" s="13">
        <f t="shared" si="24"/>
        <v>25.595360511681267</v>
      </c>
      <c r="X212" s="13">
        <f t="shared" si="25"/>
        <v>1.1621023553302847</v>
      </c>
      <c r="Y212" s="13">
        <f t="shared" si="26"/>
        <v>1.2767690219969494</v>
      </c>
      <c r="Z212" s="13">
        <f t="shared" si="27"/>
        <v>25.595360511680205</v>
      </c>
      <c r="AA212" s="13">
        <f t="shared" si="28"/>
        <v>31.60799141391751</v>
      </c>
      <c r="AC212" s="103"/>
      <c r="AD212" s="103"/>
      <c r="AE212" s="339">
        <f t="shared" si="29"/>
        <v>0.36753478388276173</v>
      </c>
      <c r="AF212">
        <f t="shared" si="30"/>
        <v>1.528</v>
      </c>
      <c r="AG212">
        <f t="shared" si="31"/>
        <v>0.15280000000000002</v>
      </c>
      <c r="AH212">
        <f t="shared" si="32"/>
        <v>13.140800000000002</v>
      </c>
    </row>
    <row r="213" spans="1:34" x14ac:dyDescent="0.45">
      <c r="A213" s="1">
        <v>10.5</v>
      </c>
      <c r="B213" s="1">
        <v>69</v>
      </c>
      <c r="C213" s="1">
        <v>67</v>
      </c>
      <c r="D213" s="76">
        <v>6</v>
      </c>
      <c r="E213" s="126">
        <f t="shared" si="10"/>
        <v>180.14974999999998</v>
      </c>
      <c r="F213" s="216">
        <v>0.4</v>
      </c>
      <c r="G213" s="215">
        <f t="shared" si="11"/>
        <v>1.162102355330306</v>
      </c>
      <c r="H213" s="217">
        <f t="shared" si="12"/>
        <v>0.38105117766515306</v>
      </c>
      <c r="I213" s="215">
        <f t="shared" si="13"/>
        <v>0.34641016151377546</v>
      </c>
      <c r="J213" s="93">
        <f t="shared" si="8"/>
        <v>1.3333333333333333E-3</v>
      </c>
      <c r="K213" s="1">
        <f t="shared" si="14"/>
        <v>263.125</v>
      </c>
      <c r="L213" s="94">
        <f t="shared" si="34"/>
        <v>262.62928215566819</v>
      </c>
      <c r="M213" s="328">
        <f t="shared" si="33"/>
        <v>262.62128215566821</v>
      </c>
      <c r="N213" s="94">
        <f t="shared" si="15"/>
        <v>263.00233333333335</v>
      </c>
      <c r="O213" s="1">
        <f t="shared" si="16"/>
        <v>263.125</v>
      </c>
      <c r="P213" s="332">
        <f t="shared" si="17"/>
        <v>0.12266666666664605</v>
      </c>
      <c r="Q213" s="332">
        <f t="shared" si="18"/>
        <v>1.4074356886635981</v>
      </c>
      <c r="R213" s="1" t="str">
        <f t="shared" si="19"/>
        <v>OK</v>
      </c>
      <c r="S213" s="13">
        <f t="shared" si="20"/>
        <v>371.01174535977839</v>
      </c>
      <c r="T213" s="192">
        <f t="shared" si="21"/>
        <v>1.0594630043049098</v>
      </c>
      <c r="U213" s="13">
        <f t="shared" si="22"/>
        <v>0.4957178443318071</v>
      </c>
      <c r="V213" s="13">
        <f t="shared" si="23"/>
        <v>0.50371784433178846</v>
      </c>
      <c r="W213" s="13">
        <f t="shared" si="24"/>
        <v>1.7857228263963676</v>
      </c>
      <c r="X213" s="13">
        <f t="shared" si="25"/>
        <v>1.3914356886636141</v>
      </c>
      <c r="Y213" s="13">
        <f t="shared" si="26"/>
        <v>1.3994356886635955</v>
      </c>
      <c r="Z213" s="13">
        <f t="shared" si="27"/>
        <v>2.6641399135301791</v>
      </c>
      <c r="AA213" s="13">
        <f t="shared" si="28"/>
        <v>2.697630370058028</v>
      </c>
      <c r="AC213" s="103"/>
      <c r="AD213" s="103"/>
      <c r="AE213" s="339">
        <f t="shared" si="29"/>
        <v>0.44960506167633801</v>
      </c>
      <c r="AF213">
        <f t="shared" si="30"/>
        <v>1.528</v>
      </c>
      <c r="AG213">
        <f t="shared" si="31"/>
        <v>0.15280000000000002</v>
      </c>
      <c r="AH213">
        <f t="shared" si="32"/>
        <v>0.91680000000000006</v>
      </c>
    </row>
    <row r="214" spans="1:34" x14ac:dyDescent="0.45">
      <c r="A214" s="1">
        <v>10.6</v>
      </c>
      <c r="B214" s="1">
        <v>71</v>
      </c>
      <c r="C214" s="1">
        <v>72</v>
      </c>
      <c r="D214" s="76">
        <v>86</v>
      </c>
      <c r="E214" s="126">
        <f t="shared" si="10"/>
        <v>243.40700000000001</v>
      </c>
      <c r="F214" s="216">
        <v>0.4</v>
      </c>
      <c r="G214" s="215">
        <f t="shared" si="11"/>
        <v>1.162102355330306</v>
      </c>
      <c r="H214" s="217">
        <f t="shared" si="12"/>
        <v>0.38105117766515306</v>
      </c>
      <c r="I214" s="215">
        <f t="shared" si="13"/>
        <v>0.34641016151377546</v>
      </c>
      <c r="J214" s="93">
        <f t="shared" si="8"/>
        <v>1.3333333333333333E-3</v>
      </c>
      <c r="K214" s="1">
        <f t="shared" si="14"/>
        <v>262.83999999999997</v>
      </c>
      <c r="L214" s="94">
        <f>K214-H214</f>
        <v>262.45894882233483</v>
      </c>
      <c r="M214" s="327">
        <f t="shared" si="33"/>
        <v>262.34428215566817</v>
      </c>
      <c r="N214" s="94">
        <f t="shared" si="15"/>
        <v>262.72533333333331</v>
      </c>
      <c r="O214" s="1">
        <f t="shared" si="16"/>
        <v>262.83999999999997</v>
      </c>
      <c r="P214" s="332">
        <f t="shared" si="17"/>
        <v>0.1146666666666647</v>
      </c>
      <c r="Q214" s="332">
        <f t="shared" si="18"/>
        <v>1.3914356886636354</v>
      </c>
      <c r="R214" s="1" t="str">
        <f t="shared" si="19"/>
        <v>OK</v>
      </c>
      <c r="S214" s="13">
        <f t="shared" si="20"/>
        <v>371.01174535977839</v>
      </c>
      <c r="T214" s="192">
        <f t="shared" si="21"/>
        <v>0.52424435353041765</v>
      </c>
      <c r="U214" s="13">
        <f t="shared" si="22"/>
        <v>0.3810511776651424</v>
      </c>
      <c r="V214" s="13">
        <f t="shared" si="23"/>
        <v>0.4957178443318071</v>
      </c>
      <c r="W214" s="13">
        <f t="shared" si="24"/>
        <v>25.595360511681267</v>
      </c>
      <c r="X214" s="13">
        <f t="shared" si="25"/>
        <v>1.1621023553302847</v>
      </c>
      <c r="Y214" s="13">
        <f t="shared" si="26"/>
        <v>1.2767690219969494</v>
      </c>
      <c r="Z214" s="13">
        <f t="shared" si="27"/>
        <v>25.595360511680205</v>
      </c>
      <c r="AA214" s="13">
        <f t="shared" si="28"/>
        <v>31.60799141391751</v>
      </c>
      <c r="AC214" s="103"/>
      <c r="AD214" s="103"/>
      <c r="AE214" s="339">
        <f t="shared" si="29"/>
        <v>0.36753478388276173</v>
      </c>
      <c r="AF214">
        <f t="shared" si="30"/>
        <v>1.528</v>
      </c>
      <c r="AG214">
        <f t="shared" si="31"/>
        <v>0.15280000000000002</v>
      </c>
      <c r="AH214">
        <f t="shared" si="32"/>
        <v>13.140800000000002</v>
      </c>
    </row>
    <row r="215" spans="1:34" x14ac:dyDescent="0.45">
      <c r="A215" s="1">
        <v>10.6</v>
      </c>
      <c r="B215" s="1">
        <v>72</v>
      </c>
      <c r="C215" s="1">
        <v>70</v>
      </c>
      <c r="D215" s="76">
        <v>11</v>
      </c>
      <c r="E215" s="126">
        <f t="shared" si="10"/>
        <v>243.40700000000001</v>
      </c>
      <c r="F215" s="216">
        <v>0.4</v>
      </c>
      <c r="G215" s="215">
        <f t="shared" si="11"/>
        <v>1.162102355330306</v>
      </c>
      <c r="H215" s="217">
        <f t="shared" si="12"/>
        <v>0.38105117766515306</v>
      </c>
      <c r="I215" s="215">
        <f t="shared" si="13"/>
        <v>0.34641016151377546</v>
      </c>
      <c r="J215" s="93">
        <f t="shared" si="8"/>
        <v>1.3333333333333333E-3</v>
      </c>
      <c r="K215" s="1">
        <f t="shared" si="14"/>
        <v>262.83999999999997</v>
      </c>
      <c r="L215" s="94">
        <f t="shared" si="34"/>
        <v>262.34428215566817</v>
      </c>
      <c r="M215" s="327">
        <f t="shared" si="33"/>
        <v>262.32961548900153</v>
      </c>
      <c r="N215" s="94">
        <f t="shared" si="15"/>
        <v>262.71066666666667</v>
      </c>
      <c r="O215" s="1">
        <f t="shared" si="16"/>
        <v>263.125</v>
      </c>
      <c r="P215" s="332">
        <f t="shared" si="17"/>
        <v>0.41433333333333167</v>
      </c>
      <c r="Q215" s="332">
        <f t="shared" si="18"/>
        <v>1.9907690219969694</v>
      </c>
      <c r="R215" s="1" t="str">
        <f t="shared" si="19"/>
        <v>OK</v>
      </c>
      <c r="S215" s="13">
        <f t="shared" si="20"/>
        <v>371.01174535977839</v>
      </c>
      <c r="T215" s="192">
        <f t="shared" si="21"/>
        <v>0.52424435353041765</v>
      </c>
      <c r="U215" s="13">
        <f t="shared" si="22"/>
        <v>0.4957178443318071</v>
      </c>
      <c r="V215" s="13">
        <f t="shared" si="23"/>
        <v>0.79538451099847407</v>
      </c>
      <c r="W215" s="13">
        <f t="shared" si="24"/>
        <v>3.2738251817266741</v>
      </c>
      <c r="X215" s="13">
        <f t="shared" si="25"/>
        <v>1.3914356886636141</v>
      </c>
      <c r="Y215" s="13">
        <f t="shared" si="26"/>
        <v>1.6911023553302811</v>
      </c>
      <c r="Z215" s="13">
        <f t="shared" si="27"/>
        <v>4.8842565081386624</v>
      </c>
      <c r="AA215" s="13">
        <f t="shared" si="28"/>
        <v>7.4245247345599674</v>
      </c>
      <c r="AC215" s="103"/>
      <c r="AD215" s="103"/>
      <c r="AE215" s="339">
        <f t="shared" si="29"/>
        <v>0.67495679405090614</v>
      </c>
      <c r="AF215">
        <f t="shared" si="30"/>
        <v>1.528</v>
      </c>
      <c r="AG215">
        <f t="shared" si="31"/>
        <v>0.15280000000000002</v>
      </c>
      <c r="AH215">
        <f t="shared" si="32"/>
        <v>1.6808000000000003</v>
      </c>
    </row>
    <row r="216" spans="1:34" x14ac:dyDescent="0.45">
      <c r="A216" s="1">
        <v>10</v>
      </c>
      <c r="B216" s="1">
        <v>61</v>
      </c>
      <c r="C216" s="1">
        <v>66</v>
      </c>
      <c r="D216" s="76">
        <v>11</v>
      </c>
      <c r="E216" s="126">
        <f t="shared" si="10"/>
        <v>290.07575000000003</v>
      </c>
      <c r="F216" s="216">
        <v>0.4</v>
      </c>
      <c r="G216" s="215">
        <f t="shared" si="11"/>
        <v>1.162102355330306</v>
      </c>
      <c r="H216" s="217">
        <f t="shared" si="12"/>
        <v>0.38105117766515306</v>
      </c>
      <c r="I216" s="215">
        <f t="shared" si="13"/>
        <v>0.34641016151377546</v>
      </c>
      <c r="J216" s="93">
        <f t="shared" si="8"/>
        <v>1.3333333333333333E-3</v>
      </c>
      <c r="K216" s="1">
        <f t="shared" si="14"/>
        <v>263.04000000000002</v>
      </c>
      <c r="L216" s="329">
        <f>_xlfn.MINIFS($M$155:$M$239,$C$155:$C$239,B216)-0.012</f>
        <v>262.67287828341779</v>
      </c>
      <c r="M216" s="328">
        <f t="shared" si="33"/>
        <v>262.65821161675115</v>
      </c>
      <c r="N216" s="94">
        <f t="shared" si="15"/>
        <v>263.03926279441629</v>
      </c>
      <c r="O216" s="1">
        <f t="shared" si="16"/>
        <v>263.04000000000002</v>
      </c>
      <c r="P216" s="332">
        <f t="shared" si="17"/>
        <v>7.3720558373224776E-4</v>
      </c>
      <c r="Q216" s="332">
        <f t="shared" si="18"/>
        <v>1.1635767664977705</v>
      </c>
      <c r="R216" s="1" t="str">
        <f t="shared" si="19"/>
        <v>OK</v>
      </c>
      <c r="S216" s="13">
        <f t="shared" si="20"/>
        <v>371.01174535977839</v>
      </c>
      <c r="T216" s="192">
        <f t="shared" si="21"/>
        <v>0.27901675807018805</v>
      </c>
      <c r="U216" s="13">
        <f t="shared" si="22"/>
        <v>0.36712171658223269</v>
      </c>
      <c r="V216" s="13">
        <f t="shared" si="23"/>
        <v>0.38178838324887465</v>
      </c>
      <c r="W216" s="13">
        <f t="shared" si="24"/>
        <v>3.2738251817266741</v>
      </c>
      <c r="X216" s="13">
        <f t="shared" si="25"/>
        <v>1.1342434331644653</v>
      </c>
      <c r="Y216" s="13">
        <f t="shared" si="26"/>
        <v>1.1489100998311073</v>
      </c>
      <c r="Z216" s="13">
        <f t="shared" si="27"/>
        <v>3.0978974556109611</v>
      </c>
      <c r="AA216" s="13">
        <f t="shared" si="28"/>
        <v>3.1899846481082936</v>
      </c>
      <c r="AC216" s="103"/>
      <c r="AD216" s="103"/>
      <c r="AE216" s="339">
        <f t="shared" si="29"/>
        <v>0.28999860437348124</v>
      </c>
      <c r="AF216">
        <f t="shared" si="30"/>
        <v>1.528</v>
      </c>
      <c r="AG216">
        <f t="shared" si="31"/>
        <v>0.15280000000000002</v>
      </c>
      <c r="AH216">
        <f t="shared" si="32"/>
        <v>1.6808000000000003</v>
      </c>
    </row>
    <row r="217" spans="1:34" hidden="1" x14ac:dyDescent="0.45">
      <c r="A217" s="1">
        <v>10</v>
      </c>
      <c r="B217" s="1">
        <v>66</v>
      </c>
      <c r="C217" s="1">
        <v>67</v>
      </c>
      <c r="D217" s="76">
        <v>82</v>
      </c>
      <c r="E217" s="126">
        <f t="shared" si="10"/>
        <v>645.74275000000011</v>
      </c>
      <c r="F217" s="216">
        <v>0.6</v>
      </c>
      <c r="G217" s="215">
        <f t="shared" si="11"/>
        <v>1.7431535329954588</v>
      </c>
      <c r="H217" s="217">
        <f t="shared" si="12"/>
        <v>0.57157676649772948</v>
      </c>
      <c r="I217" s="215">
        <f t="shared" si="13"/>
        <v>0.51961524227066314</v>
      </c>
      <c r="J217" s="93">
        <f t="shared" si="8"/>
        <v>1.3333333333333333E-3</v>
      </c>
      <c r="K217" s="1">
        <f t="shared" si="14"/>
        <v>263.04000000000002</v>
      </c>
      <c r="L217" s="94">
        <f t="shared" si="34"/>
        <v>262.52261548900151</v>
      </c>
      <c r="M217" s="327">
        <f t="shared" si="33"/>
        <v>262.41328215566818</v>
      </c>
      <c r="N217" s="94">
        <f t="shared" si="15"/>
        <v>262.98485892216593</v>
      </c>
      <c r="O217" s="1">
        <f t="shared" si="16"/>
        <v>263.125</v>
      </c>
      <c r="P217" s="332">
        <f t="shared" si="17"/>
        <v>0.14014107783407326</v>
      </c>
      <c r="Q217" s="332">
        <f t="shared" si="18"/>
        <v>2.0234356886636053</v>
      </c>
      <c r="R217" s="1" t="str">
        <f t="shared" si="19"/>
        <v>OK</v>
      </c>
      <c r="S217" s="13">
        <f t="shared" si="20"/>
        <v>1093.8665686523198</v>
      </c>
      <c r="T217" s="192">
        <f t="shared" si="21"/>
        <v>0.6939664729527657</v>
      </c>
      <c r="U217" s="13">
        <f t="shared" si="22"/>
        <v>0.5173845109985109</v>
      </c>
      <c r="V217" s="13">
        <f t="shared" si="23"/>
        <v>0.71171784433181529</v>
      </c>
      <c r="W217" s="13">
        <f t="shared" si="24"/>
        <v>54.910976911688287</v>
      </c>
      <c r="X217" s="13">
        <f t="shared" si="25"/>
        <v>1.6347690219970219</v>
      </c>
      <c r="Y217" s="13">
        <f t="shared" si="26"/>
        <v>1.8291023553303263</v>
      </c>
      <c r="Z217" s="13">
        <f t="shared" si="27"/>
        <v>47.405629983262529</v>
      </c>
      <c r="AA217" s="13">
        <f t="shared" si="28"/>
        <v>61.205116238636414</v>
      </c>
      <c r="AC217" s="103"/>
      <c r="AD217" s="103"/>
      <c r="AE217" s="339">
        <f t="shared" si="29"/>
        <v>0.74640385656873676</v>
      </c>
      <c r="AF217">
        <f t="shared" si="30"/>
        <v>2.2919999999999998</v>
      </c>
      <c r="AG217">
        <f t="shared" si="31"/>
        <v>0.22919999999999999</v>
      </c>
      <c r="AH217">
        <f t="shared" si="32"/>
        <v>18.7944</v>
      </c>
    </row>
    <row r="218" spans="1:34" hidden="1" x14ac:dyDescent="0.45">
      <c r="A218" s="1">
        <v>10</v>
      </c>
      <c r="B218" s="1">
        <v>67</v>
      </c>
      <c r="C218" s="1">
        <v>70</v>
      </c>
      <c r="D218" s="76">
        <v>10</v>
      </c>
      <c r="E218" s="126">
        <f t="shared" si="10"/>
        <v>875.72725000000014</v>
      </c>
      <c r="F218" s="216">
        <v>0.6</v>
      </c>
      <c r="G218" s="215">
        <f t="shared" si="11"/>
        <v>1.7431535329954588</v>
      </c>
      <c r="H218" s="217">
        <f t="shared" si="12"/>
        <v>0.57157676649772948</v>
      </c>
      <c r="I218" s="215">
        <f t="shared" si="13"/>
        <v>0.51961524227066314</v>
      </c>
      <c r="J218" s="93">
        <f t="shared" si="8"/>
        <v>1.3333333333333333E-3</v>
      </c>
      <c r="K218" s="1">
        <f t="shared" si="14"/>
        <v>263.125</v>
      </c>
      <c r="L218" s="94">
        <f t="shared" si="34"/>
        <v>262.41328215566818</v>
      </c>
      <c r="M218" s="328">
        <f t="shared" si="33"/>
        <v>262.39994882233486</v>
      </c>
      <c r="N218" s="94">
        <f t="shared" si="15"/>
        <v>262.97152558883261</v>
      </c>
      <c r="O218" s="1">
        <f t="shared" si="16"/>
        <v>263.125</v>
      </c>
      <c r="P218" s="332">
        <f t="shared" si="17"/>
        <v>0.15347441116739446</v>
      </c>
      <c r="Q218" s="332">
        <f t="shared" si="18"/>
        <v>2.0501023553302478</v>
      </c>
      <c r="R218" s="1" t="str">
        <f t="shared" si="19"/>
        <v>OK</v>
      </c>
      <c r="S218" s="13">
        <f t="shared" si="20"/>
        <v>1093.8665686523198</v>
      </c>
      <c r="T218" s="192">
        <f t="shared" si="21"/>
        <v>0.24909504489248174</v>
      </c>
      <c r="U218" s="13">
        <f t="shared" si="22"/>
        <v>0.71171784433181529</v>
      </c>
      <c r="V218" s="13">
        <f t="shared" si="23"/>
        <v>0.72505117766513649</v>
      </c>
      <c r="W218" s="13">
        <f t="shared" si="24"/>
        <v>6.696460598986377</v>
      </c>
      <c r="X218" s="13">
        <f t="shared" si="25"/>
        <v>2.0234356886636307</v>
      </c>
      <c r="Y218" s="13">
        <f t="shared" si="26"/>
        <v>2.0367690219969519</v>
      </c>
      <c r="Z218" s="13">
        <f t="shared" si="27"/>
        <v>9.335729965394151</v>
      </c>
      <c r="AA218" s="13">
        <f t="shared" si="28"/>
        <v>9.4710701224160481</v>
      </c>
      <c r="AC218" s="103"/>
      <c r="AD218" s="103"/>
      <c r="AE218" s="339">
        <f t="shared" si="29"/>
        <v>0.94710701224160476</v>
      </c>
      <c r="AF218">
        <f t="shared" si="30"/>
        <v>2.2919999999999998</v>
      </c>
      <c r="AG218">
        <f t="shared" si="31"/>
        <v>0.22919999999999999</v>
      </c>
      <c r="AH218">
        <f t="shared" si="32"/>
        <v>2.2919999999999998</v>
      </c>
    </row>
    <row r="219" spans="1:34" hidden="1" x14ac:dyDescent="0.45">
      <c r="A219" s="1">
        <v>10</v>
      </c>
      <c r="B219" s="1">
        <v>70</v>
      </c>
      <c r="C219" s="1" t="s">
        <v>1060</v>
      </c>
      <c r="D219" s="76">
        <v>10</v>
      </c>
      <c r="E219" s="126">
        <f t="shared" si="10"/>
        <v>1119.1342500000001</v>
      </c>
      <c r="F219" s="216">
        <v>0.7</v>
      </c>
      <c r="G219" s="215">
        <f t="shared" si="11"/>
        <v>2.0336791218280355</v>
      </c>
      <c r="H219" s="217">
        <f t="shared" si="12"/>
        <v>0.66683956091401775</v>
      </c>
      <c r="I219" s="215">
        <f t="shared" si="13"/>
        <v>0.60621778264910697</v>
      </c>
      <c r="J219" s="93">
        <f t="shared" si="8"/>
        <v>1.3333333333333333E-3</v>
      </c>
      <c r="K219" s="1">
        <f t="shared" si="14"/>
        <v>263.125</v>
      </c>
      <c r="L219" s="94">
        <f t="shared" si="34"/>
        <v>262.32961548900153</v>
      </c>
      <c r="M219" s="327">
        <f t="shared" si="33"/>
        <v>262.3162821556682</v>
      </c>
      <c r="N219" s="94">
        <f t="shared" si="15"/>
        <v>262.98312171658222</v>
      </c>
      <c r="O219" s="1">
        <f t="shared" si="16"/>
        <v>263.125</v>
      </c>
      <c r="P219" s="332">
        <f t="shared" si="17"/>
        <v>0.14187828341778186</v>
      </c>
      <c r="Q219" s="332">
        <f t="shared" si="18"/>
        <v>2.3174356886635992</v>
      </c>
      <c r="R219" s="1" t="str">
        <f t="shared" si="19"/>
        <v>OK</v>
      </c>
      <c r="S219" s="13">
        <f t="shared" si="20"/>
        <v>1650.0196709076884</v>
      </c>
      <c r="T219" s="192">
        <f t="shared" si="21"/>
        <v>0.47437152504955349</v>
      </c>
      <c r="U219" s="13">
        <f t="shared" si="22"/>
        <v>0.79538451099847407</v>
      </c>
      <c r="V219" s="13">
        <f t="shared" si="23"/>
        <v>0.80871784433179528</v>
      </c>
      <c r="W219" s="13">
        <f t="shared" si="24"/>
        <v>9.1146269263981239</v>
      </c>
      <c r="X219" s="13">
        <f t="shared" si="25"/>
        <v>2.2907690219969483</v>
      </c>
      <c r="Y219" s="13">
        <f t="shared" si="26"/>
        <v>2.3041023553302695</v>
      </c>
      <c r="Z219" s="13">
        <f t="shared" si="27"/>
        <v>11.894056780352136</v>
      </c>
      <c r="AA219" s="13">
        <f t="shared" si="28"/>
        <v>12.047219159596237</v>
      </c>
      <c r="AC219" s="103"/>
      <c r="AD219" s="103"/>
      <c r="AE219" s="339">
        <f t="shared" si="29"/>
        <v>1.2047219159596236</v>
      </c>
      <c r="AF219">
        <f t="shared" si="30"/>
        <v>2.6739999999999999</v>
      </c>
      <c r="AG219">
        <f t="shared" si="31"/>
        <v>0.26740000000000003</v>
      </c>
      <c r="AH219">
        <f t="shared" si="32"/>
        <v>2.6740000000000004</v>
      </c>
    </row>
    <row r="220" spans="1:34" hidden="1" x14ac:dyDescent="0.45">
      <c r="A220" s="1">
        <v>11.1</v>
      </c>
      <c r="B220" s="1">
        <v>28</v>
      </c>
      <c r="C220" s="1">
        <v>30</v>
      </c>
      <c r="D220" s="76">
        <v>64</v>
      </c>
      <c r="E220" s="126">
        <f t="shared" ref="E220:E244" si="35">SUMIFS($G$44:$G$148,$H$44:$H$148,B220)+SUMIFS($E$155:$E$244,$C$155:$C$244,B220)</f>
        <v>165</v>
      </c>
      <c r="F220" s="216">
        <v>0.3</v>
      </c>
      <c r="G220" s="215">
        <f t="shared" ref="G220:G244" si="36">F220+2*H220</f>
        <v>0.87157676649772942</v>
      </c>
      <c r="H220" s="217">
        <f t="shared" ref="H220:H244" si="37">2*F220/4*(3)^(0.5)*1.1</f>
        <v>0.28578838324886474</v>
      </c>
      <c r="I220" s="215">
        <f t="shared" ref="I220:I244" si="38">H220/1.1</f>
        <v>0.25980762113533157</v>
      </c>
      <c r="J220" s="93">
        <f t="shared" ref="J220:J244" si="39">1/750</f>
        <v>1.3333333333333333E-3</v>
      </c>
      <c r="K220" s="1">
        <f t="shared" ref="K220:K244" si="40">VLOOKUP(B220,$A$266:$B$368,2,FALSE)</f>
        <v>263.22500000000002</v>
      </c>
      <c r="L220" s="94">
        <f>K220-H220</f>
        <v>262.93921161675115</v>
      </c>
      <c r="M220" s="328">
        <f t="shared" ref="M220:M244" si="41">L220-D220*J220</f>
        <v>262.85387828341783</v>
      </c>
      <c r="N220" s="94">
        <f t="shared" ref="N220:N244" si="42">M220+H220</f>
        <v>263.1396666666667</v>
      </c>
      <c r="O220" s="1">
        <f t="shared" ref="O220:O244" si="43">VLOOKUP(C220,$A$267:$B$368,2,FALSE)</f>
        <v>263.22500000000002</v>
      </c>
      <c r="P220" s="332">
        <f t="shared" ref="P220:P244" si="44">O220-N220</f>
        <v>8.5333333333323935E-2</v>
      </c>
      <c r="Q220" s="332">
        <f t="shared" ref="Q220:Q244" si="45">G220+P220*2</f>
        <v>1.0422434331643773</v>
      </c>
      <c r="R220" s="1" t="str">
        <f t="shared" ref="R220:R244" si="46">IF(N220&lt;O220,"OK","Filling Required")</f>
        <v>OK</v>
      </c>
      <c r="S220" s="13">
        <f t="shared" ref="S220:S244" si="47">1/0.03*3600*(J220^(0.5))*(((F220*H220/1.1)+((H220/1.1)^2))^(5/3))*((F220+((2^(3/2))*H220/1.1))^(-2/3))</f>
        <v>172.27318945266666</v>
      </c>
      <c r="T220" s="192">
        <f t="shared" ref="T220:T244" si="48">(S220-E220)/E220</f>
        <v>4.4079936076767613E-2</v>
      </c>
      <c r="U220" s="13">
        <f t="shared" ref="U220:U244" si="49">K220-L220</f>
        <v>0.28578838324887101</v>
      </c>
      <c r="V220" s="13">
        <f t="shared" ref="V220:V244" si="50">-M220+O220</f>
        <v>0.37112171658219495</v>
      </c>
      <c r="W220" s="13">
        <f t="shared" ref="W220:W244" si="51">((F220*H220)+(H220^2))*D220</f>
        <v>10.714336958378203</v>
      </c>
      <c r="X220" s="13">
        <f t="shared" ref="X220:X244" si="52">2*MIN(U220:V220)+F220</f>
        <v>0.87157676649774207</v>
      </c>
      <c r="Y220" s="13">
        <f t="shared" ref="Y220:Y244" si="53">2*AVERAGE(U220:V220)+F220</f>
        <v>0.95691009983106601</v>
      </c>
      <c r="Z220" s="13">
        <f t="shared" ref="Z220:Z244" si="54">(MIN(U220:V220)*F220+MIN(U220:V220)^2)*D220</f>
        <v>10.714336958378553</v>
      </c>
      <c r="AA220" s="13">
        <f t="shared" ref="AA220:AA244" si="55">(AVERAGE(U220:V220)*F220+AVERAGE(U220:V220)^2)*D220</f>
        <v>13.210831026539211</v>
      </c>
      <c r="AC220" s="103"/>
      <c r="AD220" s="103"/>
      <c r="AE220" s="339">
        <f t="shared" ref="AE220:AE244" si="56">AA220/D220</f>
        <v>0.20641923478967517</v>
      </c>
      <c r="AF220">
        <f t="shared" ref="AF220:AF244" si="57">3.82*F220</f>
        <v>1.1459999999999999</v>
      </c>
      <c r="AG220">
        <f t="shared" ref="AG220:AG244" si="58">AF220*0.1</f>
        <v>0.11459999999999999</v>
      </c>
      <c r="AH220">
        <f t="shared" ref="AH220:AH244" si="59">AG220*D220</f>
        <v>7.3343999999999996</v>
      </c>
    </row>
    <row r="221" spans="1:34" hidden="1" x14ac:dyDescent="0.45">
      <c r="A221" s="1">
        <v>11.2</v>
      </c>
      <c r="B221" s="1">
        <v>29</v>
      </c>
      <c r="C221" s="1">
        <v>30</v>
      </c>
      <c r="D221" s="76">
        <v>37</v>
      </c>
      <c r="E221" s="126">
        <f t="shared" si="35"/>
        <v>95.1</v>
      </c>
      <c r="F221" s="216">
        <v>0.3</v>
      </c>
      <c r="G221" s="215">
        <f t="shared" si="36"/>
        <v>0.87157676649772942</v>
      </c>
      <c r="H221" s="217">
        <f t="shared" si="37"/>
        <v>0.28578838324886474</v>
      </c>
      <c r="I221" s="215">
        <f t="shared" si="38"/>
        <v>0.25980762113533157</v>
      </c>
      <c r="J221" s="93">
        <f t="shared" si="39"/>
        <v>1.3333333333333333E-3</v>
      </c>
      <c r="K221" s="1">
        <f t="shared" si="40"/>
        <v>263.04000000000002</v>
      </c>
      <c r="L221" s="94">
        <f>K221-H221</f>
        <v>262.75421161675115</v>
      </c>
      <c r="M221" s="327">
        <f t="shared" si="41"/>
        <v>262.70487828341783</v>
      </c>
      <c r="N221" s="94">
        <f t="shared" si="42"/>
        <v>262.9906666666667</v>
      </c>
      <c r="O221" s="1">
        <f t="shared" si="43"/>
        <v>263.22500000000002</v>
      </c>
      <c r="P221" s="332">
        <f t="shared" si="44"/>
        <v>0.23433333333332484</v>
      </c>
      <c r="Q221" s="332">
        <f t="shared" si="45"/>
        <v>1.3402434331643791</v>
      </c>
      <c r="R221" s="1" t="str">
        <f t="shared" si="46"/>
        <v>OK</v>
      </c>
      <c r="S221" s="13">
        <f t="shared" si="47"/>
        <v>172.27318945266666</v>
      </c>
      <c r="T221" s="192">
        <f t="shared" si="48"/>
        <v>0.81149515723098498</v>
      </c>
      <c r="U221" s="13">
        <f t="shared" si="49"/>
        <v>0.28578838324887101</v>
      </c>
      <c r="V221" s="13">
        <f t="shared" si="50"/>
        <v>0.52012171658219586</v>
      </c>
      <c r="W221" s="13">
        <f t="shared" si="51"/>
        <v>6.1942260540623986</v>
      </c>
      <c r="X221" s="13">
        <f t="shared" si="52"/>
        <v>0.87157676649774207</v>
      </c>
      <c r="Y221" s="13">
        <f t="shared" si="53"/>
        <v>1.1059100998310669</v>
      </c>
      <c r="Z221" s="13">
        <f t="shared" si="54"/>
        <v>6.1942260540626011</v>
      </c>
      <c r="AA221" s="13">
        <f t="shared" si="55"/>
        <v>10.480593627402332</v>
      </c>
      <c r="AC221" s="103"/>
      <c r="AD221" s="103"/>
      <c r="AE221" s="339">
        <f t="shared" si="56"/>
        <v>0.28325928722709004</v>
      </c>
      <c r="AF221">
        <f t="shared" si="57"/>
        <v>1.1459999999999999</v>
      </c>
      <c r="AG221">
        <f t="shared" si="58"/>
        <v>0.11459999999999999</v>
      </c>
      <c r="AH221">
        <f t="shared" si="59"/>
        <v>4.2401999999999997</v>
      </c>
    </row>
    <row r="222" spans="1:34" x14ac:dyDescent="0.45">
      <c r="A222" s="1">
        <v>11.3</v>
      </c>
      <c r="B222" s="1">
        <v>31</v>
      </c>
      <c r="C222" s="1">
        <v>32</v>
      </c>
      <c r="D222" s="76">
        <v>86</v>
      </c>
      <c r="E222" s="126">
        <f t="shared" si="35"/>
        <v>223.12075000000002</v>
      </c>
      <c r="F222" s="216">
        <v>0.4</v>
      </c>
      <c r="G222" s="215">
        <f t="shared" si="36"/>
        <v>1.162102355330306</v>
      </c>
      <c r="H222" s="217">
        <f t="shared" si="37"/>
        <v>0.38105117766515306</v>
      </c>
      <c r="I222" s="215">
        <f t="shared" si="38"/>
        <v>0.34641016151377546</v>
      </c>
      <c r="J222" s="93">
        <f t="shared" si="39"/>
        <v>1.3333333333333333E-3</v>
      </c>
      <c r="K222" s="1">
        <f t="shared" si="40"/>
        <v>263.3</v>
      </c>
      <c r="L222" s="94">
        <f>K222-H222</f>
        <v>262.91894882233487</v>
      </c>
      <c r="M222" s="327">
        <f t="shared" si="41"/>
        <v>262.8042821556682</v>
      </c>
      <c r="N222" s="94">
        <f t="shared" si="42"/>
        <v>263.18533333333335</v>
      </c>
      <c r="O222" s="1">
        <f t="shared" si="43"/>
        <v>263.22500000000002</v>
      </c>
      <c r="P222" s="332">
        <f t="shared" si="44"/>
        <v>3.9666666666676065E-2</v>
      </c>
      <c r="Q222" s="332">
        <f t="shared" si="45"/>
        <v>1.2414356886636582</v>
      </c>
      <c r="R222" s="1" t="str">
        <f t="shared" si="46"/>
        <v>OK</v>
      </c>
      <c r="S222" s="13">
        <f t="shared" si="47"/>
        <v>371.01174535977839</v>
      </c>
      <c r="T222" s="192">
        <f t="shared" si="48"/>
        <v>0.66282941124829653</v>
      </c>
      <c r="U222" s="13">
        <f t="shared" si="49"/>
        <v>0.3810511776651424</v>
      </c>
      <c r="V222" s="13">
        <f t="shared" si="50"/>
        <v>0.42071784433181847</v>
      </c>
      <c r="W222" s="13">
        <f t="shared" si="51"/>
        <v>25.595360511681267</v>
      </c>
      <c r="X222" s="13">
        <f t="shared" si="52"/>
        <v>1.1621023553302847</v>
      </c>
      <c r="Y222" s="13">
        <f t="shared" si="53"/>
        <v>1.2017690219969608</v>
      </c>
      <c r="Z222" s="13">
        <f t="shared" si="54"/>
        <v>25.595360511680205</v>
      </c>
      <c r="AA222" s="13">
        <f t="shared" si="55"/>
        <v>27.611348817977934</v>
      </c>
      <c r="AC222" s="103"/>
      <c r="AD222" s="103"/>
      <c r="AE222" s="339">
        <f t="shared" si="56"/>
        <v>0.32106219555788296</v>
      </c>
      <c r="AF222">
        <f t="shared" si="57"/>
        <v>1.528</v>
      </c>
      <c r="AG222">
        <f t="shared" si="58"/>
        <v>0.15280000000000002</v>
      </c>
      <c r="AH222">
        <f t="shared" si="59"/>
        <v>13.140800000000002</v>
      </c>
    </row>
    <row r="223" spans="1:34" x14ac:dyDescent="0.45">
      <c r="A223" s="1">
        <v>11.3</v>
      </c>
      <c r="B223" s="1">
        <v>32</v>
      </c>
      <c r="C223" s="1">
        <v>35</v>
      </c>
      <c r="D223" s="76">
        <v>6</v>
      </c>
      <c r="E223" s="126">
        <f t="shared" si="35"/>
        <v>223.12075000000002</v>
      </c>
      <c r="F223" s="216">
        <v>0.4</v>
      </c>
      <c r="G223" s="215">
        <f t="shared" si="36"/>
        <v>1.162102355330306</v>
      </c>
      <c r="H223" s="217">
        <f t="shared" si="37"/>
        <v>0.38105117766515306</v>
      </c>
      <c r="I223" s="215">
        <f t="shared" si="38"/>
        <v>0.34641016151377546</v>
      </c>
      <c r="J223" s="93">
        <f t="shared" si="39"/>
        <v>1.3333333333333333E-3</v>
      </c>
      <c r="K223" s="1">
        <f t="shared" si="40"/>
        <v>263.22500000000002</v>
      </c>
      <c r="L223" s="94">
        <f t="shared" ref="L223:L237" si="60">_xlfn.MINIFS($M$155:$M$239,$C$155:$C$239,B223)</f>
        <v>262.8042821556682</v>
      </c>
      <c r="M223" s="328">
        <f t="shared" si="41"/>
        <v>262.79628215566822</v>
      </c>
      <c r="N223" s="94">
        <f t="shared" si="42"/>
        <v>263.17733333333337</v>
      </c>
      <c r="O223" s="1">
        <f t="shared" si="43"/>
        <v>263.22500000000002</v>
      </c>
      <c r="P223" s="332">
        <f t="shared" si="44"/>
        <v>4.766666666665742E-2</v>
      </c>
      <c r="Q223" s="332">
        <f t="shared" si="45"/>
        <v>1.2574356886636209</v>
      </c>
      <c r="R223" s="1" t="str">
        <f t="shared" si="46"/>
        <v>OK</v>
      </c>
      <c r="S223" s="13">
        <f t="shared" si="47"/>
        <v>371.01174535977839</v>
      </c>
      <c r="T223" s="192">
        <f t="shared" si="48"/>
        <v>0.66282941124829653</v>
      </c>
      <c r="U223" s="13">
        <f t="shared" si="49"/>
        <v>0.42071784433181847</v>
      </c>
      <c r="V223" s="13">
        <f t="shared" si="50"/>
        <v>0.42871784433179982</v>
      </c>
      <c r="W223" s="13">
        <f t="shared" si="51"/>
        <v>1.7857228263963676</v>
      </c>
      <c r="X223" s="13">
        <f t="shared" si="52"/>
        <v>1.2414356886636368</v>
      </c>
      <c r="Y223" s="13">
        <f t="shared" si="53"/>
        <v>1.2494356886636182</v>
      </c>
      <c r="Z223" s="13">
        <f t="shared" si="54"/>
        <v>2.0717438536316379</v>
      </c>
      <c r="AA223" s="13">
        <f t="shared" si="55"/>
        <v>2.1016343101594952</v>
      </c>
      <c r="AC223" s="103"/>
      <c r="AD223" s="103"/>
      <c r="AE223" s="339">
        <f t="shared" si="56"/>
        <v>0.35027238502658253</v>
      </c>
      <c r="AF223">
        <f t="shared" si="57"/>
        <v>1.528</v>
      </c>
      <c r="AG223">
        <f t="shared" si="58"/>
        <v>0.15280000000000002</v>
      </c>
      <c r="AH223">
        <f t="shared" si="59"/>
        <v>0.91680000000000006</v>
      </c>
    </row>
    <row r="224" spans="1:34" hidden="1" x14ac:dyDescent="0.45">
      <c r="A224" s="1">
        <v>11.4</v>
      </c>
      <c r="B224" s="1">
        <v>33</v>
      </c>
      <c r="C224" s="1">
        <v>34</v>
      </c>
      <c r="D224" s="76">
        <v>39</v>
      </c>
      <c r="E224" s="126">
        <f t="shared" si="35"/>
        <v>92.58274999999999</v>
      </c>
      <c r="F224" s="216">
        <v>0.3</v>
      </c>
      <c r="G224" s="215">
        <f t="shared" si="36"/>
        <v>0.87157676649772942</v>
      </c>
      <c r="H224" s="217">
        <f t="shared" si="37"/>
        <v>0.28578838324886474</v>
      </c>
      <c r="I224" s="215">
        <f t="shared" si="38"/>
        <v>0.25980762113533157</v>
      </c>
      <c r="J224" s="93">
        <f t="shared" si="39"/>
        <v>1.3333333333333333E-3</v>
      </c>
      <c r="K224" s="1">
        <f t="shared" si="40"/>
        <v>263.04000000000002</v>
      </c>
      <c r="L224" s="94">
        <f>K224-H224</f>
        <v>262.75421161675115</v>
      </c>
      <c r="M224" s="327">
        <f t="shared" si="41"/>
        <v>262.70221161675113</v>
      </c>
      <c r="N224" s="94">
        <f t="shared" si="42"/>
        <v>262.988</v>
      </c>
      <c r="O224" s="1">
        <f t="shared" si="43"/>
        <v>263.22500000000002</v>
      </c>
      <c r="P224" s="332">
        <f t="shared" si="44"/>
        <v>0.23700000000002319</v>
      </c>
      <c r="Q224" s="332">
        <f t="shared" si="45"/>
        <v>1.3455767664977758</v>
      </c>
      <c r="R224" s="1" t="str">
        <f t="shared" si="46"/>
        <v>OK</v>
      </c>
      <c r="S224" s="13">
        <f t="shared" si="47"/>
        <v>172.27318945266666</v>
      </c>
      <c r="T224" s="192">
        <f t="shared" si="48"/>
        <v>0.86074824362709768</v>
      </c>
      <c r="U224" s="13">
        <f t="shared" si="49"/>
        <v>0.28578838324887101</v>
      </c>
      <c r="V224" s="13">
        <f t="shared" si="50"/>
        <v>0.52278838324889421</v>
      </c>
      <c r="W224" s="13">
        <f t="shared" si="51"/>
        <v>6.5290490840117172</v>
      </c>
      <c r="X224" s="13">
        <f t="shared" si="52"/>
        <v>0.87157676649774207</v>
      </c>
      <c r="Y224" s="13">
        <f t="shared" si="53"/>
        <v>1.1085767664977653</v>
      </c>
      <c r="Z224" s="13">
        <f t="shared" si="54"/>
        <v>6.5290490840119304</v>
      </c>
      <c r="AA224" s="13">
        <f t="shared" si="55"/>
        <v>11.104688860381748</v>
      </c>
      <c r="AC224" s="103"/>
      <c r="AD224" s="103"/>
      <c r="AE224" s="339">
        <f t="shared" si="56"/>
        <v>0.28473561180466017</v>
      </c>
      <c r="AF224">
        <f t="shared" si="57"/>
        <v>1.1459999999999999</v>
      </c>
      <c r="AG224">
        <f t="shared" si="58"/>
        <v>0.11459999999999999</v>
      </c>
      <c r="AH224">
        <f t="shared" si="59"/>
        <v>4.4693999999999994</v>
      </c>
    </row>
    <row r="225" spans="1:34" hidden="1" x14ac:dyDescent="0.45">
      <c r="A225" s="1">
        <v>11.4</v>
      </c>
      <c r="B225" s="1">
        <v>34</v>
      </c>
      <c r="C225" s="1">
        <v>35</v>
      </c>
      <c r="D225" s="76">
        <v>6</v>
      </c>
      <c r="E225" s="126">
        <f t="shared" si="35"/>
        <v>92.58274999999999</v>
      </c>
      <c r="F225" s="216">
        <v>0.3</v>
      </c>
      <c r="G225" s="215">
        <f t="shared" si="36"/>
        <v>0.87157676649772942</v>
      </c>
      <c r="H225" s="217">
        <f t="shared" si="37"/>
        <v>0.28578838324886474</v>
      </c>
      <c r="I225" s="215">
        <f t="shared" si="38"/>
        <v>0.25980762113533157</v>
      </c>
      <c r="J225" s="93">
        <f t="shared" si="39"/>
        <v>1.3333333333333333E-3</v>
      </c>
      <c r="K225" s="1">
        <f t="shared" si="40"/>
        <v>263.22500000000002</v>
      </c>
      <c r="L225" s="94">
        <f t="shared" si="60"/>
        <v>262.70221161675113</v>
      </c>
      <c r="M225" s="328">
        <f t="shared" si="41"/>
        <v>262.69421161675115</v>
      </c>
      <c r="N225" s="94">
        <f t="shared" si="42"/>
        <v>262.98</v>
      </c>
      <c r="O225" s="1">
        <f t="shared" si="43"/>
        <v>263.22500000000002</v>
      </c>
      <c r="P225" s="332">
        <f t="shared" si="44"/>
        <v>0.24500000000000455</v>
      </c>
      <c r="Q225" s="332">
        <f t="shared" si="45"/>
        <v>1.3615767664977385</v>
      </c>
      <c r="R225" s="1" t="str">
        <f t="shared" si="46"/>
        <v>OK</v>
      </c>
      <c r="S225" s="13">
        <f t="shared" si="47"/>
        <v>172.27318945266666</v>
      </c>
      <c r="T225" s="192">
        <f t="shared" si="48"/>
        <v>0.86074824362709768</v>
      </c>
      <c r="U225" s="13">
        <f t="shared" si="49"/>
        <v>0.52278838324889421</v>
      </c>
      <c r="V225" s="13">
        <f t="shared" si="50"/>
        <v>0.53078838324887556</v>
      </c>
      <c r="W225" s="13">
        <f t="shared" si="51"/>
        <v>1.0044690898479565</v>
      </c>
      <c r="X225" s="13">
        <f t="shared" si="52"/>
        <v>1.3455767664977885</v>
      </c>
      <c r="Y225" s="13">
        <f t="shared" si="53"/>
        <v>1.3535767664977698</v>
      </c>
      <c r="Z225" s="13">
        <f t="shared" si="54"/>
        <v>2.5808652518079658</v>
      </c>
      <c r="AA225" s="13">
        <f t="shared" si="55"/>
        <v>2.6132550942038373</v>
      </c>
      <c r="AC225" s="103"/>
      <c r="AD225" s="103"/>
      <c r="AE225" s="339">
        <f t="shared" si="56"/>
        <v>0.43554251570063957</v>
      </c>
      <c r="AF225">
        <f t="shared" si="57"/>
        <v>1.1459999999999999</v>
      </c>
      <c r="AG225">
        <f t="shared" si="58"/>
        <v>0.11459999999999999</v>
      </c>
      <c r="AH225">
        <f t="shared" si="59"/>
        <v>0.68759999999999999</v>
      </c>
    </row>
    <row r="226" spans="1:34" hidden="1" x14ac:dyDescent="0.45">
      <c r="A226" s="1">
        <v>11.5</v>
      </c>
      <c r="B226" s="1">
        <v>37</v>
      </c>
      <c r="C226" s="1">
        <v>38</v>
      </c>
      <c r="D226" s="76">
        <v>46</v>
      </c>
      <c r="E226" s="126">
        <f t="shared" si="35"/>
        <v>58.072000000000003</v>
      </c>
      <c r="F226" s="216">
        <v>0.2</v>
      </c>
      <c r="G226" s="215">
        <f t="shared" si="36"/>
        <v>0.58105117766515302</v>
      </c>
      <c r="H226" s="217">
        <f t="shared" si="37"/>
        <v>0.19052558883257653</v>
      </c>
      <c r="I226" s="215">
        <f t="shared" si="38"/>
        <v>0.17320508075688773</v>
      </c>
      <c r="J226" s="93">
        <f t="shared" si="39"/>
        <v>1.3333333333333333E-3</v>
      </c>
      <c r="K226" s="1">
        <f t="shared" si="40"/>
        <v>263.47500000000002</v>
      </c>
      <c r="L226" s="329">
        <f>K226-H226-0.2</f>
        <v>263.08447441116743</v>
      </c>
      <c r="M226" s="327">
        <f t="shared" si="41"/>
        <v>263.02314107783411</v>
      </c>
      <c r="N226" s="94">
        <f t="shared" si="42"/>
        <v>263.21366666666671</v>
      </c>
      <c r="O226" s="1">
        <f t="shared" si="43"/>
        <v>263.22500000000002</v>
      </c>
      <c r="P226" s="332">
        <f t="shared" si="44"/>
        <v>1.1333333333311657E-2</v>
      </c>
      <c r="Q226" s="332">
        <f t="shared" si="45"/>
        <v>0.60371784433177633</v>
      </c>
      <c r="R226" s="1" t="str">
        <f t="shared" si="46"/>
        <v>OK</v>
      </c>
      <c r="S226" s="13">
        <f t="shared" si="47"/>
        <v>58.430688467127666</v>
      </c>
      <c r="T226" s="192">
        <f t="shared" si="48"/>
        <v>6.1766163921969887E-3</v>
      </c>
      <c r="U226" s="13">
        <f t="shared" si="49"/>
        <v>0.39052558883258826</v>
      </c>
      <c r="V226" s="13">
        <f t="shared" si="50"/>
        <v>0.20185892216591128</v>
      </c>
      <c r="W226" s="13">
        <f t="shared" si="51"/>
        <v>3.4226354172597047</v>
      </c>
      <c r="X226" s="13">
        <f t="shared" si="52"/>
        <v>0.60371784433182252</v>
      </c>
      <c r="Y226" s="13">
        <f t="shared" si="53"/>
        <v>0.79238451099849949</v>
      </c>
      <c r="Z226" s="13">
        <f t="shared" si="54"/>
        <v>3.7314652089936216</v>
      </c>
      <c r="AA226" s="13">
        <f t="shared" si="55"/>
        <v>6.7605419526088095</v>
      </c>
      <c r="AC226" s="103"/>
      <c r="AD226" s="103"/>
      <c r="AE226" s="339">
        <f t="shared" si="56"/>
        <v>0.14696830331758282</v>
      </c>
      <c r="AF226">
        <f t="shared" si="57"/>
        <v>0.76400000000000001</v>
      </c>
      <c r="AG226">
        <f t="shared" si="58"/>
        <v>7.640000000000001E-2</v>
      </c>
      <c r="AH226">
        <f t="shared" si="59"/>
        <v>3.5144000000000006</v>
      </c>
    </row>
    <row r="227" spans="1:34" hidden="1" x14ac:dyDescent="0.45">
      <c r="A227" s="1">
        <v>11.5</v>
      </c>
      <c r="B227" s="1">
        <v>38</v>
      </c>
      <c r="C227" s="1">
        <v>39</v>
      </c>
      <c r="D227" s="76">
        <v>24</v>
      </c>
      <c r="E227" s="126">
        <f t="shared" si="35"/>
        <v>75.002750000000006</v>
      </c>
      <c r="F227" s="216">
        <v>0.3</v>
      </c>
      <c r="G227" s="215">
        <f t="shared" si="36"/>
        <v>0.87157676649772942</v>
      </c>
      <c r="H227" s="217">
        <f t="shared" si="37"/>
        <v>0.28578838324886474</v>
      </c>
      <c r="I227" s="215">
        <f t="shared" si="38"/>
        <v>0.25980762113533157</v>
      </c>
      <c r="J227" s="93">
        <f t="shared" si="39"/>
        <v>1.3333333333333333E-3</v>
      </c>
      <c r="K227" s="1">
        <f t="shared" si="40"/>
        <v>263.22500000000002</v>
      </c>
      <c r="L227" s="329">
        <f>_xlfn.MINIFS($M$155:$M$239,$C$155:$C$239,B227)-0.202</f>
        <v>262.82114107783411</v>
      </c>
      <c r="M227" s="327">
        <f t="shared" si="41"/>
        <v>262.78914107783413</v>
      </c>
      <c r="N227" s="94">
        <f t="shared" si="42"/>
        <v>263.074929461083</v>
      </c>
      <c r="O227" s="1">
        <f t="shared" si="43"/>
        <v>263.07499999999999</v>
      </c>
      <c r="P227" s="332">
        <f t="shared" si="44"/>
        <v>7.0538916986606637E-5</v>
      </c>
      <c r="Q227" s="332">
        <f t="shared" si="45"/>
        <v>0.87171784433170263</v>
      </c>
      <c r="R227" s="1" t="str">
        <f t="shared" si="46"/>
        <v>OK</v>
      </c>
      <c r="S227" s="13">
        <f t="shared" si="47"/>
        <v>172.27318945266666</v>
      </c>
      <c r="T227" s="192">
        <f t="shared" si="48"/>
        <v>1.2968916400087549</v>
      </c>
      <c r="U227" s="13">
        <f t="shared" si="49"/>
        <v>0.40385892216590946</v>
      </c>
      <c r="V227" s="13">
        <f t="shared" si="50"/>
        <v>0.28585892216585762</v>
      </c>
      <c r="W227" s="13">
        <f t="shared" si="51"/>
        <v>4.0178763593918259</v>
      </c>
      <c r="X227" s="13">
        <f t="shared" si="52"/>
        <v>0.87171784433171529</v>
      </c>
      <c r="Y227" s="13">
        <f t="shared" si="53"/>
        <v>0.98971784433176713</v>
      </c>
      <c r="Z227" s="13">
        <f t="shared" si="54"/>
        <v>4.0193520007579941</v>
      </c>
      <c r="AA227" s="13">
        <f t="shared" si="55"/>
        <v>5.3372484683323194</v>
      </c>
      <c r="AC227" s="103"/>
      <c r="AD227" s="103"/>
      <c r="AE227" s="339">
        <f t="shared" si="56"/>
        <v>0.22238535284717997</v>
      </c>
      <c r="AF227">
        <f t="shared" si="57"/>
        <v>1.1459999999999999</v>
      </c>
      <c r="AG227">
        <f t="shared" si="58"/>
        <v>0.11459999999999999</v>
      </c>
      <c r="AH227">
        <f t="shared" si="59"/>
        <v>2.7504</v>
      </c>
    </row>
    <row r="228" spans="1:34" hidden="1" x14ac:dyDescent="0.45">
      <c r="A228" s="1">
        <v>11.5</v>
      </c>
      <c r="B228" s="1">
        <v>39</v>
      </c>
      <c r="C228" s="1">
        <v>40</v>
      </c>
      <c r="D228" s="76">
        <v>40</v>
      </c>
      <c r="E228" s="126">
        <f t="shared" si="35"/>
        <v>156.70275000000001</v>
      </c>
      <c r="F228" s="216">
        <v>0.3</v>
      </c>
      <c r="G228" s="215">
        <f t="shared" si="36"/>
        <v>0.87157676649772942</v>
      </c>
      <c r="H228" s="217">
        <f t="shared" si="37"/>
        <v>0.28578838324886474</v>
      </c>
      <c r="I228" s="215">
        <f t="shared" si="38"/>
        <v>0.25980762113533157</v>
      </c>
      <c r="J228" s="93">
        <f t="shared" si="39"/>
        <v>1.3333333333333333E-3</v>
      </c>
      <c r="K228" s="1">
        <f t="shared" si="40"/>
        <v>263.07499999999999</v>
      </c>
      <c r="L228" s="94">
        <f t="shared" si="60"/>
        <v>262.78914107783413</v>
      </c>
      <c r="M228" s="327">
        <f t="shared" si="41"/>
        <v>262.73580774450079</v>
      </c>
      <c r="N228" s="94">
        <f t="shared" si="42"/>
        <v>263.02159612774966</v>
      </c>
      <c r="O228" s="1">
        <f t="shared" si="43"/>
        <v>263.07499999999999</v>
      </c>
      <c r="P228" s="332">
        <f t="shared" si="44"/>
        <v>5.3403872250328277E-2</v>
      </c>
      <c r="Q228" s="332">
        <f t="shared" si="45"/>
        <v>0.97838451099838597</v>
      </c>
      <c r="R228" s="1" t="str">
        <f t="shared" si="46"/>
        <v>OK</v>
      </c>
      <c r="S228" s="13">
        <f t="shared" si="47"/>
        <v>172.27318945266666</v>
      </c>
      <c r="T228" s="192">
        <f t="shared" si="48"/>
        <v>9.9362898562192728E-2</v>
      </c>
      <c r="U228" s="13">
        <f t="shared" si="49"/>
        <v>0.28585892216585762</v>
      </c>
      <c r="V228" s="13">
        <f t="shared" si="50"/>
        <v>0.33919225549919929</v>
      </c>
      <c r="W228" s="13">
        <f t="shared" si="51"/>
        <v>6.696460598986377</v>
      </c>
      <c r="X228" s="13">
        <f t="shared" si="52"/>
        <v>0.87171784433171529</v>
      </c>
      <c r="Y228" s="13">
        <f t="shared" si="53"/>
        <v>0.92505117766505696</v>
      </c>
      <c r="Z228" s="13">
        <f t="shared" si="54"/>
        <v>6.6989200012633248</v>
      </c>
      <c r="AA228" s="13">
        <f t="shared" si="55"/>
        <v>7.6571968129950863</v>
      </c>
      <c r="AC228" s="103"/>
      <c r="AD228" s="103"/>
      <c r="AE228" s="339">
        <f t="shared" si="56"/>
        <v>0.19142992032487716</v>
      </c>
      <c r="AF228">
        <f t="shared" si="57"/>
        <v>1.1459999999999999</v>
      </c>
      <c r="AG228">
        <f t="shared" si="58"/>
        <v>0.11459999999999999</v>
      </c>
      <c r="AH228">
        <f t="shared" si="59"/>
        <v>4.5839999999999996</v>
      </c>
    </row>
    <row r="229" spans="1:34" x14ac:dyDescent="0.45">
      <c r="A229" s="1">
        <v>11</v>
      </c>
      <c r="B229" s="1">
        <v>30</v>
      </c>
      <c r="C229" s="1">
        <v>35</v>
      </c>
      <c r="D229" s="76">
        <v>11</v>
      </c>
      <c r="E229" s="126">
        <f t="shared" si="35"/>
        <v>260.10000000000002</v>
      </c>
      <c r="F229" s="216">
        <v>0.4</v>
      </c>
      <c r="G229" s="215">
        <f t="shared" si="36"/>
        <v>1.162102355330306</v>
      </c>
      <c r="H229" s="217">
        <f t="shared" si="37"/>
        <v>0.38105117766515306</v>
      </c>
      <c r="I229" s="215">
        <f t="shared" si="38"/>
        <v>0.34641016151377546</v>
      </c>
      <c r="J229" s="93">
        <f t="shared" si="39"/>
        <v>1.3333333333333333E-3</v>
      </c>
      <c r="K229" s="1">
        <f t="shared" si="40"/>
        <v>263.22500000000002</v>
      </c>
      <c r="L229" s="94">
        <f t="shared" si="60"/>
        <v>262.70487828341783</v>
      </c>
      <c r="M229" s="327">
        <f t="shared" si="41"/>
        <v>262.69021161675118</v>
      </c>
      <c r="N229" s="94">
        <f t="shared" si="42"/>
        <v>263.07126279441633</v>
      </c>
      <c r="O229" s="1">
        <f t="shared" si="43"/>
        <v>263.22500000000002</v>
      </c>
      <c r="P229" s="332">
        <f t="shared" si="44"/>
        <v>0.15373720558369541</v>
      </c>
      <c r="Q229" s="332">
        <f t="shared" si="45"/>
        <v>1.4695767664976969</v>
      </c>
      <c r="R229" s="1" t="str">
        <f t="shared" si="46"/>
        <v>OK</v>
      </c>
      <c r="S229" s="13">
        <f t="shared" si="47"/>
        <v>371.01174535977839</v>
      </c>
      <c r="T229" s="192">
        <f t="shared" si="48"/>
        <v>0.42641962844974379</v>
      </c>
      <c r="U229" s="13">
        <f t="shared" si="49"/>
        <v>0.52012171658219586</v>
      </c>
      <c r="V229" s="13">
        <f t="shared" si="50"/>
        <v>0.53478838324883782</v>
      </c>
      <c r="W229" s="13">
        <f t="shared" si="51"/>
        <v>3.2738251817266741</v>
      </c>
      <c r="X229" s="13">
        <f t="shared" si="52"/>
        <v>1.4402434331643916</v>
      </c>
      <c r="Y229" s="13">
        <f t="shared" si="53"/>
        <v>1.4549100998310336</v>
      </c>
      <c r="Z229" s="13">
        <f t="shared" si="54"/>
        <v>5.2643281536261721</v>
      </c>
      <c r="AA229" s="13">
        <f t="shared" si="55"/>
        <v>5.3810993461234577</v>
      </c>
      <c r="AC229" s="103"/>
      <c r="AD229" s="103"/>
      <c r="AE229" s="339">
        <f t="shared" si="56"/>
        <v>0.48919084964758708</v>
      </c>
      <c r="AF229">
        <f t="shared" si="57"/>
        <v>1.528</v>
      </c>
      <c r="AG229">
        <f t="shared" si="58"/>
        <v>0.15280000000000002</v>
      </c>
      <c r="AH229">
        <f t="shared" si="59"/>
        <v>1.6808000000000003</v>
      </c>
    </row>
    <row r="230" spans="1:34" hidden="1" x14ac:dyDescent="0.45">
      <c r="A230" s="1">
        <v>11</v>
      </c>
      <c r="B230" s="1">
        <v>35</v>
      </c>
      <c r="C230" s="1">
        <v>40</v>
      </c>
      <c r="D230" s="76">
        <v>90</v>
      </c>
      <c r="E230" s="126">
        <f t="shared" si="35"/>
        <v>597.25274999999999</v>
      </c>
      <c r="F230" s="216">
        <v>0.5</v>
      </c>
      <c r="G230" s="215">
        <f t="shared" si="36"/>
        <v>1.4526279441628827</v>
      </c>
      <c r="H230" s="217">
        <f t="shared" si="37"/>
        <v>0.47631397208144127</v>
      </c>
      <c r="I230" s="215">
        <f t="shared" si="38"/>
        <v>0.4330127018922193</v>
      </c>
      <c r="J230" s="93">
        <f t="shared" si="39"/>
        <v>1.3333333333333333E-3</v>
      </c>
      <c r="K230" s="1">
        <f t="shared" si="40"/>
        <v>263.22500000000002</v>
      </c>
      <c r="L230" s="94">
        <f t="shared" si="60"/>
        <v>262.69021161675118</v>
      </c>
      <c r="M230" s="328">
        <f t="shared" si="41"/>
        <v>262.57021161675118</v>
      </c>
      <c r="N230" s="94">
        <f t="shared" si="42"/>
        <v>263.04652558883259</v>
      </c>
      <c r="O230" s="1">
        <f t="shared" si="43"/>
        <v>263.07499999999999</v>
      </c>
      <c r="P230" s="332">
        <f t="shared" si="44"/>
        <v>2.8474411167394464E-2</v>
      </c>
      <c r="Q230" s="332">
        <f t="shared" si="45"/>
        <v>1.5095767664976716</v>
      </c>
      <c r="R230" s="1" t="str">
        <f t="shared" si="46"/>
        <v>OK</v>
      </c>
      <c r="S230" s="13">
        <f t="shared" si="47"/>
        <v>672.68905250044338</v>
      </c>
      <c r="T230" s="192">
        <f t="shared" si="48"/>
        <v>0.12630549210605291</v>
      </c>
      <c r="U230" s="13">
        <f t="shared" si="49"/>
        <v>0.53478838324883782</v>
      </c>
      <c r="V230" s="13">
        <f t="shared" si="50"/>
        <v>0.50478838324880826</v>
      </c>
      <c r="W230" s="13">
        <f t="shared" si="51"/>
        <v>41.85287874366486</v>
      </c>
      <c r="X230" s="13">
        <f t="shared" si="52"/>
        <v>1.5095767664976165</v>
      </c>
      <c r="Y230" s="13">
        <f t="shared" si="53"/>
        <v>1.5395767664976461</v>
      </c>
      <c r="Z230" s="13">
        <f t="shared" si="54"/>
        <v>45.648495313861481</v>
      </c>
      <c r="AA230" s="13">
        <f t="shared" si="55"/>
        <v>47.70667394863532</v>
      </c>
      <c r="AC230" s="103"/>
      <c r="AD230" s="103"/>
      <c r="AE230" s="339">
        <f t="shared" si="56"/>
        <v>0.5300741549848369</v>
      </c>
      <c r="AF230">
        <f t="shared" si="57"/>
        <v>1.91</v>
      </c>
      <c r="AG230">
        <f t="shared" si="58"/>
        <v>0.191</v>
      </c>
      <c r="AH230">
        <f t="shared" si="59"/>
        <v>17.190000000000001</v>
      </c>
    </row>
    <row r="231" spans="1:34" hidden="1" x14ac:dyDescent="0.45">
      <c r="A231" s="1">
        <v>11</v>
      </c>
      <c r="B231" s="1">
        <v>40</v>
      </c>
      <c r="C231" s="1">
        <v>36</v>
      </c>
      <c r="D231" s="76">
        <v>20</v>
      </c>
      <c r="E231" s="126">
        <f t="shared" si="35"/>
        <v>753.95550000000003</v>
      </c>
      <c r="F231" s="216">
        <v>0.6</v>
      </c>
      <c r="G231" s="215">
        <f t="shared" si="36"/>
        <v>1.7431535329954588</v>
      </c>
      <c r="H231" s="217">
        <f t="shared" si="37"/>
        <v>0.57157676649772948</v>
      </c>
      <c r="I231" s="215">
        <f t="shared" si="38"/>
        <v>0.51961524227066314</v>
      </c>
      <c r="J231" s="93">
        <f t="shared" si="39"/>
        <v>1.3333333333333333E-3</v>
      </c>
      <c r="K231" s="1">
        <f t="shared" si="40"/>
        <v>263.07499999999999</v>
      </c>
      <c r="L231" s="329">
        <f>_xlfn.MINIFS($M$155:$M$239,$C$155:$C$239,B231)-0.05</f>
        <v>262.52021161675117</v>
      </c>
      <c r="M231" s="327">
        <f t="shared" si="41"/>
        <v>262.49354495008453</v>
      </c>
      <c r="N231" s="94">
        <f t="shared" si="42"/>
        <v>263.06512171658227</v>
      </c>
      <c r="O231" s="1">
        <f t="shared" si="43"/>
        <v>263.07499999999999</v>
      </c>
      <c r="P231" s="332">
        <f t="shared" si="44"/>
        <v>9.8782834177200129E-3</v>
      </c>
      <c r="Q231" s="332">
        <f t="shared" si="45"/>
        <v>1.7629100998308989</v>
      </c>
      <c r="R231" s="1" t="str">
        <f t="shared" si="46"/>
        <v>OK</v>
      </c>
      <c r="S231" s="13">
        <f t="shared" si="47"/>
        <v>1093.8665686523198</v>
      </c>
      <c r="T231" s="192">
        <f t="shared" si="48"/>
        <v>0.45083704363496219</v>
      </c>
      <c r="U231" s="13">
        <f t="shared" si="49"/>
        <v>0.55478838324881963</v>
      </c>
      <c r="V231" s="13">
        <f t="shared" si="50"/>
        <v>0.58145504991546204</v>
      </c>
      <c r="W231" s="13">
        <f t="shared" si="51"/>
        <v>13.392921197972754</v>
      </c>
      <c r="X231" s="13">
        <f t="shared" si="52"/>
        <v>1.7095767664976393</v>
      </c>
      <c r="Y231" s="13">
        <f t="shared" si="53"/>
        <v>1.7362434331642818</v>
      </c>
      <c r="Z231" s="13">
        <f t="shared" si="54"/>
        <v>12.813263602742619</v>
      </c>
      <c r="AA231" s="13">
        <f t="shared" si="55"/>
        <v>13.272706296030456</v>
      </c>
      <c r="AC231" s="103"/>
      <c r="AD231" s="103"/>
      <c r="AE231" s="339">
        <f t="shared" si="56"/>
        <v>0.66363531480152282</v>
      </c>
      <c r="AF231">
        <f t="shared" si="57"/>
        <v>2.2919999999999998</v>
      </c>
      <c r="AG231">
        <f t="shared" si="58"/>
        <v>0.22919999999999999</v>
      </c>
      <c r="AH231">
        <f t="shared" si="59"/>
        <v>4.5839999999999996</v>
      </c>
    </row>
    <row r="232" spans="1:34" hidden="1" x14ac:dyDescent="0.45">
      <c r="A232" s="1">
        <v>11</v>
      </c>
      <c r="B232" s="1">
        <v>36</v>
      </c>
      <c r="C232" s="1" t="s">
        <v>1020</v>
      </c>
      <c r="D232" s="76">
        <v>10</v>
      </c>
      <c r="E232" s="126">
        <f t="shared" si="35"/>
        <v>808.49375000000009</v>
      </c>
      <c r="F232" s="216">
        <v>0.6</v>
      </c>
      <c r="G232" s="215">
        <f t="shared" si="36"/>
        <v>1.7431535329954588</v>
      </c>
      <c r="H232" s="217">
        <f t="shared" si="37"/>
        <v>0.57157676649772948</v>
      </c>
      <c r="I232" s="215">
        <f t="shared" si="38"/>
        <v>0.51961524227066314</v>
      </c>
      <c r="J232" s="93">
        <f t="shared" si="39"/>
        <v>1.3333333333333333E-3</v>
      </c>
      <c r="K232" s="1">
        <f t="shared" si="40"/>
        <v>263.07499999999999</v>
      </c>
      <c r="L232" s="94">
        <f t="shared" si="60"/>
        <v>262.49354495008453</v>
      </c>
      <c r="M232" s="327">
        <f t="shared" si="41"/>
        <v>262.48021161675121</v>
      </c>
      <c r="N232" s="94">
        <f t="shared" si="42"/>
        <v>263.05178838324895</v>
      </c>
      <c r="O232" s="1">
        <f t="shared" si="43"/>
        <v>263.07499999999999</v>
      </c>
      <c r="P232" s="332">
        <f t="shared" si="44"/>
        <v>2.321161675104122E-2</v>
      </c>
      <c r="Q232" s="332">
        <f t="shared" si="45"/>
        <v>1.7895767664975413</v>
      </c>
      <c r="R232" s="1" t="str">
        <f t="shared" si="46"/>
        <v>OK</v>
      </c>
      <c r="S232" s="13">
        <f t="shared" si="47"/>
        <v>1093.8665686523198</v>
      </c>
      <c r="T232" s="192">
        <f t="shared" si="48"/>
        <v>0.35296849066838132</v>
      </c>
      <c r="U232" s="13">
        <f t="shared" si="49"/>
        <v>0.58145504991546204</v>
      </c>
      <c r="V232" s="13">
        <f t="shared" si="50"/>
        <v>0.59478838324878325</v>
      </c>
      <c r="W232" s="13">
        <f t="shared" si="51"/>
        <v>6.696460598986377</v>
      </c>
      <c r="X232" s="13">
        <f t="shared" si="52"/>
        <v>1.7629100998309242</v>
      </c>
      <c r="Y232" s="13">
        <f t="shared" si="53"/>
        <v>1.7762434331642454</v>
      </c>
      <c r="Z232" s="13">
        <f t="shared" si="54"/>
        <v>6.8696300502146972</v>
      </c>
      <c r="AA232" s="13">
        <f t="shared" si="55"/>
        <v>6.9876018346477604</v>
      </c>
      <c r="AC232" s="103"/>
      <c r="AD232" s="103"/>
      <c r="AE232" s="339">
        <f t="shared" si="56"/>
        <v>0.69876018346477609</v>
      </c>
      <c r="AF232">
        <f t="shared" si="57"/>
        <v>2.2919999999999998</v>
      </c>
      <c r="AG232">
        <f t="shared" si="58"/>
        <v>0.22919999999999999</v>
      </c>
      <c r="AH232">
        <f t="shared" si="59"/>
        <v>2.2919999999999998</v>
      </c>
    </row>
    <row r="233" spans="1:34" x14ac:dyDescent="0.45">
      <c r="A233" s="1">
        <v>12.1</v>
      </c>
      <c r="B233" s="1">
        <v>19</v>
      </c>
      <c r="C233" s="1">
        <v>18</v>
      </c>
      <c r="D233" s="76">
        <v>108</v>
      </c>
      <c r="E233" s="126">
        <f t="shared" si="35"/>
        <v>195.02499999999998</v>
      </c>
      <c r="F233" s="216">
        <v>0.4</v>
      </c>
      <c r="G233" s="215">
        <f t="shared" si="36"/>
        <v>1.162102355330306</v>
      </c>
      <c r="H233" s="217">
        <f t="shared" si="37"/>
        <v>0.38105117766515306</v>
      </c>
      <c r="I233" s="215">
        <f t="shared" si="38"/>
        <v>0.34641016151377546</v>
      </c>
      <c r="J233" s="93">
        <f t="shared" si="39"/>
        <v>1.3333333333333333E-3</v>
      </c>
      <c r="K233" s="1">
        <f t="shared" si="40"/>
        <v>263.54000000000002</v>
      </c>
      <c r="L233" s="94">
        <f>K233-H233</f>
        <v>263.15894882233488</v>
      </c>
      <c r="M233" s="327">
        <f t="shared" si="41"/>
        <v>263.01494882233487</v>
      </c>
      <c r="N233" s="94">
        <f t="shared" si="42"/>
        <v>263.39600000000002</v>
      </c>
      <c r="O233" s="1">
        <f t="shared" si="43"/>
        <v>263.54000000000002</v>
      </c>
      <c r="P233" s="332">
        <f t="shared" si="44"/>
        <v>0.14400000000000546</v>
      </c>
      <c r="Q233" s="332">
        <f t="shared" si="45"/>
        <v>1.4501023553303169</v>
      </c>
      <c r="R233" s="1" t="str">
        <f t="shared" si="46"/>
        <v>OK</v>
      </c>
      <c r="S233" s="13">
        <f t="shared" si="47"/>
        <v>371.01174535977839</v>
      </c>
      <c r="T233" s="192">
        <f t="shared" si="48"/>
        <v>0.90238044025011377</v>
      </c>
      <c r="U233" s="13">
        <f t="shared" si="49"/>
        <v>0.3810511776651424</v>
      </c>
      <c r="V233" s="13">
        <f t="shared" si="50"/>
        <v>0.52505117766514786</v>
      </c>
      <c r="W233" s="13">
        <f t="shared" si="51"/>
        <v>32.143010875134614</v>
      </c>
      <c r="X233" s="13">
        <f t="shared" si="52"/>
        <v>1.1621023553302847</v>
      </c>
      <c r="Y233" s="13">
        <f t="shared" si="53"/>
        <v>1.3061023553302902</v>
      </c>
      <c r="Z233" s="13">
        <f t="shared" si="54"/>
        <v>32.143010875133278</v>
      </c>
      <c r="AA233" s="13">
        <f t="shared" si="55"/>
        <v>41.739390790181965</v>
      </c>
      <c r="AC233" s="103"/>
      <c r="AD233" s="103"/>
      <c r="AE233" s="339">
        <f t="shared" si="56"/>
        <v>0.38647584064983298</v>
      </c>
      <c r="AF233">
        <f t="shared" si="57"/>
        <v>1.528</v>
      </c>
      <c r="AG233">
        <f t="shared" si="58"/>
        <v>0.15280000000000002</v>
      </c>
      <c r="AH233">
        <f t="shared" si="59"/>
        <v>16.502400000000002</v>
      </c>
    </row>
    <row r="234" spans="1:34" x14ac:dyDescent="0.45">
      <c r="A234" s="1">
        <v>12.2</v>
      </c>
      <c r="B234" s="1">
        <v>20</v>
      </c>
      <c r="C234" s="1">
        <v>21</v>
      </c>
      <c r="D234" s="76">
        <v>102</v>
      </c>
      <c r="E234" s="126">
        <f t="shared" si="35"/>
        <v>202.72499999999999</v>
      </c>
      <c r="F234" s="216">
        <v>0.4</v>
      </c>
      <c r="G234" s="215">
        <f t="shared" si="36"/>
        <v>1.162102355330306</v>
      </c>
      <c r="H234" s="217">
        <f t="shared" si="37"/>
        <v>0.38105117766515306</v>
      </c>
      <c r="I234" s="215">
        <f t="shared" si="38"/>
        <v>0.34641016151377546</v>
      </c>
      <c r="J234" s="93">
        <f t="shared" si="39"/>
        <v>1.3333333333333333E-3</v>
      </c>
      <c r="K234" s="1">
        <f t="shared" si="40"/>
        <v>263.39999999999998</v>
      </c>
      <c r="L234" s="94">
        <f>K234-H234</f>
        <v>263.01894882233483</v>
      </c>
      <c r="M234" s="327">
        <f t="shared" si="41"/>
        <v>262.88294882233481</v>
      </c>
      <c r="N234" s="94">
        <f t="shared" si="42"/>
        <v>263.26399999999995</v>
      </c>
      <c r="O234" s="1">
        <f t="shared" si="43"/>
        <v>263.39999999999998</v>
      </c>
      <c r="P234" s="332">
        <f t="shared" si="44"/>
        <v>0.1360000000000241</v>
      </c>
      <c r="Q234" s="332">
        <f t="shared" si="45"/>
        <v>1.4341023553303542</v>
      </c>
      <c r="R234" s="1" t="str">
        <f t="shared" si="46"/>
        <v>OK</v>
      </c>
      <c r="S234" s="13">
        <f t="shared" si="47"/>
        <v>371.01174535977839</v>
      </c>
      <c r="T234" s="192">
        <f t="shared" si="48"/>
        <v>0.83012329687891673</v>
      </c>
      <c r="U234" s="13">
        <f t="shared" si="49"/>
        <v>0.3810511776651424</v>
      </c>
      <c r="V234" s="13">
        <f t="shared" si="50"/>
        <v>0.51705117766516651</v>
      </c>
      <c r="W234" s="13">
        <f t="shared" si="51"/>
        <v>30.357288048738248</v>
      </c>
      <c r="X234" s="13">
        <f t="shared" si="52"/>
        <v>1.1621023553302847</v>
      </c>
      <c r="Y234" s="13">
        <f t="shared" si="53"/>
        <v>1.2981023553303088</v>
      </c>
      <c r="Z234" s="13">
        <f t="shared" si="54"/>
        <v>30.357288048736986</v>
      </c>
      <c r="AA234" s="13">
        <f t="shared" si="55"/>
        <v>38.889277985309441</v>
      </c>
      <c r="AC234" s="103"/>
      <c r="AD234" s="103"/>
      <c r="AE234" s="339">
        <f t="shared" si="56"/>
        <v>0.38126743122852391</v>
      </c>
      <c r="AF234">
        <f t="shared" si="57"/>
        <v>1.528</v>
      </c>
      <c r="AG234">
        <f t="shared" si="58"/>
        <v>0.15280000000000002</v>
      </c>
      <c r="AH234">
        <f t="shared" si="59"/>
        <v>15.585600000000001</v>
      </c>
    </row>
    <row r="235" spans="1:34" x14ac:dyDescent="0.45">
      <c r="A235" s="1">
        <v>12.2</v>
      </c>
      <c r="B235" s="1">
        <v>21</v>
      </c>
      <c r="C235" s="1">
        <v>22</v>
      </c>
      <c r="D235" s="76">
        <v>14</v>
      </c>
      <c r="E235" s="126">
        <f t="shared" si="35"/>
        <v>229.97924999999998</v>
      </c>
      <c r="F235" s="216">
        <v>0.4</v>
      </c>
      <c r="G235" s="215">
        <f t="shared" si="36"/>
        <v>1.162102355330306</v>
      </c>
      <c r="H235" s="217">
        <f t="shared" si="37"/>
        <v>0.38105117766515306</v>
      </c>
      <c r="I235" s="215">
        <f t="shared" si="38"/>
        <v>0.34641016151377546</v>
      </c>
      <c r="J235" s="93">
        <f t="shared" si="39"/>
        <v>1.3333333333333333E-3</v>
      </c>
      <c r="K235" s="1">
        <f t="shared" si="40"/>
        <v>263.39999999999998</v>
      </c>
      <c r="L235" s="94">
        <f t="shared" si="60"/>
        <v>262.88294882233481</v>
      </c>
      <c r="M235" s="327">
        <f t="shared" si="41"/>
        <v>262.86428215566815</v>
      </c>
      <c r="N235" s="94">
        <f t="shared" si="42"/>
        <v>263.24533333333329</v>
      </c>
      <c r="O235" s="1">
        <f t="shared" si="43"/>
        <v>263.54000000000002</v>
      </c>
      <c r="P235" s="332">
        <f t="shared" si="44"/>
        <v>0.29466666666672836</v>
      </c>
      <c r="Q235" s="332">
        <f t="shared" si="45"/>
        <v>1.7514356886637628</v>
      </c>
      <c r="R235" s="1" t="str">
        <f t="shared" si="46"/>
        <v>OK</v>
      </c>
      <c r="S235" s="13">
        <f t="shared" si="47"/>
        <v>371.01174535977839</v>
      </c>
      <c r="T235" s="192">
        <f t="shared" si="48"/>
        <v>0.61324008735474367</v>
      </c>
      <c r="U235" s="13">
        <f t="shared" si="49"/>
        <v>0.51705117766516651</v>
      </c>
      <c r="V235" s="13">
        <f t="shared" si="50"/>
        <v>0.67571784433187077</v>
      </c>
      <c r="W235" s="13">
        <f t="shared" si="51"/>
        <v>4.1666865949248582</v>
      </c>
      <c r="X235" s="13">
        <f t="shared" si="52"/>
        <v>1.4341023553303329</v>
      </c>
      <c r="Y235" s="13">
        <f t="shared" si="53"/>
        <v>1.5927690219970372</v>
      </c>
      <c r="Z235" s="13">
        <f t="shared" si="54"/>
        <v>6.638273479474031</v>
      </c>
      <c r="AA235" s="13">
        <f t="shared" si="55"/>
        <v>8.3191960510168954</v>
      </c>
      <c r="AC235" s="103"/>
      <c r="AD235" s="103"/>
      <c r="AE235" s="339">
        <f t="shared" si="56"/>
        <v>0.5942282893583497</v>
      </c>
      <c r="AF235">
        <f t="shared" si="57"/>
        <v>1.528</v>
      </c>
      <c r="AG235">
        <f t="shared" si="58"/>
        <v>0.15280000000000002</v>
      </c>
      <c r="AH235">
        <f t="shared" si="59"/>
        <v>2.1392000000000002</v>
      </c>
    </row>
    <row r="236" spans="1:34" x14ac:dyDescent="0.45">
      <c r="A236" s="1">
        <v>12.3</v>
      </c>
      <c r="B236" s="1">
        <v>23</v>
      </c>
      <c r="C236" s="1">
        <v>24</v>
      </c>
      <c r="D236" s="76">
        <v>94</v>
      </c>
      <c r="E236" s="126">
        <f t="shared" si="35"/>
        <v>194.58975000000001</v>
      </c>
      <c r="F236" s="216">
        <v>0.4</v>
      </c>
      <c r="G236" s="215">
        <f t="shared" si="36"/>
        <v>1.162102355330306</v>
      </c>
      <c r="H236" s="217">
        <f t="shared" si="37"/>
        <v>0.38105117766515306</v>
      </c>
      <c r="I236" s="215">
        <f t="shared" si="38"/>
        <v>0.34641016151377546</v>
      </c>
      <c r="J236" s="93">
        <f t="shared" si="39"/>
        <v>1.3333333333333333E-3</v>
      </c>
      <c r="K236" s="1">
        <f t="shared" si="40"/>
        <v>263.39999999999998</v>
      </c>
      <c r="L236" s="94">
        <f>K236-H236</f>
        <v>263.01894882233483</v>
      </c>
      <c r="M236" s="327">
        <f t="shared" si="41"/>
        <v>262.89361548900149</v>
      </c>
      <c r="N236" s="94">
        <f t="shared" si="42"/>
        <v>263.27466666666663</v>
      </c>
      <c r="O236" s="1">
        <f t="shared" si="43"/>
        <v>263.44</v>
      </c>
      <c r="P236" s="332">
        <f t="shared" si="44"/>
        <v>0.16533333333336486</v>
      </c>
      <c r="Q236" s="332">
        <f t="shared" si="45"/>
        <v>1.4927690219970358</v>
      </c>
      <c r="R236" s="1" t="str">
        <f t="shared" si="46"/>
        <v>OK</v>
      </c>
      <c r="S236" s="13">
        <f t="shared" si="47"/>
        <v>371.01174535977839</v>
      </c>
      <c r="T236" s="192">
        <f t="shared" si="48"/>
        <v>0.90663560315884251</v>
      </c>
      <c r="U236" s="13">
        <f t="shared" si="49"/>
        <v>0.3810511776651424</v>
      </c>
      <c r="V236" s="13">
        <f t="shared" si="50"/>
        <v>0.54638451099850727</v>
      </c>
      <c r="W236" s="13">
        <f t="shared" si="51"/>
        <v>27.976324280209759</v>
      </c>
      <c r="X236" s="13">
        <f t="shared" si="52"/>
        <v>1.1621023553302847</v>
      </c>
      <c r="Y236" s="13">
        <f t="shared" si="53"/>
        <v>1.3274356886636496</v>
      </c>
      <c r="Z236" s="13">
        <f t="shared" si="54"/>
        <v>27.976324280208594</v>
      </c>
      <c r="AA236" s="13">
        <f t="shared" si="55"/>
        <v>37.649009427141543</v>
      </c>
      <c r="AC236" s="103"/>
      <c r="AD236" s="103"/>
      <c r="AE236" s="339">
        <f t="shared" si="56"/>
        <v>0.40052137688448453</v>
      </c>
      <c r="AF236">
        <f t="shared" si="57"/>
        <v>1.528</v>
      </c>
      <c r="AG236">
        <f t="shared" si="58"/>
        <v>0.15280000000000002</v>
      </c>
      <c r="AH236">
        <f t="shared" si="59"/>
        <v>14.363200000000003</v>
      </c>
    </row>
    <row r="237" spans="1:34" x14ac:dyDescent="0.45">
      <c r="A237" s="1">
        <v>12.3</v>
      </c>
      <c r="B237" s="1">
        <v>24</v>
      </c>
      <c r="C237" s="1">
        <v>25</v>
      </c>
      <c r="D237" s="76">
        <v>5</v>
      </c>
      <c r="E237" s="126">
        <f t="shared" si="35"/>
        <v>194.58975000000001</v>
      </c>
      <c r="F237" s="216">
        <v>0.4</v>
      </c>
      <c r="G237" s="215">
        <f t="shared" si="36"/>
        <v>1.162102355330306</v>
      </c>
      <c r="H237" s="217">
        <f t="shared" si="37"/>
        <v>0.38105117766515306</v>
      </c>
      <c r="I237" s="215">
        <f t="shared" si="38"/>
        <v>0.34641016151377546</v>
      </c>
      <c r="J237" s="93">
        <f t="shared" si="39"/>
        <v>1.3333333333333333E-3</v>
      </c>
      <c r="K237" s="1">
        <f t="shared" si="40"/>
        <v>263.44</v>
      </c>
      <c r="L237" s="94">
        <f t="shared" si="60"/>
        <v>262.89361548900149</v>
      </c>
      <c r="M237" s="328">
        <f t="shared" si="41"/>
        <v>262.88694882233483</v>
      </c>
      <c r="N237" s="94">
        <f t="shared" si="42"/>
        <v>263.26799999999997</v>
      </c>
      <c r="O237" s="1">
        <f t="shared" si="43"/>
        <v>263.44</v>
      </c>
      <c r="P237" s="332">
        <f t="shared" si="44"/>
        <v>0.17200000000002547</v>
      </c>
      <c r="Q237" s="332">
        <f t="shared" si="45"/>
        <v>1.506102355330357</v>
      </c>
      <c r="R237" s="1" t="str">
        <f t="shared" si="46"/>
        <v>OK</v>
      </c>
      <c r="S237" s="13">
        <f t="shared" si="47"/>
        <v>371.01174535977839</v>
      </c>
      <c r="T237" s="192">
        <f t="shared" si="48"/>
        <v>0.90663560315884251</v>
      </c>
      <c r="U237" s="13">
        <f t="shared" si="49"/>
        <v>0.54638451099850727</v>
      </c>
      <c r="V237" s="13">
        <f t="shared" si="50"/>
        <v>0.55305117766516787</v>
      </c>
      <c r="W237" s="13">
        <f t="shared" si="51"/>
        <v>1.4881023553303063</v>
      </c>
      <c r="X237" s="13">
        <f t="shared" si="52"/>
        <v>1.4927690219970144</v>
      </c>
      <c r="Y237" s="13">
        <f t="shared" si="53"/>
        <v>1.499435688663675</v>
      </c>
      <c r="Z237" s="13">
        <f t="shared" si="54"/>
        <v>2.5854491912924038</v>
      </c>
      <c r="AA237" s="13">
        <f t="shared" si="55"/>
        <v>2.6103842305478873</v>
      </c>
      <c r="AC237" s="103"/>
      <c r="AD237" s="103"/>
      <c r="AE237" s="339">
        <f t="shared" si="56"/>
        <v>0.5220768461095775</v>
      </c>
      <c r="AF237">
        <f t="shared" si="57"/>
        <v>1.528</v>
      </c>
      <c r="AG237">
        <f t="shared" si="58"/>
        <v>0.15280000000000002</v>
      </c>
      <c r="AH237">
        <f t="shared" si="59"/>
        <v>0.76400000000000012</v>
      </c>
    </row>
    <row r="238" spans="1:34" x14ac:dyDescent="0.45">
      <c r="A238" s="1">
        <v>12.4</v>
      </c>
      <c r="B238" s="1">
        <v>27</v>
      </c>
      <c r="C238" s="1">
        <v>26</v>
      </c>
      <c r="D238" s="76">
        <v>98</v>
      </c>
      <c r="E238" s="126">
        <f t="shared" si="35"/>
        <v>199.995</v>
      </c>
      <c r="F238" s="216">
        <v>0.4</v>
      </c>
      <c r="G238" s="215">
        <f t="shared" si="36"/>
        <v>1.162102355330306</v>
      </c>
      <c r="H238" s="217">
        <f t="shared" si="37"/>
        <v>0.38105117766515306</v>
      </c>
      <c r="I238" s="215">
        <f t="shared" si="38"/>
        <v>0.34641016151377546</v>
      </c>
      <c r="J238" s="93">
        <f t="shared" si="39"/>
        <v>1.3333333333333333E-3</v>
      </c>
      <c r="K238" s="1">
        <f t="shared" si="40"/>
        <v>263.44</v>
      </c>
      <c r="L238" s="94">
        <f>K238-H238</f>
        <v>263.05894882233486</v>
      </c>
      <c r="M238" s="328">
        <f t="shared" si="41"/>
        <v>262.92828215566817</v>
      </c>
      <c r="N238" s="94">
        <f t="shared" si="42"/>
        <v>263.30933333333331</v>
      </c>
      <c r="O238" s="1">
        <f t="shared" si="43"/>
        <v>263.44</v>
      </c>
      <c r="P238" s="332">
        <f t="shared" si="44"/>
        <v>0.13066666666668425</v>
      </c>
      <c r="Q238" s="332">
        <f t="shared" si="45"/>
        <v>1.4234356886636745</v>
      </c>
      <c r="R238" s="1" t="str">
        <f t="shared" si="46"/>
        <v>OK</v>
      </c>
      <c r="S238" s="13">
        <f t="shared" si="47"/>
        <v>371.01174535977839</v>
      </c>
      <c r="T238" s="192">
        <f t="shared" si="48"/>
        <v>0.85510510442650256</v>
      </c>
      <c r="U238" s="13">
        <f t="shared" si="49"/>
        <v>0.3810511776651424</v>
      </c>
      <c r="V238" s="13">
        <f t="shared" si="50"/>
        <v>0.51171784433182665</v>
      </c>
      <c r="W238" s="13">
        <f t="shared" si="51"/>
        <v>29.166806164474004</v>
      </c>
      <c r="X238" s="13">
        <f t="shared" si="52"/>
        <v>1.1621023553302847</v>
      </c>
      <c r="Y238" s="13">
        <f t="shared" si="53"/>
        <v>1.292769021996969</v>
      </c>
      <c r="Z238" s="13">
        <f t="shared" si="54"/>
        <v>29.166806164472792</v>
      </c>
      <c r="AA238" s="13">
        <f t="shared" si="55"/>
        <v>37.025667733757501</v>
      </c>
      <c r="AC238" s="103"/>
      <c r="AD238" s="103"/>
      <c r="AE238" s="339">
        <f t="shared" si="56"/>
        <v>0.37781293605874999</v>
      </c>
      <c r="AF238">
        <f t="shared" si="57"/>
        <v>1.528</v>
      </c>
      <c r="AG238">
        <f t="shared" si="58"/>
        <v>0.15280000000000002</v>
      </c>
      <c r="AH238">
        <f t="shared" si="59"/>
        <v>14.974400000000001</v>
      </c>
    </row>
    <row r="239" spans="1:34" x14ac:dyDescent="0.45">
      <c r="A239" s="1">
        <v>12</v>
      </c>
      <c r="B239" s="1">
        <v>16</v>
      </c>
      <c r="C239" s="1">
        <v>17</v>
      </c>
      <c r="D239" s="76">
        <v>102</v>
      </c>
      <c r="E239" s="126">
        <f t="shared" si="35"/>
        <v>254.49</v>
      </c>
      <c r="F239" s="216">
        <v>0.4</v>
      </c>
      <c r="G239" s="215">
        <f t="shared" si="36"/>
        <v>1.162102355330306</v>
      </c>
      <c r="H239" s="217">
        <f t="shared" si="37"/>
        <v>0.38105117766515306</v>
      </c>
      <c r="I239" s="215">
        <f t="shared" si="38"/>
        <v>0.34641016151377546</v>
      </c>
      <c r="J239" s="93">
        <f t="shared" si="39"/>
        <v>1.3333333333333333E-3</v>
      </c>
      <c r="K239" s="1">
        <f t="shared" si="40"/>
        <v>263.76499999999999</v>
      </c>
      <c r="L239" s="94">
        <f>K239-H239</f>
        <v>263.38394882233484</v>
      </c>
      <c r="M239" s="327">
        <f t="shared" si="41"/>
        <v>263.24794882233482</v>
      </c>
      <c r="N239" s="94">
        <f t="shared" si="42"/>
        <v>263.62899999999996</v>
      </c>
      <c r="O239" s="1">
        <f t="shared" si="43"/>
        <v>263.76499999999999</v>
      </c>
      <c r="P239" s="332">
        <f t="shared" si="44"/>
        <v>0.1360000000000241</v>
      </c>
      <c r="Q239" s="332">
        <f t="shared" si="45"/>
        <v>1.4341023553303542</v>
      </c>
      <c r="R239" s="1" t="str">
        <f t="shared" si="46"/>
        <v>OK</v>
      </c>
      <c r="S239" s="13">
        <f t="shared" si="47"/>
        <v>371.01174535977839</v>
      </c>
      <c r="T239" s="192">
        <f t="shared" si="48"/>
        <v>0.45786374851577027</v>
      </c>
      <c r="U239" s="13">
        <f t="shared" si="49"/>
        <v>0.3810511776651424</v>
      </c>
      <c r="V239" s="13">
        <f t="shared" si="50"/>
        <v>0.51705117766516651</v>
      </c>
      <c r="W239" s="13">
        <f t="shared" si="51"/>
        <v>30.357288048738248</v>
      </c>
      <c r="X239" s="13">
        <f t="shared" si="52"/>
        <v>1.1621023553302847</v>
      </c>
      <c r="Y239" s="13">
        <f t="shared" si="53"/>
        <v>1.2981023553303088</v>
      </c>
      <c r="Z239" s="13">
        <f t="shared" si="54"/>
        <v>30.357288048736986</v>
      </c>
      <c r="AA239" s="13">
        <f t="shared" si="55"/>
        <v>38.889277985309441</v>
      </c>
      <c r="AC239" s="103"/>
      <c r="AD239" s="103"/>
      <c r="AE239" s="339">
        <f t="shared" si="56"/>
        <v>0.38126743122852391</v>
      </c>
      <c r="AF239">
        <f t="shared" si="57"/>
        <v>1.528</v>
      </c>
      <c r="AG239">
        <f t="shared" si="58"/>
        <v>0.15280000000000002</v>
      </c>
      <c r="AH239">
        <f t="shared" si="59"/>
        <v>15.585600000000001</v>
      </c>
    </row>
    <row r="240" spans="1:34" x14ac:dyDescent="0.45">
      <c r="A240" s="1">
        <v>12</v>
      </c>
      <c r="B240" s="1">
        <v>17</v>
      </c>
      <c r="C240" s="1">
        <v>18</v>
      </c>
      <c r="D240" s="76">
        <v>72</v>
      </c>
      <c r="E240" s="126">
        <f t="shared" si="35"/>
        <v>357.33120000000002</v>
      </c>
      <c r="F240" s="216">
        <v>0.4</v>
      </c>
      <c r="G240" s="215">
        <f t="shared" si="36"/>
        <v>1.162102355330306</v>
      </c>
      <c r="H240" s="217">
        <f t="shared" si="37"/>
        <v>0.38105117766515306</v>
      </c>
      <c r="I240" s="215">
        <f t="shared" si="38"/>
        <v>0.34641016151377546</v>
      </c>
      <c r="J240" s="93">
        <f t="shared" si="39"/>
        <v>1.3333333333333333E-3</v>
      </c>
      <c r="K240" s="1">
        <f t="shared" si="40"/>
        <v>263.76499999999999</v>
      </c>
      <c r="L240" s="94">
        <f t="shared" ref="L240:L244" si="61">_xlfn.MINIFS($M$155:$M$244,$C$155:$C$244,B240)</f>
        <v>263.24794882233482</v>
      </c>
      <c r="M240" s="328">
        <f t="shared" si="41"/>
        <v>263.15194882233482</v>
      </c>
      <c r="N240" s="94">
        <f t="shared" si="42"/>
        <v>263.53299999999996</v>
      </c>
      <c r="O240" s="1">
        <f t="shared" si="43"/>
        <v>263.54000000000002</v>
      </c>
      <c r="P240" s="332">
        <f t="shared" si="44"/>
        <v>7.0000000000618456E-3</v>
      </c>
      <c r="Q240" s="332">
        <f t="shared" si="45"/>
        <v>1.1761023553304297</v>
      </c>
      <c r="R240" s="1" t="str">
        <f t="shared" si="46"/>
        <v>OK</v>
      </c>
      <c r="S240" s="13">
        <f t="shared" si="47"/>
        <v>371.01174535977839</v>
      </c>
      <c r="T240" s="192">
        <f t="shared" si="48"/>
        <v>3.8285336852137072E-2</v>
      </c>
      <c r="U240" s="13">
        <f t="shared" si="49"/>
        <v>0.51705117766516651</v>
      </c>
      <c r="V240" s="13">
        <f t="shared" si="50"/>
        <v>0.38805117766520425</v>
      </c>
      <c r="W240" s="13">
        <f t="shared" si="51"/>
        <v>21.428673916756409</v>
      </c>
      <c r="X240" s="13">
        <f t="shared" si="52"/>
        <v>1.1761023553304084</v>
      </c>
      <c r="Y240" s="13">
        <f t="shared" si="53"/>
        <v>1.3051023553303707</v>
      </c>
      <c r="Z240" s="13">
        <f t="shared" si="54"/>
        <v>22.01790150384722</v>
      </c>
      <c r="AA240" s="13">
        <f t="shared" si="55"/>
        <v>27.779258841999866</v>
      </c>
      <c r="AC240" s="103"/>
      <c r="AD240" s="103"/>
      <c r="AE240" s="339">
        <f t="shared" si="56"/>
        <v>0.38582303947222035</v>
      </c>
      <c r="AF240">
        <f t="shared" si="57"/>
        <v>1.528</v>
      </c>
      <c r="AG240">
        <f t="shared" si="58"/>
        <v>0.15280000000000002</v>
      </c>
      <c r="AH240">
        <f t="shared" si="59"/>
        <v>11.001600000000002</v>
      </c>
    </row>
    <row r="241" spans="1:35" hidden="1" x14ac:dyDescent="0.45">
      <c r="A241" s="1">
        <v>12</v>
      </c>
      <c r="B241" s="1">
        <v>18</v>
      </c>
      <c r="C241" s="1">
        <v>22</v>
      </c>
      <c r="D241" s="76">
        <v>50</v>
      </c>
      <c r="E241" s="126">
        <f t="shared" si="35"/>
        <v>568.26619999999991</v>
      </c>
      <c r="F241" s="216">
        <v>0.5</v>
      </c>
      <c r="G241" s="215">
        <f t="shared" si="36"/>
        <v>1.4526279441628827</v>
      </c>
      <c r="H241" s="217">
        <f t="shared" si="37"/>
        <v>0.47631397208144127</v>
      </c>
      <c r="I241" s="215">
        <f t="shared" si="38"/>
        <v>0.4330127018922193</v>
      </c>
      <c r="J241" s="93">
        <f t="shared" si="39"/>
        <v>1.3333333333333333E-3</v>
      </c>
      <c r="K241" s="1">
        <f t="shared" si="40"/>
        <v>263.54000000000002</v>
      </c>
      <c r="L241" s="94">
        <f t="shared" si="61"/>
        <v>263.01494882233487</v>
      </c>
      <c r="M241" s="328">
        <f t="shared" si="41"/>
        <v>262.94828215566821</v>
      </c>
      <c r="N241" s="94">
        <f t="shared" si="42"/>
        <v>263.42459612774962</v>
      </c>
      <c r="O241" s="1">
        <f t="shared" si="43"/>
        <v>263.54000000000002</v>
      </c>
      <c r="P241" s="332">
        <f t="shared" si="44"/>
        <v>0.11540387225039694</v>
      </c>
      <c r="Q241" s="332">
        <f t="shared" si="45"/>
        <v>1.6834356886636765</v>
      </c>
      <c r="R241" s="1" t="str">
        <f t="shared" si="46"/>
        <v>OK</v>
      </c>
      <c r="S241" s="13">
        <f t="shared" si="47"/>
        <v>672.68905250044338</v>
      </c>
      <c r="T241" s="192">
        <f t="shared" si="48"/>
        <v>0.18375693029154908</v>
      </c>
      <c r="U241" s="13">
        <f t="shared" si="49"/>
        <v>0.52505117766514786</v>
      </c>
      <c r="V241" s="13">
        <f t="shared" si="50"/>
        <v>0.59171784433181074</v>
      </c>
      <c r="W241" s="13">
        <f t="shared" si="51"/>
        <v>23.251599302036034</v>
      </c>
      <c r="X241" s="13">
        <f t="shared" si="52"/>
        <v>1.5501023553302957</v>
      </c>
      <c r="Y241" s="13">
        <f t="shared" si="53"/>
        <v>1.6167690219969586</v>
      </c>
      <c r="Z241" s="13">
        <f t="shared" si="54"/>
        <v>26.910216400006625</v>
      </c>
      <c r="AA241" s="13">
        <f t="shared" si="55"/>
        <v>29.549275881112525</v>
      </c>
      <c r="AC241" s="103"/>
      <c r="AD241" s="103"/>
      <c r="AE241" s="339">
        <f t="shared" si="56"/>
        <v>0.59098551762225049</v>
      </c>
      <c r="AF241">
        <f t="shared" si="57"/>
        <v>1.91</v>
      </c>
      <c r="AG241">
        <f t="shared" si="58"/>
        <v>0.191</v>
      </c>
      <c r="AH241">
        <f t="shared" si="59"/>
        <v>9.5500000000000007</v>
      </c>
    </row>
    <row r="242" spans="1:35" hidden="1" x14ac:dyDescent="0.45">
      <c r="A242" s="1">
        <v>12</v>
      </c>
      <c r="B242" s="1">
        <v>22</v>
      </c>
      <c r="C242" s="1">
        <v>25</v>
      </c>
      <c r="D242" s="76">
        <v>18</v>
      </c>
      <c r="E242" s="126">
        <f t="shared" si="35"/>
        <v>798.24544999999989</v>
      </c>
      <c r="F242" s="216">
        <v>0.6</v>
      </c>
      <c r="G242" s="215">
        <f t="shared" si="36"/>
        <v>1.7431535329954588</v>
      </c>
      <c r="H242" s="217">
        <f t="shared" si="37"/>
        <v>0.57157676649772948</v>
      </c>
      <c r="I242" s="215">
        <f t="shared" si="38"/>
        <v>0.51961524227066314</v>
      </c>
      <c r="J242" s="93">
        <f t="shared" si="39"/>
        <v>1.3333333333333333E-3</v>
      </c>
      <c r="K242" s="1">
        <f t="shared" si="40"/>
        <v>263.54000000000002</v>
      </c>
      <c r="L242" s="94">
        <f t="shared" si="61"/>
        <v>262.86428215566815</v>
      </c>
      <c r="M242" s="327">
        <f t="shared" si="41"/>
        <v>262.84028215566815</v>
      </c>
      <c r="N242" s="94">
        <f t="shared" si="42"/>
        <v>263.41185892216589</v>
      </c>
      <c r="O242" s="1">
        <f t="shared" si="43"/>
        <v>263.44</v>
      </c>
      <c r="P242" s="332">
        <f t="shared" si="44"/>
        <v>2.8141077834106909E-2</v>
      </c>
      <c r="Q242" s="332">
        <f t="shared" si="45"/>
        <v>1.7994356886636727</v>
      </c>
      <c r="R242" s="1" t="str">
        <f t="shared" si="46"/>
        <v>OK</v>
      </c>
      <c r="S242" s="13">
        <f t="shared" si="47"/>
        <v>1093.8665686523198</v>
      </c>
      <c r="T242" s="192">
        <f t="shared" si="48"/>
        <v>0.37033862034831505</v>
      </c>
      <c r="U242" s="13">
        <f t="shared" si="49"/>
        <v>0.67571784433187077</v>
      </c>
      <c r="V242" s="13">
        <f t="shared" si="50"/>
        <v>0.59971784433184894</v>
      </c>
      <c r="W242" s="13">
        <f t="shared" si="51"/>
        <v>12.053629078175478</v>
      </c>
      <c r="X242" s="13">
        <f t="shared" si="52"/>
        <v>1.799435688663698</v>
      </c>
      <c r="Y242" s="13">
        <f t="shared" si="53"/>
        <v>1.8754356886637198</v>
      </c>
      <c r="Z242" s="13">
        <f t="shared" si="54"/>
        <v>12.950859589364686</v>
      </c>
      <c r="AA242" s="13">
        <f t="shared" si="55"/>
        <v>14.207665600411023</v>
      </c>
      <c r="AC242" s="103"/>
      <c r="AD242" s="103"/>
      <c r="AE242" s="339">
        <f t="shared" si="56"/>
        <v>0.78931475557839015</v>
      </c>
      <c r="AF242">
        <f t="shared" si="57"/>
        <v>2.2919999999999998</v>
      </c>
      <c r="AG242">
        <f t="shared" si="58"/>
        <v>0.22919999999999999</v>
      </c>
      <c r="AH242">
        <f t="shared" si="59"/>
        <v>4.1255999999999995</v>
      </c>
    </row>
    <row r="243" spans="1:35" hidden="1" x14ac:dyDescent="0.45">
      <c r="A243" s="1">
        <v>12</v>
      </c>
      <c r="B243" s="1">
        <v>25</v>
      </c>
      <c r="C243" s="1">
        <v>26</v>
      </c>
      <c r="D243" s="76">
        <v>78</v>
      </c>
      <c r="E243" s="126">
        <f t="shared" si="35"/>
        <v>1005.9224499999999</v>
      </c>
      <c r="F243" s="216">
        <v>0.6</v>
      </c>
      <c r="G243" s="215">
        <f t="shared" si="36"/>
        <v>1.7431535329954588</v>
      </c>
      <c r="H243" s="217">
        <f t="shared" si="37"/>
        <v>0.57157676649772948</v>
      </c>
      <c r="I243" s="215">
        <f t="shared" si="38"/>
        <v>0.51961524227066314</v>
      </c>
      <c r="J243" s="93">
        <f t="shared" si="39"/>
        <v>1.3333333333333333E-3</v>
      </c>
      <c r="K243" s="1">
        <f t="shared" si="40"/>
        <v>263.44</v>
      </c>
      <c r="L243" s="94">
        <f>_xlfn.MINIFS($M$155:$M$244,$C$155:$C$244,B243)</f>
        <v>262.84028215566815</v>
      </c>
      <c r="M243" s="327">
        <f t="shared" si="41"/>
        <v>262.73628215566816</v>
      </c>
      <c r="N243" s="94">
        <f t="shared" si="42"/>
        <v>263.30785892216591</v>
      </c>
      <c r="O243" s="1">
        <f t="shared" si="43"/>
        <v>263.44</v>
      </c>
      <c r="P243" s="332">
        <f t="shared" si="44"/>
        <v>0.1321410778340919</v>
      </c>
      <c r="Q243" s="332">
        <f t="shared" si="45"/>
        <v>2.0074356886636426</v>
      </c>
      <c r="R243" s="1" t="str">
        <f t="shared" si="46"/>
        <v>OK</v>
      </c>
      <c r="S243" s="13">
        <f t="shared" si="47"/>
        <v>1093.8665686523198</v>
      </c>
      <c r="T243" s="192">
        <f t="shared" si="48"/>
        <v>8.7426340521895948E-2</v>
      </c>
      <c r="U243" s="13">
        <f t="shared" si="49"/>
        <v>0.59971784433184894</v>
      </c>
      <c r="V243" s="13">
        <f t="shared" si="50"/>
        <v>0.70371784433183393</v>
      </c>
      <c r="W243" s="13">
        <f t="shared" si="51"/>
        <v>52.232392672093738</v>
      </c>
      <c r="X243" s="13">
        <f t="shared" si="52"/>
        <v>1.799435688663698</v>
      </c>
      <c r="Y243" s="13">
        <f t="shared" si="53"/>
        <v>1.903435688663683</v>
      </c>
      <c r="Z243" s="13">
        <f t="shared" si="54"/>
        <v>56.120391553913642</v>
      </c>
      <c r="AA243" s="13">
        <f t="shared" si="55"/>
        <v>63.629814707132475</v>
      </c>
      <c r="AC243" s="103"/>
      <c r="AD243" s="103"/>
      <c r="AE243" s="339">
        <f t="shared" si="56"/>
        <v>0.81576685521964709</v>
      </c>
      <c r="AF243">
        <f t="shared" si="57"/>
        <v>2.2919999999999998</v>
      </c>
      <c r="AG243">
        <f t="shared" si="58"/>
        <v>0.22919999999999999</v>
      </c>
      <c r="AH243">
        <f t="shared" si="59"/>
        <v>17.877599999999997</v>
      </c>
    </row>
    <row r="244" spans="1:35" ht="14.65" hidden="1" thickBot="1" x14ac:dyDescent="0.5">
      <c r="A244" s="34">
        <v>12</v>
      </c>
      <c r="B244" s="34">
        <v>26</v>
      </c>
      <c r="C244" s="34" t="s">
        <v>1025</v>
      </c>
      <c r="D244" s="356">
        <v>9</v>
      </c>
      <c r="E244" s="287">
        <f t="shared" si="35"/>
        <v>1205.9174499999999</v>
      </c>
      <c r="F244" s="357">
        <v>0.7</v>
      </c>
      <c r="G244" s="358">
        <f t="shared" si="36"/>
        <v>2.0336791218280355</v>
      </c>
      <c r="H244" s="359">
        <f t="shared" si="37"/>
        <v>0.66683956091401775</v>
      </c>
      <c r="I244" s="358">
        <f t="shared" si="38"/>
        <v>0.60621778264910697</v>
      </c>
      <c r="J244" s="360">
        <f t="shared" si="39"/>
        <v>1.3333333333333333E-3</v>
      </c>
      <c r="K244" s="34">
        <f t="shared" si="40"/>
        <v>263.44</v>
      </c>
      <c r="L244" s="361">
        <f t="shared" si="61"/>
        <v>262.73628215566816</v>
      </c>
      <c r="M244" s="362">
        <f t="shared" si="41"/>
        <v>262.72428215566816</v>
      </c>
      <c r="N244" s="361">
        <f t="shared" si="42"/>
        <v>263.39112171658218</v>
      </c>
      <c r="O244" s="34">
        <f t="shared" si="43"/>
        <v>263.44</v>
      </c>
      <c r="P244" s="363">
        <f t="shared" si="44"/>
        <v>4.8878283417820967E-2</v>
      </c>
      <c r="Q244" s="363">
        <f t="shared" si="45"/>
        <v>2.1314356886636774</v>
      </c>
      <c r="R244" s="34" t="str">
        <f t="shared" si="46"/>
        <v>OK</v>
      </c>
      <c r="S244" s="338">
        <f t="shared" si="47"/>
        <v>1650.0196709076884</v>
      </c>
      <c r="T244" s="364">
        <f t="shared" si="48"/>
        <v>0.36826917207947235</v>
      </c>
      <c r="U244" s="338">
        <f t="shared" si="49"/>
        <v>0.70371784433183393</v>
      </c>
      <c r="V244" s="338">
        <f t="shared" si="50"/>
        <v>0.71571784433183439</v>
      </c>
      <c r="W244" s="338">
        <f t="shared" si="51"/>
        <v>8.2031642337583115</v>
      </c>
      <c r="X244" s="338">
        <f t="shared" si="52"/>
        <v>2.107435688663668</v>
      </c>
      <c r="Y244" s="338">
        <f t="shared" si="53"/>
        <v>2.1194356886636685</v>
      </c>
      <c r="Z244" s="338">
        <f t="shared" si="54"/>
        <v>8.8903916591699428</v>
      </c>
      <c r="AA244" s="338">
        <f t="shared" si="55"/>
        <v>9.0045171863577842</v>
      </c>
      <c r="AC244" s="103"/>
      <c r="AD244" s="103"/>
      <c r="AE244" s="339">
        <f t="shared" si="56"/>
        <v>1.0005019095953094</v>
      </c>
      <c r="AF244">
        <f t="shared" si="57"/>
        <v>2.6739999999999999</v>
      </c>
      <c r="AG244">
        <f t="shared" si="58"/>
        <v>0.26740000000000003</v>
      </c>
      <c r="AH244">
        <f t="shared" si="59"/>
        <v>2.4066000000000001</v>
      </c>
    </row>
    <row r="245" spans="1:35" ht="14.65" hidden="1" thickTop="1" x14ac:dyDescent="0.45">
      <c r="G245" s="347">
        <f>MAX(G155:G244)</f>
        <v>2.0336791218280355</v>
      </c>
      <c r="H245" s="347">
        <f>MAX(H155:H244)</f>
        <v>0.66683956091401775</v>
      </c>
      <c r="J245" s="213"/>
      <c r="K245" s="213"/>
      <c r="L245" s="213"/>
      <c r="N245" s="213"/>
      <c r="W245" s="326">
        <f>SUM(W155:W244)</f>
        <v>1277.2754541388856</v>
      </c>
      <c r="Z245" s="365">
        <f>SUM(Z155:Z244)</f>
        <v>1370.4986846620086</v>
      </c>
      <c r="AA245" s="326">
        <f>SUM(AA155:AA244)</f>
        <v>1696.0920966058725</v>
      </c>
      <c r="AG245">
        <f>SUM(AG155:AG244)</f>
        <v>13.675599999999983</v>
      </c>
      <c r="AH245">
        <f>SUM(AH155:AH244)</f>
        <v>634.04359999999997</v>
      </c>
      <c r="AI245" s="107">
        <f>AH245*5000</f>
        <v>3170218</v>
      </c>
    </row>
    <row r="246" spans="1:35" hidden="1" x14ac:dyDescent="0.45">
      <c r="G246" s="347">
        <f>MIN(G155:G244)</f>
        <v>0.58105117766515302</v>
      </c>
      <c r="H246" s="347">
        <f>MIN(H155:H244)</f>
        <v>0.19052558883257653</v>
      </c>
      <c r="L246" s="213"/>
    </row>
    <row r="247" spans="1:35" hidden="1" x14ac:dyDescent="0.45">
      <c r="A247" s="176" t="s">
        <v>1034</v>
      </c>
      <c r="B247" s="176" t="s">
        <v>1061</v>
      </c>
    </row>
    <row r="248" spans="1:35" hidden="1" x14ac:dyDescent="0.45">
      <c r="A248" s="479">
        <v>1</v>
      </c>
      <c r="B248" s="479">
        <f>_xlfn.MAXIFS($E$155:$E$244,$A$155:$A$244,A248)</f>
        <v>778.38350000000003</v>
      </c>
    </row>
    <row r="249" spans="1:35" hidden="1" x14ac:dyDescent="0.45">
      <c r="A249" s="479">
        <v>2</v>
      </c>
      <c r="B249" s="479">
        <f t="shared" ref="B249:B259" si="62">_xlfn.MAXIFS($E$155:$E$244,$A$155:$A$244,A249)</f>
        <v>249.50575000000001</v>
      </c>
    </row>
    <row r="250" spans="1:35" hidden="1" x14ac:dyDescent="0.45">
      <c r="A250" s="479">
        <v>3</v>
      </c>
      <c r="B250" s="479">
        <f t="shared" si="62"/>
        <v>247.8485</v>
      </c>
    </row>
    <row r="251" spans="1:35" hidden="1" x14ac:dyDescent="0.45">
      <c r="A251" s="479">
        <v>4</v>
      </c>
      <c r="B251" s="479">
        <f t="shared" si="62"/>
        <v>238.37300000000002</v>
      </c>
    </row>
    <row r="252" spans="1:35" hidden="1" x14ac:dyDescent="0.45">
      <c r="A252" s="479">
        <v>5</v>
      </c>
      <c r="B252" s="479">
        <f t="shared" si="62"/>
        <v>203.54474999999999</v>
      </c>
    </row>
    <row r="253" spans="1:35" hidden="1" x14ac:dyDescent="0.45">
      <c r="A253" s="479">
        <v>6</v>
      </c>
      <c r="B253" s="479">
        <f t="shared" si="62"/>
        <v>624.3504999999999</v>
      </c>
    </row>
    <row r="254" spans="1:35" hidden="1" x14ac:dyDescent="0.45">
      <c r="A254" s="479">
        <v>7</v>
      </c>
      <c r="B254" s="479">
        <f t="shared" si="62"/>
        <v>721.93970000000002</v>
      </c>
    </row>
    <row r="255" spans="1:35" hidden="1" x14ac:dyDescent="0.45">
      <c r="A255" s="479">
        <v>8</v>
      </c>
      <c r="B255" s="479">
        <f t="shared" si="62"/>
        <v>821.08270000000005</v>
      </c>
    </row>
    <row r="256" spans="1:35" hidden="1" x14ac:dyDescent="0.45">
      <c r="A256" s="479">
        <v>9</v>
      </c>
      <c r="B256" s="479">
        <f t="shared" si="62"/>
        <v>222.43049999999999</v>
      </c>
    </row>
    <row r="257" spans="1:2" hidden="1" x14ac:dyDescent="0.45">
      <c r="A257" s="479">
        <v>10</v>
      </c>
      <c r="B257" s="479">
        <f t="shared" si="62"/>
        <v>1119.1342500000001</v>
      </c>
    </row>
    <row r="258" spans="1:2" hidden="1" x14ac:dyDescent="0.45">
      <c r="A258" s="479">
        <v>11</v>
      </c>
      <c r="B258" s="479">
        <f t="shared" si="62"/>
        <v>808.49375000000009</v>
      </c>
    </row>
    <row r="259" spans="1:2" hidden="1" x14ac:dyDescent="0.45">
      <c r="A259" s="479">
        <v>12</v>
      </c>
      <c r="B259" s="479">
        <f t="shared" si="62"/>
        <v>1205.9174499999999</v>
      </c>
    </row>
    <row r="260" spans="1:2" hidden="1" x14ac:dyDescent="0.45">
      <c r="B260" s="1">
        <f>SUM(B248:B259)</f>
        <v>7241.0043500000002</v>
      </c>
    </row>
    <row r="266" spans="1:2" x14ac:dyDescent="0.45">
      <c r="A266" s="176" t="s">
        <v>1062</v>
      </c>
      <c r="B266" s="176" t="s">
        <v>1063</v>
      </c>
    </row>
    <row r="267" spans="1:2" x14ac:dyDescent="0.45">
      <c r="A267" s="479">
        <v>1</v>
      </c>
      <c r="B267" s="479">
        <v>263.67500000000001</v>
      </c>
    </row>
    <row r="268" spans="1:2" x14ac:dyDescent="0.45">
      <c r="A268" s="479">
        <v>2</v>
      </c>
      <c r="B268" s="479">
        <v>263.67500000000001</v>
      </c>
    </row>
    <row r="269" spans="1:2" x14ac:dyDescent="0.45">
      <c r="A269" s="479">
        <v>3</v>
      </c>
      <c r="B269" s="479">
        <v>263.95</v>
      </c>
    </row>
    <row r="270" spans="1:2" x14ac:dyDescent="0.45">
      <c r="A270" s="479" t="s">
        <v>997</v>
      </c>
      <c r="B270" s="479">
        <v>263.95</v>
      </c>
    </row>
    <row r="271" spans="1:2" x14ac:dyDescent="0.45">
      <c r="A271" s="479">
        <v>4</v>
      </c>
      <c r="B271" s="479">
        <v>263.625</v>
      </c>
    </row>
    <row r="272" spans="1:2" x14ac:dyDescent="0.45">
      <c r="A272" s="479">
        <v>5</v>
      </c>
      <c r="B272" s="479">
        <v>263.625</v>
      </c>
    </row>
    <row r="273" spans="1:2" x14ac:dyDescent="0.45">
      <c r="A273" s="479">
        <v>6</v>
      </c>
      <c r="B273" s="479">
        <v>263.67500000000001</v>
      </c>
    </row>
    <row r="274" spans="1:2" x14ac:dyDescent="0.45">
      <c r="A274" s="479">
        <v>7</v>
      </c>
      <c r="B274" s="479">
        <v>263.67500000000001</v>
      </c>
    </row>
    <row r="275" spans="1:2" x14ac:dyDescent="0.45">
      <c r="A275" s="479" t="s">
        <v>1003</v>
      </c>
      <c r="B275" s="479">
        <v>263.67500000000001</v>
      </c>
    </row>
    <row r="276" spans="1:2" x14ac:dyDescent="0.45">
      <c r="A276" s="479">
        <v>8</v>
      </c>
      <c r="B276" s="479">
        <v>263.67500000000001</v>
      </c>
    </row>
    <row r="277" spans="1:2" x14ac:dyDescent="0.45">
      <c r="A277" s="479">
        <v>9</v>
      </c>
      <c r="B277" s="479">
        <v>263.67500000000001</v>
      </c>
    </row>
    <row r="278" spans="1:2" x14ac:dyDescent="0.45">
      <c r="A278" s="479" t="s">
        <v>1005</v>
      </c>
      <c r="B278" s="479">
        <v>263.67500000000001</v>
      </c>
    </row>
    <row r="279" spans="1:2" x14ac:dyDescent="0.45">
      <c r="A279" s="479">
        <v>10</v>
      </c>
      <c r="B279" s="479">
        <v>263.57499999999999</v>
      </c>
    </row>
    <row r="280" spans="1:2" x14ac:dyDescent="0.45">
      <c r="A280" s="479">
        <v>11</v>
      </c>
      <c r="B280" s="479">
        <v>263.57499999999999</v>
      </c>
    </row>
    <row r="281" spans="1:2" x14ac:dyDescent="0.45">
      <c r="A281" s="479" t="s">
        <v>1009</v>
      </c>
      <c r="B281" s="479">
        <v>263.57499999999999</v>
      </c>
    </row>
    <row r="282" spans="1:2" x14ac:dyDescent="0.45">
      <c r="A282" s="479">
        <v>12</v>
      </c>
      <c r="B282" s="479">
        <v>263.61500000000001</v>
      </c>
    </row>
    <row r="283" spans="1:2" x14ac:dyDescent="0.45">
      <c r="A283" s="479">
        <v>13</v>
      </c>
      <c r="B283" s="479">
        <v>263.61500000000001</v>
      </c>
    </row>
    <row r="284" spans="1:2" x14ac:dyDescent="0.45">
      <c r="A284" s="479" t="s">
        <v>1011</v>
      </c>
      <c r="B284" s="479">
        <v>263.61500000000001</v>
      </c>
    </row>
    <row r="285" spans="1:2" x14ac:dyDescent="0.45">
      <c r="A285" s="479">
        <v>14</v>
      </c>
      <c r="B285" s="479">
        <v>263.71499999999997</v>
      </c>
    </row>
    <row r="286" spans="1:2" x14ac:dyDescent="0.45">
      <c r="A286" s="479">
        <v>15</v>
      </c>
      <c r="B286" s="479">
        <v>263.71499999999997</v>
      </c>
    </row>
    <row r="287" spans="1:2" x14ac:dyDescent="0.45">
      <c r="A287" s="479" t="s">
        <v>1012</v>
      </c>
      <c r="B287" s="479">
        <v>263.77499999999998</v>
      </c>
    </row>
    <row r="288" spans="1:2" x14ac:dyDescent="0.45">
      <c r="A288" s="479">
        <v>16</v>
      </c>
      <c r="B288" s="479">
        <v>263.76499999999999</v>
      </c>
    </row>
    <row r="289" spans="1:2" x14ac:dyDescent="0.45">
      <c r="A289" s="479">
        <v>17</v>
      </c>
      <c r="B289" s="479">
        <v>263.76499999999999</v>
      </c>
    </row>
    <row r="290" spans="1:2" x14ac:dyDescent="0.45">
      <c r="A290" s="479">
        <v>18</v>
      </c>
      <c r="B290" s="479">
        <v>263.54000000000002</v>
      </c>
    </row>
    <row r="291" spans="1:2" x14ac:dyDescent="0.45">
      <c r="A291" s="479">
        <v>19</v>
      </c>
      <c r="B291" s="479">
        <v>263.54000000000002</v>
      </c>
    </row>
    <row r="292" spans="1:2" x14ac:dyDescent="0.45">
      <c r="A292" s="479">
        <v>20</v>
      </c>
      <c r="B292" s="479">
        <v>263.39999999999998</v>
      </c>
    </row>
    <row r="293" spans="1:2" x14ac:dyDescent="0.45">
      <c r="A293" s="479">
        <v>21</v>
      </c>
      <c r="B293" s="479">
        <v>263.39999999999998</v>
      </c>
    </row>
    <row r="294" spans="1:2" x14ac:dyDescent="0.45">
      <c r="A294" s="479">
        <v>22</v>
      </c>
      <c r="B294" s="479">
        <v>263.54000000000002</v>
      </c>
    </row>
    <row r="295" spans="1:2" x14ac:dyDescent="0.45">
      <c r="A295" s="479">
        <v>23</v>
      </c>
      <c r="B295" s="479">
        <v>263.39999999999998</v>
      </c>
    </row>
    <row r="296" spans="1:2" x14ac:dyDescent="0.45">
      <c r="A296" s="479">
        <v>24</v>
      </c>
      <c r="B296" s="479">
        <v>263.44</v>
      </c>
    </row>
    <row r="297" spans="1:2" x14ac:dyDescent="0.45">
      <c r="A297" s="479">
        <v>25</v>
      </c>
      <c r="B297" s="479">
        <v>263.44</v>
      </c>
    </row>
    <row r="298" spans="1:2" x14ac:dyDescent="0.45">
      <c r="A298" s="479">
        <v>26</v>
      </c>
      <c r="B298" s="479">
        <v>263.44</v>
      </c>
    </row>
    <row r="299" spans="1:2" x14ac:dyDescent="0.45">
      <c r="A299" s="479">
        <v>27</v>
      </c>
      <c r="B299" s="479">
        <v>263.44</v>
      </c>
    </row>
    <row r="300" spans="1:2" x14ac:dyDescent="0.45">
      <c r="A300" s="479" t="s">
        <v>1025</v>
      </c>
      <c r="B300" s="479">
        <v>263.44</v>
      </c>
    </row>
    <row r="301" spans="1:2" x14ac:dyDescent="0.45">
      <c r="A301" s="479">
        <v>28</v>
      </c>
      <c r="B301" s="479">
        <v>263.22500000000002</v>
      </c>
    </row>
    <row r="302" spans="1:2" x14ac:dyDescent="0.45">
      <c r="A302" s="479">
        <v>29</v>
      </c>
      <c r="B302" s="479">
        <v>263.04000000000002</v>
      </c>
    </row>
    <row r="303" spans="1:2" x14ac:dyDescent="0.45">
      <c r="A303" s="479">
        <v>30</v>
      </c>
      <c r="B303" s="479">
        <v>263.22500000000002</v>
      </c>
    </row>
    <row r="304" spans="1:2" x14ac:dyDescent="0.45">
      <c r="A304" s="479">
        <v>31</v>
      </c>
      <c r="B304" s="479">
        <v>263.3</v>
      </c>
    </row>
    <row r="305" spans="1:2" x14ac:dyDescent="0.45">
      <c r="A305" s="479">
        <v>32</v>
      </c>
      <c r="B305" s="479">
        <v>263.22500000000002</v>
      </c>
    </row>
    <row r="306" spans="1:2" x14ac:dyDescent="0.45">
      <c r="A306" s="479">
        <v>33</v>
      </c>
      <c r="B306" s="479">
        <v>263.04000000000002</v>
      </c>
    </row>
    <row r="307" spans="1:2" x14ac:dyDescent="0.45">
      <c r="A307" s="479">
        <v>34</v>
      </c>
      <c r="B307" s="479">
        <v>263.22500000000002</v>
      </c>
    </row>
    <row r="308" spans="1:2" x14ac:dyDescent="0.45">
      <c r="A308" s="479">
        <v>35</v>
      </c>
      <c r="B308" s="479">
        <v>263.22500000000002</v>
      </c>
    </row>
    <row r="309" spans="1:2" x14ac:dyDescent="0.45">
      <c r="A309" s="479">
        <v>36</v>
      </c>
      <c r="B309" s="479">
        <v>263.07499999999999</v>
      </c>
    </row>
    <row r="310" spans="1:2" x14ac:dyDescent="0.45">
      <c r="A310" s="479" t="s">
        <v>1020</v>
      </c>
      <c r="B310" s="479">
        <v>263.07499999999999</v>
      </c>
    </row>
    <row r="311" spans="1:2" x14ac:dyDescent="0.45">
      <c r="A311" s="479">
        <v>37</v>
      </c>
      <c r="B311" s="479">
        <v>263.47500000000002</v>
      </c>
    </row>
    <row r="312" spans="1:2" x14ac:dyDescent="0.45">
      <c r="A312" s="479">
        <v>38</v>
      </c>
      <c r="B312" s="479">
        <v>263.22500000000002</v>
      </c>
    </row>
    <row r="313" spans="1:2" x14ac:dyDescent="0.45">
      <c r="A313" s="479">
        <v>39</v>
      </c>
      <c r="B313" s="479">
        <v>263.07499999999999</v>
      </c>
    </row>
    <row r="314" spans="1:2" x14ac:dyDescent="0.45">
      <c r="A314" s="479">
        <v>40</v>
      </c>
      <c r="B314" s="479">
        <v>263.07499999999999</v>
      </c>
    </row>
    <row r="315" spans="1:2" x14ac:dyDescent="0.45">
      <c r="A315" s="479">
        <v>41</v>
      </c>
      <c r="B315" s="479">
        <v>263.77499999999998</v>
      </c>
    </row>
    <row r="316" spans="1:2" x14ac:dyDescent="0.45">
      <c r="A316" s="479">
        <v>42</v>
      </c>
      <c r="B316" s="479">
        <v>263.77499999999998</v>
      </c>
    </row>
    <row r="317" spans="1:2" x14ac:dyDescent="0.45">
      <c r="A317" s="479">
        <v>43</v>
      </c>
      <c r="B317" s="479">
        <v>263.45</v>
      </c>
    </row>
    <row r="318" spans="1:2" x14ac:dyDescent="0.45">
      <c r="A318" s="479">
        <v>44</v>
      </c>
      <c r="B318" s="479">
        <v>263.23500000000001</v>
      </c>
    </row>
    <row r="319" spans="1:2" x14ac:dyDescent="0.45">
      <c r="A319" s="479">
        <v>45</v>
      </c>
      <c r="B319" s="479">
        <v>263.23500000000001</v>
      </c>
    </row>
    <row r="320" spans="1:2" x14ac:dyDescent="0.45">
      <c r="A320" s="479">
        <v>46</v>
      </c>
      <c r="B320" s="479">
        <v>263.08999999999997</v>
      </c>
    </row>
    <row r="321" spans="1:2" x14ac:dyDescent="0.45">
      <c r="A321" s="479">
        <v>47</v>
      </c>
      <c r="B321" s="479">
        <v>263.23500000000001</v>
      </c>
    </row>
    <row r="322" spans="1:2" x14ac:dyDescent="0.45">
      <c r="A322" s="479">
        <v>48</v>
      </c>
      <c r="B322" s="479">
        <v>263.23500000000001</v>
      </c>
    </row>
    <row r="323" spans="1:2" x14ac:dyDescent="0.45">
      <c r="A323" s="479">
        <v>49</v>
      </c>
      <c r="B323" s="479">
        <v>263.75</v>
      </c>
    </row>
    <row r="324" spans="1:2" x14ac:dyDescent="0.45">
      <c r="A324" s="479" t="s">
        <v>1056</v>
      </c>
      <c r="B324" s="479">
        <v>263.75</v>
      </c>
    </row>
    <row r="325" spans="1:2" x14ac:dyDescent="0.45">
      <c r="A325" s="479">
        <v>50</v>
      </c>
      <c r="B325" s="479">
        <v>263.08999999999997</v>
      </c>
    </row>
    <row r="326" spans="1:2" x14ac:dyDescent="0.45">
      <c r="A326" s="479">
        <v>51</v>
      </c>
      <c r="B326" s="479">
        <v>263.3</v>
      </c>
    </row>
    <row r="327" spans="1:2" x14ac:dyDescent="0.45">
      <c r="A327" s="479">
        <v>52</v>
      </c>
      <c r="B327" s="479">
        <v>263.08999999999997</v>
      </c>
    </row>
    <row r="328" spans="1:2" x14ac:dyDescent="0.45">
      <c r="A328" s="479">
        <v>53</v>
      </c>
      <c r="B328" s="479">
        <v>263.08999999999997</v>
      </c>
    </row>
    <row r="329" spans="1:2" x14ac:dyDescent="0.45">
      <c r="A329" s="479">
        <v>54</v>
      </c>
      <c r="B329" s="479">
        <v>263.08999999999997</v>
      </c>
    </row>
    <row r="330" spans="1:2" x14ac:dyDescent="0.45">
      <c r="A330" s="479">
        <v>55</v>
      </c>
      <c r="B330" s="479">
        <v>263.08999999999997</v>
      </c>
    </row>
    <row r="331" spans="1:2" x14ac:dyDescent="0.45">
      <c r="A331" s="479">
        <v>56</v>
      </c>
      <c r="B331" s="479">
        <v>263.66500000000002</v>
      </c>
    </row>
    <row r="332" spans="1:2" x14ac:dyDescent="0.45">
      <c r="A332" s="479">
        <v>57</v>
      </c>
      <c r="B332" s="479">
        <v>263.66500000000002</v>
      </c>
    </row>
    <row r="333" spans="1:2" x14ac:dyDescent="0.45">
      <c r="A333" s="479">
        <v>58</v>
      </c>
      <c r="B333" s="479">
        <v>263.3</v>
      </c>
    </row>
    <row r="334" spans="1:2" x14ac:dyDescent="0.45">
      <c r="A334" s="479" t="s">
        <v>1057</v>
      </c>
      <c r="B334" s="479">
        <v>263.3</v>
      </c>
    </row>
    <row r="335" spans="1:2" x14ac:dyDescent="0.45">
      <c r="A335" s="479">
        <v>59</v>
      </c>
      <c r="B335" s="479">
        <v>263.04000000000002</v>
      </c>
    </row>
    <row r="336" spans="1:2" x14ac:dyDescent="0.45">
      <c r="A336" s="479">
        <v>60</v>
      </c>
      <c r="B336" s="479">
        <v>263.04000000000002</v>
      </c>
    </row>
    <row r="337" spans="1:2" x14ac:dyDescent="0.45">
      <c r="A337" s="479">
        <v>61</v>
      </c>
      <c r="B337" s="479">
        <v>263.04000000000002</v>
      </c>
    </row>
    <row r="338" spans="1:2" x14ac:dyDescent="0.45">
      <c r="A338" s="479">
        <v>62</v>
      </c>
      <c r="B338" s="479">
        <v>263.04000000000002</v>
      </c>
    </row>
    <row r="339" spans="1:2" x14ac:dyDescent="0.45">
      <c r="A339" s="479">
        <v>63</v>
      </c>
      <c r="B339" s="479">
        <v>263.04000000000002</v>
      </c>
    </row>
    <row r="340" spans="1:2" x14ac:dyDescent="0.45">
      <c r="A340" s="479">
        <v>64</v>
      </c>
      <c r="B340" s="479">
        <v>263.02499999999998</v>
      </c>
    </row>
    <row r="341" spans="1:2" x14ac:dyDescent="0.45">
      <c r="A341" s="479">
        <v>65</v>
      </c>
      <c r="B341" s="479">
        <v>263.04000000000002</v>
      </c>
    </row>
    <row r="342" spans="1:2" x14ac:dyDescent="0.45">
      <c r="A342" s="479">
        <v>66</v>
      </c>
      <c r="B342" s="479">
        <v>263.04000000000002</v>
      </c>
    </row>
    <row r="343" spans="1:2" x14ac:dyDescent="0.45">
      <c r="A343" s="479">
        <v>67</v>
      </c>
      <c r="B343" s="479">
        <v>263.125</v>
      </c>
    </row>
    <row r="344" spans="1:2" x14ac:dyDescent="0.45">
      <c r="A344" s="479">
        <v>68</v>
      </c>
      <c r="B344" s="479">
        <v>263.125</v>
      </c>
    </row>
    <row r="345" spans="1:2" x14ac:dyDescent="0.45">
      <c r="A345" s="479">
        <v>69</v>
      </c>
      <c r="B345" s="479">
        <v>263.125</v>
      </c>
    </row>
    <row r="346" spans="1:2" x14ac:dyDescent="0.45">
      <c r="A346" s="479">
        <v>70</v>
      </c>
      <c r="B346" s="479">
        <v>263.125</v>
      </c>
    </row>
    <row r="347" spans="1:2" x14ac:dyDescent="0.45">
      <c r="A347" s="479" t="s">
        <v>1060</v>
      </c>
      <c r="B347" s="479">
        <v>263.125</v>
      </c>
    </row>
    <row r="348" spans="1:2" x14ac:dyDescent="0.45">
      <c r="A348" s="479">
        <v>71</v>
      </c>
      <c r="B348" s="479">
        <v>262.83999999999997</v>
      </c>
    </row>
    <row r="349" spans="1:2" x14ac:dyDescent="0.45">
      <c r="A349" s="479">
        <v>72</v>
      </c>
      <c r="B349" s="479">
        <v>262.83999999999997</v>
      </c>
    </row>
    <row r="350" spans="1:2" x14ac:dyDescent="0.45">
      <c r="A350" s="479">
        <v>73</v>
      </c>
      <c r="B350" s="479">
        <v>263.495</v>
      </c>
    </row>
    <row r="351" spans="1:2" x14ac:dyDescent="0.45">
      <c r="A351" s="479">
        <v>74</v>
      </c>
      <c r="B351" s="479">
        <v>263.495</v>
      </c>
    </row>
    <row r="352" spans="1:2" x14ac:dyDescent="0.45">
      <c r="A352" s="479">
        <v>75</v>
      </c>
      <c r="B352" s="479">
        <v>262.83499999999998</v>
      </c>
    </row>
    <row r="353" spans="1:2" x14ac:dyDescent="0.45">
      <c r="A353" s="479">
        <v>76</v>
      </c>
      <c r="B353" s="479">
        <v>263.02499999999998</v>
      </c>
    </row>
    <row r="354" spans="1:2" x14ac:dyDescent="0.45">
      <c r="A354" s="479">
        <v>77</v>
      </c>
      <c r="B354" s="479">
        <v>262.83499999999998</v>
      </c>
    </row>
    <row r="355" spans="1:2" x14ac:dyDescent="0.45">
      <c r="A355" s="479">
        <v>78</v>
      </c>
      <c r="B355" s="479">
        <v>262.83499999999998</v>
      </c>
    </row>
    <row r="356" spans="1:2" x14ac:dyDescent="0.45">
      <c r="A356" s="479">
        <v>79</v>
      </c>
      <c r="B356" s="479">
        <v>262.83499999999998</v>
      </c>
    </row>
    <row r="357" spans="1:2" x14ac:dyDescent="0.45">
      <c r="A357" s="479">
        <v>80</v>
      </c>
      <c r="B357" s="479">
        <v>262.83499999999998</v>
      </c>
    </row>
    <row r="358" spans="1:2" x14ac:dyDescent="0.45">
      <c r="A358" s="479">
        <v>81</v>
      </c>
      <c r="B358" s="479">
        <v>262.83499999999998</v>
      </c>
    </row>
    <row r="359" spans="1:2" x14ac:dyDescent="0.45">
      <c r="A359" s="479">
        <v>82</v>
      </c>
      <c r="B359" s="479">
        <v>262.755</v>
      </c>
    </row>
    <row r="360" spans="1:2" x14ac:dyDescent="0.45">
      <c r="A360" s="479">
        <v>83</v>
      </c>
      <c r="B360" s="479">
        <v>262.85500000000002</v>
      </c>
    </row>
    <row r="361" spans="1:2" x14ac:dyDescent="0.45">
      <c r="A361" s="479">
        <v>84</v>
      </c>
      <c r="B361" s="479">
        <v>262.85500000000002</v>
      </c>
    </row>
    <row r="362" spans="1:2" x14ac:dyDescent="0.45">
      <c r="A362" s="479">
        <v>85</v>
      </c>
      <c r="B362" s="479">
        <v>262.83999999999997</v>
      </c>
    </row>
    <row r="363" spans="1:2" x14ac:dyDescent="0.45">
      <c r="A363" s="479">
        <v>86</v>
      </c>
      <c r="B363" s="479">
        <v>262.85500000000002</v>
      </c>
    </row>
    <row r="364" spans="1:2" x14ac:dyDescent="0.45">
      <c r="A364" s="479">
        <v>87</v>
      </c>
      <c r="B364" s="479">
        <v>262.85500000000002</v>
      </c>
    </row>
    <row r="365" spans="1:2" x14ac:dyDescent="0.45">
      <c r="A365" s="479" t="s">
        <v>1059</v>
      </c>
      <c r="B365" s="479">
        <v>262.85500000000002</v>
      </c>
    </row>
    <row r="366" spans="1:2" x14ac:dyDescent="0.45">
      <c r="A366" s="479">
        <v>88</v>
      </c>
      <c r="B366" s="479">
        <v>263.10500000000002</v>
      </c>
    </row>
    <row r="367" spans="1:2" x14ac:dyDescent="0.45">
      <c r="A367" s="479">
        <v>89</v>
      </c>
      <c r="B367" s="479">
        <v>263.20499999999998</v>
      </c>
    </row>
    <row r="368" spans="1:2" x14ac:dyDescent="0.45">
      <c r="A368" s="479" t="s">
        <v>1058</v>
      </c>
      <c r="B368" s="479">
        <v>262.85500000000002</v>
      </c>
    </row>
  </sheetData>
  <autoFilter ref="A154:AI260" xr:uid="{86386E6D-8AAF-4794-9E08-E70978615432}">
    <filterColumn colId="5">
      <filters>
        <filter val="0.4"/>
      </filters>
    </filterColumn>
    <filterColumn colId="28" showButton="0"/>
  </autoFilter>
  <mergeCells count="2">
    <mergeCell ref="AC154:AD154"/>
    <mergeCell ref="A1:L1"/>
  </mergeCells>
  <conditionalFormatting sqref="E155:E244">
    <cfRule type="dataBar" priority="20">
      <dataBar>
        <cfvo type="min"/>
        <cfvo type="max"/>
        <color rgb="FF008AEF"/>
      </dataBar>
      <extLst>
        <ext xmlns:x14="http://schemas.microsoft.com/office/spreadsheetml/2009/9/main" uri="{B025F937-C7B1-47D3-B67F-A62EFF666E3E}">
          <x14:id>{179FD4A6-2803-4F18-9A59-E88DB8F578E4}</x14:id>
        </ext>
      </extLst>
    </cfRule>
  </conditionalFormatting>
  <printOptions horizontalCentered="1"/>
  <pageMargins left="0.31496062992125984" right="0.31496062992125984" top="0.59055118110236227" bottom="0.55118110236220474" header="0" footer="0.31496062992125984"/>
  <pageSetup paperSize="9" scale="22" fitToHeight="0" orientation="portrait" horizontalDpi="300" verticalDpi="300" r:id="rId1"/>
  <headerFooter>
    <oddFooter>Page &amp;P of &amp;N</oddFooter>
  </headerFooter>
  <extLst>
    <ext xmlns:x14="http://schemas.microsoft.com/office/spreadsheetml/2009/9/main" uri="{78C0D931-6437-407d-A8EE-F0AAD7539E65}">
      <x14:conditionalFormattings>
        <x14:conditionalFormatting xmlns:xm="http://schemas.microsoft.com/office/excel/2006/main">
          <x14:cfRule type="dataBar" id="{179FD4A6-2803-4F18-9A59-E88DB8F578E4}">
            <x14:dataBar minLength="0" maxLength="100" border="1" negativeBarBorderColorSameAsPositive="0">
              <x14:cfvo type="autoMin"/>
              <x14:cfvo type="autoMax"/>
              <x14:borderColor rgb="FF008AEF"/>
              <x14:negativeFillColor rgb="FFFF0000"/>
              <x14:negativeBorderColor rgb="FFFF0000"/>
              <x14:axisColor rgb="FF000000"/>
            </x14:dataBar>
          </x14:cfRule>
          <xm:sqref>E155:E244</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0C69E-851D-41B6-A9CF-244C75E8608A}">
  <dimension ref="A1:G29"/>
  <sheetViews>
    <sheetView workbookViewId="0">
      <selection activeCell="E6" sqref="E6"/>
    </sheetView>
  </sheetViews>
  <sheetFormatPr defaultRowHeight="14.25" x14ac:dyDescent="0.45"/>
  <cols>
    <col min="3" max="4" width="11.73046875" bestFit="1" customWidth="1"/>
  </cols>
  <sheetData>
    <row r="1" spans="1:7" x14ac:dyDescent="0.45">
      <c r="A1" s="367" t="s">
        <v>2</v>
      </c>
      <c r="B1" s="367" t="s">
        <v>1064</v>
      </c>
      <c r="C1" s="367" t="s">
        <v>1065</v>
      </c>
      <c r="D1" s="367" t="s">
        <v>1066</v>
      </c>
    </row>
    <row r="2" spans="1:7" x14ac:dyDescent="0.45">
      <c r="A2" s="1" t="s">
        <v>12</v>
      </c>
      <c r="B2" s="1" t="s">
        <v>151</v>
      </c>
      <c r="C2" s="366">
        <v>30720</v>
      </c>
      <c r="D2" s="366">
        <v>15332</v>
      </c>
      <c r="F2" s="369">
        <f>3.1416*100*100/4000/1000</f>
        <v>7.8539999999999999E-3</v>
      </c>
      <c r="G2" s="339">
        <f>C2/1000/F2/3600</f>
        <v>1.0864952041422629</v>
      </c>
    </row>
    <row r="3" spans="1:7" x14ac:dyDescent="0.45">
      <c r="A3" s="1" t="s">
        <v>14</v>
      </c>
      <c r="B3" s="1" t="s">
        <v>152</v>
      </c>
      <c r="C3" s="366">
        <v>46000</v>
      </c>
      <c r="D3" s="366">
        <v>22880</v>
      </c>
      <c r="F3" s="369">
        <f t="shared" ref="F3:F29" si="0">3.1416*100*100/4000/1000</f>
        <v>7.8539999999999999E-3</v>
      </c>
      <c r="G3" s="339">
        <f t="shared" ref="G3:G29" si="1">C3/1000/F3/3600</f>
        <v>1.626913391619274</v>
      </c>
    </row>
    <row r="4" spans="1:7" x14ac:dyDescent="0.45">
      <c r="A4" s="1" t="s">
        <v>14</v>
      </c>
      <c r="B4" s="1" t="s">
        <v>153</v>
      </c>
      <c r="C4" s="366">
        <v>46800</v>
      </c>
      <c r="D4" s="366">
        <v>23280</v>
      </c>
      <c r="F4" s="369">
        <f t="shared" si="0"/>
        <v>7.8539999999999999E-3</v>
      </c>
      <c r="G4" s="339">
        <f t="shared" si="1"/>
        <v>1.6552075375604787</v>
      </c>
    </row>
    <row r="5" spans="1:7" x14ac:dyDescent="0.45">
      <c r="A5" s="1" t="s">
        <v>16</v>
      </c>
      <c r="B5" s="1" t="s">
        <v>154</v>
      </c>
      <c r="C5" s="366">
        <v>47520</v>
      </c>
      <c r="D5" s="366">
        <v>23780</v>
      </c>
      <c r="F5" s="369">
        <f t="shared" si="0"/>
        <v>7.8539999999999999E-3</v>
      </c>
      <c r="G5" s="339">
        <f t="shared" si="1"/>
        <v>1.6806722689075633</v>
      </c>
    </row>
    <row r="6" spans="1:7" x14ac:dyDescent="0.45">
      <c r="A6" s="1" t="s">
        <v>18</v>
      </c>
      <c r="B6" s="1" t="s">
        <v>155</v>
      </c>
      <c r="C6" s="366">
        <v>46800</v>
      </c>
      <c r="D6" s="366">
        <v>23280</v>
      </c>
      <c r="F6" s="369">
        <f t="shared" si="0"/>
        <v>7.8539999999999999E-3</v>
      </c>
      <c r="G6" s="339">
        <f t="shared" si="1"/>
        <v>1.6552075375604787</v>
      </c>
    </row>
    <row r="7" spans="1:7" x14ac:dyDescent="0.45">
      <c r="A7" s="1" t="s">
        <v>18</v>
      </c>
      <c r="B7" s="1" t="s">
        <v>156</v>
      </c>
      <c r="C7" s="366">
        <v>46800</v>
      </c>
      <c r="D7" s="366">
        <v>23280</v>
      </c>
      <c r="F7" s="369">
        <f t="shared" si="0"/>
        <v>7.8539999999999999E-3</v>
      </c>
      <c r="G7" s="339">
        <f t="shared" si="1"/>
        <v>1.6552075375604787</v>
      </c>
    </row>
    <row r="8" spans="1:7" x14ac:dyDescent="0.45">
      <c r="A8" s="1" t="s">
        <v>20</v>
      </c>
      <c r="B8" s="1" t="s">
        <v>157</v>
      </c>
      <c r="C8" s="366">
        <v>34800</v>
      </c>
      <c r="D8" s="366">
        <v>17232</v>
      </c>
      <c r="F8" s="369">
        <f t="shared" si="0"/>
        <v>7.8539999999999999E-3</v>
      </c>
      <c r="G8" s="339">
        <f t="shared" si="1"/>
        <v>1.2307953484424072</v>
      </c>
    </row>
    <row r="9" spans="1:7" x14ac:dyDescent="0.45">
      <c r="A9" s="1" t="s">
        <v>20</v>
      </c>
      <c r="B9" s="1" t="s">
        <v>158</v>
      </c>
      <c r="C9" s="366">
        <v>34800</v>
      </c>
      <c r="D9" s="366">
        <v>17232</v>
      </c>
      <c r="F9" s="369">
        <f t="shared" si="0"/>
        <v>7.8539999999999999E-3</v>
      </c>
      <c r="G9" s="339">
        <f t="shared" si="1"/>
        <v>1.2307953484424072</v>
      </c>
    </row>
    <row r="10" spans="1:7" x14ac:dyDescent="0.45">
      <c r="A10" s="1" t="s">
        <v>22</v>
      </c>
      <c r="B10" s="1" t="s">
        <v>159</v>
      </c>
      <c r="C10" s="366">
        <v>24400</v>
      </c>
      <c r="D10" s="366">
        <v>12048</v>
      </c>
      <c r="F10" s="369">
        <f t="shared" si="0"/>
        <v>7.8539999999999999E-3</v>
      </c>
      <c r="G10" s="339">
        <f t="shared" si="1"/>
        <v>0.86297145120674523</v>
      </c>
    </row>
    <row r="11" spans="1:7" x14ac:dyDescent="0.45">
      <c r="A11" s="1" t="s">
        <v>22</v>
      </c>
      <c r="B11" s="1" t="s">
        <v>160</v>
      </c>
      <c r="C11" s="366">
        <v>38800</v>
      </c>
      <c r="D11" s="366">
        <v>19248</v>
      </c>
      <c r="F11" s="369">
        <f t="shared" si="0"/>
        <v>7.8539999999999999E-3</v>
      </c>
      <c r="G11" s="339">
        <f t="shared" si="1"/>
        <v>1.3722660781484308</v>
      </c>
    </row>
    <row r="12" spans="1:7" x14ac:dyDescent="0.45">
      <c r="A12" s="1" t="s">
        <v>24</v>
      </c>
      <c r="B12" s="1" t="s">
        <v>161</v>
      </c>
      <c r="C12" s="366">
        <v>36080</v>
      </c>
      <c r="D12" s="366">
        <v>17834</v>
      </c>
      <c r="F12" s="369">
        <f t="shared" si="0"/>
        <v>7.8539999999999999E-3</v>
      </c>
      <c r="G12" s="339">
        <f t="shared" si="1"/>
        <v>1.2760659819483349</v>
      </c>
    </row>
    <row r="13" spans="1:7" x14ac:dyDescent="0.45">
      <c r="A13" s="1" t="s">
        <v>24</v>
      </c>
      <c r="B13" s="1" t="s">
        <v>162</v>
      </c>
      <c r="C13" s="366">
        <v>36080</v>
      </c>
      <c r="D13" s="366">
        <v>17834</v>
      </c>
      <c r="F13" s="369">
        <f t="shared" si="0"/>
        <v>7.8539999999999999E-3</v>
      </c>
      <c r="G13" s="339">
        <f t="shared" si="1"/>
        <v>1.2760659819483349</v>
      </c>
    </row>
    <row r="14" spans="1:7" x14ac:dyDescent="0.45">
      <c r="A14" s="1" t="s">
        <v>27</v>
      </c>
      <c r="B14" s="1" t="s">
        <v>163</v>
      </c>
      <c r="C14" s="366">
        <v>56160</v>
      </c>
      <c r="D14" s="366">
        <v>27900</v>
      </c>
      <c r="F14" s="369">
        <f t="shared" si="0"/>
        <v>7.8539999999999999E-3</v>
      </c>
      <c r="G14" s="339">
        <f t="shared" si="1"/>
        <v>1.9862490450725745</v>
      </c>
    </row>
    <row r="15" spans="1:7" x14ac:dyDescent="0.45">
      <c r="A15" s="1" t="s">
        <v>27</v>
      </c>
      <c r="B15" s="1" t="s">
        <v>164</v>
      </c>
      <c r="C15" s="366">
        <v>56160</v>
      </c>
      <c r="D15" s="366">
        <v>27900</v>
      </c>
      <c r="F15" s="369">
        <f t="shared" si="0"/>
        <v>7.8539999999999999E-3</v>
      </c>
      <c r="G15" s="339">
        <f t="shared" si="1"/>
        <v>1.9862490450725745</v>
      </c>
    </row>
    <row r="16" spans="1:7" x14ac:dyDescent="0.45">
      <c r="A16" s="1" t="s">
        <v>29</v>
      </c>
      <c r="B16" s="1" t="s">
        <v>165</v>
      </c>
      <c r="C16" s="366">
        <v>56160</v>
      </c>
      <c r="D16" s="366">
        <v>27900</v>
      </c>
      <c r="F16" s="369">
        <f t="shared" si="0"/>
        <v>7.8539999999999999E-3</v>
      </c>
      <c r="G16" s="339">
        <f t="shared" si="1"/>
        <v>1.9862490450725745</v>
      </c>
    </row>
    <row r="17" spans="1:7" x14ac:dyDescent="0.45">
      <c r="A17" s="1" t="s">
        <v>29</v>
      </c>
      <c r="B17" s="1" t="s">
        <v>166</v>
      </c>
      <c r="C17" s="366">
        <v>56160</v>
      </c>
      <c r="D17" s="366">
        <v>27900</v>
      </c>
      <c r="F17" s="369">
        <f t="shared" si="0"/>
        <v>7.8539999999999999E-3</v>
      </c>
      <c r="G17" s="339">
        <f t="shared" si="1"/>
        <v>1.9862490450725745</v>
      </c>
    </row>
    <row r="18" spans="1:7" x14ac:dyDescent="0.45">
      <c r="A18" s="1" t="s">
        <v>31</v>
      </c>
      <c r="B18" s="1" t="s">
        <v>167</v>
      </c>
      <c r="C18" s="366">
        <v>39360</v>
      </c>
      <c r="D18" s="366">
        <v>19444</v>
      </c>
      <c r="F18" s="369">
        <f t="shared" si="0"/>
        <v>7.8539999999999999E-3</v>
      </c>
      <c r="G18" s="339">
        <f t="shared" si="1"/>
        <v>1.3920719803072745</v>
      </c>
    </row>
    <row r="19" spans="1:7" x14ac:dyDescent="0.45">
      <c r="A19" s="1" t="s">
        <v>31</v>
      </c>
      <c r="B19" s="1" t="s">
        <v>168</v>
      </c>
      <c r="C19" s="366">
        <v>39360</v>
      </c>
      <c r="D19" s="366">
        <v>19444</v>
      </c>
      <c r="F19" s="369">
        <f t="shared" si="0"/>
        <v>7.8539999999999999E-3</v>
      </c>
      <c r="G19" s="339">
        <f t="shared" si="1"/>
        <v>1.3920719803072745</v>
      </c>
    </row>
    <row r="20" spans="1:7" x14ac:dyDescent="0.45">
      <c r="A20" s="1" t="s">
        <v>33</v>
      </c>
      <c r="B20" s="1" t="s">
        <v>169</v>
      </c>
      <c r="C20" s="366">
        <v>42960</v>
      </c>
      <c r="D20" s="366">
        <v>21376</v>
      </c>
      <c r="F20" s="369">
        <f t="shared" si="0"/>
        <v>7.8539999999999999E-3</v>
      </c>
      <c r="G20" s="339">
        <f t="shared" si="1"/>
        <v>1.5193956370426958</v>
      </c>
    </row>
    <row r="21" spans="1:7" x14ac:dyDescent="0.45">
      <c r="A21" s="1" t="s">
        <v>35</v>
      </c>
      <c r="B21" s="1" t="s">
        <v>170</v>
      </c>
      <c r="C21" s="366">
        <v>44160</v>
      </c>
      <c r="D21" s="366">
        <v>21976</v>
      </c>
      <c r="F21" s="369">
        <f t="shared" si="0"/>
        <v>7.8539999999999999E-3</v>
      </c>
      <c r="G21" s="339">
        <f t="shared" si="1"/>
        <v>1.5618368559545028</v>
      </c>
    </row>
    <row r="22" spans="1:7" x14ac:dyDescent="0.45">
      <c r="A22" s="1" t="s">
        <v>37</v>
      </c>
      <c r="B22" s="1" t="s">
        <v>171</v>
      </c>
      <c r="C22" s="366">
        <v>32160</v>
      </c>
      <c r="D22" s="366">
        <v>15820</v>
      </c>
      <c r="F22" s="369">
        <f t="shared" si="0"/>
        <v>7.8539999999999999E-3</v>
      </c>
      <c r="G22" s="339">
        <f t="shared" si="1"/>
        <v>1.1374246668364314</v>
      </c>
    </row>
    <row r="23" spans="1:7" x14ac:dyDescent="0.45">
      <c r="A23" s="1" t="s">
        <v>37</v>
      </c>
      <c r="B23" s="1" t="s">
        <v>172</v>
      </c>
      <c r="C23" s="366">
        <v>32160</v>
      </c>
      <c r="D23" s="366">
        <v>15820</v>
      </c>
      <c r="F23" s="369">
        <f t="shared" si="0"/>
        <v>7.8539999999999999E-3</v>
      </c>
      <c r="G23" s="339">
        <f t="shared" si="1"/>
        <v>1.1374246668364314</v>
      </c>
    </row>
    <row r="24" spans="1:7" x14ac:dyDescent="0.45">
      <c r="A24" s="1" t="s">
        <v>39</v>
      </c>
      <c r="B24" s="1" t="s">
        <v>173</v>
      </c>
      <c r="C24" s="366">
        <v>41760</v>
      </c>
      <c r="D24" s="366">
        <v>20652</v>
      </c>
      <c r="F24" s="369">
        <f t="shared" si="0"/>
        <v>7.8539999999999999E-3</v>
      </c>
      <c r="G24" s="339">
        <f t="shared" si="1"/>
        <v>1.4769544181308887</v>
      </c>
    </row>
    <row r="25" spans="1:7" x14ac:dyDescent="0.45">
      <c r="A25" s="1" t="s">
        <v>39</v>
      </c>
      <c r="B25" s="1" t="s">
        <v>174</v>
      </c>
      <c r="C25" s="366">
        <v>41760</v>
      </c>
      <c r="D25" s="366">
        <v>20652</v>
      </c>
      <c r="F25" s="369">
        <f t="shared" si="0"/>
        <v>7.8539999999999999E-3</v>
      </c>
      <c r="G25" s="339">
        <f t="shared" si="1"/>
        <v>1.4769544181308887</v>
      </c>
    </row>
    <row r="26" spans="1:7" x14ac:dyDescent="0.45">
      <c r="A26" s="1" t="s">
        <v>42</v>
      </c>
      <c r="B26" s="1" t="s">
        <v>175</v>
      </c>
      <c r="C26" s="366">
        <v>40080</v>
      </c>
      <c r="D26" s="366">
        <v>19866</v>
      </c>
      <c r="F26" s="369">
        <f t="shared" si="0"/>
        <v>7.8539999999999999E-3</v>
      </c>
      <c r="G26" s="339">
        <f t="shared" si="1"/>
        <v>1.4175367116543587</v>
      </c>
    </row>
    <row r="27" spans="1:7" x14ac:dyDescent="0.45">
      <c r="A27" s="1" t="s">
        <v>42</v>
      </c>
      <c r="B27" s="1" t="s">
        <v>176</v>
      </c>
      <c r="C27" s="366">
        <v>44880</v>
      </c>
      <c r="D27" s="366">
        <v>22266</v>
      </c>
      <c r="F27" s="369">
        <f t="shared" si="0"/>
        <v>7.8539999999999999E-3</v>
      </c>
      <c r="G27" s="339">
        <f t="shared" si="1"/>
        <v>1.5873015873015874</v>
      </c>
    </row>
    <row r="28" spans="1:7" x14ac:dyDescent="0.45">
      <c r="A28" s="1" t="s">
        <v>295</v>
      </c>
      <c r="B28" s="1" t="s">
        <v>197</v>
      </c>
      <c r="C28" s="366">
        <v>46800</v>
      </c>
      <c r="D28" s="366">
        <v>23280</v>
      </c>
      <c r="F28" s="369">
        <f t="shared" si="0"/>
        <v>7.8539999999999999E-3</v>
      </c>
      <c r="G28" s="339">
        <f t="shared" si="1"/>
        <v>1.6552075375604787</v>
      </c>
    </row>
    <row r="29" spans="1:7" ht="14.65" thickBot="1" x14ac:dyDescent="0.5">
      <c r="A29" s="34" t="s">
        <v>295</v>
      </c>
      <c r="B29" s="34" t="s">
        <v>198</v>
      </c>
      <c r="C29" s="368">
        <v>46800</v>
      </c>
      <c r="D29" s="368">
        <v>23280</v>
      </c>
      <c r="F29" s="369">
        <f t="shared" si="0"/>
        <v>7.8539999999999999E-3</v>
      </c>
      <c r="G29" s="339">
        <f t="shared" si="1"/>
        <v>1.6552075375604787</v>
      </c>
    </row>
  </sheetData>
  <conditionalFormatting sqref="C2:C29">
    <cfRule type="dataBar" priority="2">
      <dataBar>
        <cfvo type="min"/>
        <cfvo type="max"/>
        <color rgb="FF63C384"/>
      </dataBar>
      <extLst>
        <ext xmlns:x14="http://schemas.microsoft.com/office/spreadsheetml/2009/9/main" uri="{B025F937-C7B1-47D3-B67F-A62EFF666E3E}">
          <x14:id>{BD10E689-9204-4940-B969-5C26BB645BF1}</x14:id>
        </ext>
      </extLst>
    </cfRule>
  </conditionalFormatting>
  <conditionalFormatting sqref="D2:D29">
    <cfRule type="dataBar" priority="1">
      <dataBar>
        <cfvo type="min"/>
        <cfvo type="max"/>
        <color rgb="FFFF555A"/>
      </dataBar>
      <extLst>
        <ext xmlns:x14="http://schemas.microsoft.com/office/spreadsheetml/2009/9/main" uri="{B025F937-C7B1-47D3-B67F-A62EFF666E3E}">
          <x14:id>{0DE4C3A9-5019-4558-8658-D08A301A29A2}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D10E689-9204-4940-B969-5C26BB645BF1}">
            <x14:dataBar minLength="0" maxLength="100" border="1" negativeBarBorderColorSameAsPositive="0">
              <x14:cfvo type="autoMin"/>
              <x14:cfvo type="autoMax"/>
              <x14:borderColor rgb="FF63C384"/>
              <x14:negativeFillColor rgb="FFFF0000"/>
              <x14:negativeBorderColor rgb="FFFF0000"/>
              <x14:axisColor rgb="FF000000"/>
            </x14:dataBar>
          </x14:cfRule>
          <xm:sqref>C2:C29</xm:sqref>
        </x14:conditionalFormatting>
        <x14:conditionalFormatting xmlns:xm="http://schemas.microsoft.com/office/excel/2006/main">
          <x14:cfRule type="dataBar" id="{0DE4C3A9-5019-4558-8658-D08A301A29A2}">
            <x14:dataBar minLength="0" maxLength="100" border="1" negativeBarBorderColorSameAsPositive="0">
              <x14:cfvo type="autoMin"/>
              <x14:cfvo type="autoMax"/>
              <x14:borderColor rgb="FFFF555A"/>
              <x14:negativeFillColor rgb="FFFF0000"/>
              <x14:negativeBorderColor rgb="FFFF0000"/>
              <x14:axisColor rgb="FF000000"/>
            </x14:dataBar>
          </x14:cfRule>
          <xm:sqref>D2:D29</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73A1E-2A58-4D69-BA37-0B9C1CA58443}">
  <sheetPr>
    <tabColor rgb="FFFFD5D5"/>
  </sheetPr>
  <dimension ref="A2:AQ1391"/>
  <sheetViews>
    <sheetView zoomScale="73" zoomScaleNormal="40" workbookViewId="0">
      <pane xSplit="1" topLeftCell="Q1" activePane="topRight" state="frozen"/>
      <selection activeCell="A216" sqref="A216"/>
      <selection pane="topRight" activeCell="AD3" sqref="AD3"/>
    </sheetView>
  </sheetViews>
  <sheetFormatPr defaultRowHeight="15" customHeight="1" x14ac:dyDescent="0.45"/>
  <cols>
    <col min="1" max="1" width="4.73046875" bestFit="1" customWidth="1"/>
    <col min="2" max="2" width="8.3984375" bestFit="1" customWidth="1"/>
    <col min="3" max="14" width="7.73046875" customWidth="1"/>
    <col min="15" max="15" width="9" bestFit="1" customWidth="1"/>
    <col min="16" max="19" width="7.73046875" customWidth="1"/>
    <col min="20" max="20" width="9" bestFit="1" customWidth="1"/>
    <col min="21" max="21" width="7.73046875" customWidth="1"/>
    <col min="22" max="22" width="9" bestFit="1" customWidth="1"/>
    <col min="23" max="24" width="7.73046875" customWidth="1"/>
    <col min="25" max="25" width="16.59765625" bestFit="1" customWidth="1"/>
    <col min="26" max="26" width="17.265625" bestFit="1" customWidth="1"/>
    <col min="27" max="27" width="11" bestFit="1" customWidth="1"/>
    <col min="28" max="28" width="15" bestFit="1" customWidth="1"/>
    <col min="29" max="29" width="10.265625" bestFit="1" customWidth="1"/>
    <col min="30" max="30" width="13" bestFit="1" customWidth="1"/>
    <col min="31" max="31" width="15.73046875" customWidth="1"/>
    <col min="32" max="32" width="17.1328125" bestFit="1" customWidth="1"/>
    <col min="33" max="33" width="12" customWidth="1"/>
    <col min="34" max="34" width="7.86328125" style="79" bestFit="1" customWidth="1"/>
    <col min="35" max="35" width="10.59765625" bestFit="1" customWidth="1"/>
    <col min="36" max="36" width="7.73046875" bestFit="1" customWidth="1"/>
    <col min="38" max="38" width="4.1328125" style="79" bestFit="1" customWidth="1"/>
    <col min="39" max="39" width="10.73046875" style="79" bestFit="1" customWidth="1"/>
    <col min="40" max="40" width="13" style="79" bestFit="1" customWidth="1"/>
    <col min="41" max="41" width="12" style="79" bestFit="1" customWidth="1"/>
    <col min="42" max="42" width="16.1328125" style="79" bestFit="1" customWidth="1"/>
    <col min="43" max="43" width="7.59765625" style="79" bestFit="1" customWidth="1"/>
  </cols>
  <sheetData>
    <row r="2" spans="1:30" s="218" customFormat="1" ht="14.25" x14ac:dyDescent="0.45">
      <c r="A2" s="125" t="s">
        <v>85</v>
      </c>
      <c r="B2" s="125" t="s">
        <v>1067</v>
      </c>
      <c r="C2" s="119">
        <v>0</v>
      </c>
      <c r="D2" s="119">
        <v>5</v>
      </c>
      <c r="E2" s="119">
        <v>10</v>
      </c>
      <c r="F2" s="119">
        <v>15</v>
      </c>
      <c r="G2" s="119">
        <v>20</v>
      </c>
      <c r="H2" s="119">
        <v>25</v>
      </c>
      <c r="I2" s="119">
        <v>30</v>
      </c>
      <c r="J2" s="119">
        <v>35</v>
      </c>
      <c r="K2" s="119">
        <v>40</v>
      </c>
      <c r="L2" s="119">
        <v>45</v>
      </c>
      <c r="M2" s="119">
        <v>50</v>
      </c>
      <c r="N2" s="119">
        <v>55</v>
      </c>
      <c r="O2" s="119">
        <v>60</v>
      </c>
      <c r="P2" s="119">
        <v>65</v>
      </c>
      <c r="Q2" s="119">
        <v>70</v>
      </c>
      <c r="R2" s="119">
        <v>75</v>
      </c>
      <c r="S2" s="121">
        <v>80</v>
      </c>
      <c r="T2" s="119">
        <v>85</v>
      </c>
      <c r="U2" s="119">
        <v>90</v>
      </c>
      <c r="V2" s="119">
        <v>95</v>
      </c>
      <c r="W2" s="121">
        <v>100</v>
      </c>
      <c r="X2" s="119">
        <v>105</v>
      </c>
      <c r="Y2" s="118" t="s">
        <v>1068</v>
      </c>
      <c r="Z2" s="119" t="s">
        <v>1069</v>
      </c>
      <c r="AA2" s="119" t="s">
        <v>1070</v>
      </c>
      <c r="AB2" s="121" t="s">
        <v>769</v>
      </c>
      <c r="AC2" s="120" t="s">
        <v>293</v>
      </c>
      <c r="AD2" s="120" t="s">
        <v>1071</v>
      </c>
    </row>
    <row r="3" spans="1:30" ht="14.25" x14ac:dyDescent="0.45">
      <c r="A3" s="596" t="s">
        <v>12</v>
      </c>
      <c r="B3" s="114">
        <v>0</v>
      </c>
      <c r="C3" s="152">
        <v>263.5222</v>
      </c>
      <c r="D3" s="152">
        <v>263.57319999999999</v>
      </c>
      <c r="E3" s="152">
        <v>263.64249999999998</v>
      </c>
      <c r="F3" s="152">
        <v>263.54860000000002</v>
      </c>
      <c r="G3" s="152">
        <v>263.44069999999999</v>
      </c>
      <c r="H3" s="152">
        <v>263.38850000000002</v>
      </c>
      <c r="I3" s="152">
        <v>263.34160000000003</v>
      </c>
      <c r="J3" s="152">
        <v>263.69240000000002</v>
      </c>
      <c r="K3" s="152">
        <v>263.68520000000001</v>
      </c>
      <c r="L3" s="152">
        <v>263.67230000000001</v>
      </c>
      <c r="M3" s="152">
        <v>263.68490000000003</v>
      </c>
      <c r="N3" s="152">
        <v>263.16669999999999</v>
      </c>
      <c r="O3" s="139"/>
      <c r="P3" s="139"/>
      <c r="Q3" s="139"/>
      <c r="R3" s="139"/>
      <c r="S3" s="139"/>
      <c r="T3" s="140"/>
      <c r="U3" s="140"/>
      <c r="V3" s="140"/>
      <c r="W3" s="140"/>
      <c r="X3" s="115"/>
      <c r="Y3" s="165">
        <f t="shared" ref="Y3:Y66" si="0">AVERAGE(C3:X3)</f>
        <v>263.5299</v>
      </c>
      <c r="Z3" s="165">
        <f>Y3-0.25+0.075</f>
        <v>263.35489999999999</v>
      </c>
      <c r="AA3" s="159">
        <f>Z3-Y3</f>
        <v>-0.17500000000001137</v>
      </c>
      <c r="AB3" s="170">
        <v>54</v>
      </c>
      <c r="AC3" s="158">
        <f>AB3*AA3*5</f>
        <v>-47.25000000000307</v>
      </c>
      <c r="AD3" s="472"/>
    </row>
    <row r="4" spans="1:30" ht="14.25" x14ac:dyDescent="0.45">
      <c r="A4" s="597"/>
      <c r="B4" s="113">
        <v>5</v>
      </c>
      <c r="C4" s="152">
        <v>263.27719999999999</v>
      </c>
      <c r="D4" s="139">
        <v>263.51209999999998</v>
      </c>
      <c r="E4" s="139">
        <v>263.50909999999999</v>
      </c>
      <c r="F4" s="139">
        <v>263.53640000000001</v>
      </c>
      <c r="G4" s="139">
        <v>263.3485</v>
      </c>
      <c r="H4" s="139">
        <v>263.1472</v>
      </c>
      <c r="I4" s="139">
        <v>263.51569999999998</v>
      </c>
      <c r="J4" s="139">
        <v>263.59739999999999</v>
      </c>
      <c r="K4" s="139">
        <v>263.61070000000001</v>
      </c>
      <c r="L4" s="139">
        <v>263.59429999999998</v>
      </c>
      <c r="M4" s="139">
        <v>263.54360000000003</v>
      </c>
      <c r="N4" s="152">
        <v>263.57510000000002</v>
      </c>
      <c r="O4" s="139"/>
      <c r="P4" s="139"/>
      <c r="Q4" s="139"/>
      <c r="R4" s="139"/>
      <c r="S4" s="139"/>
      <c r="T4" s="141"/>
      <c r="U4" s="141"/>
      <c r="V4" s="141"/>
      <c r="W4" s="141"/>
      <c r="X4" s="123"/>
      <c r="Y4" s="141">
        <f t="shared" si="0"/>
        <v>263.48060833333335</v>
      </c>
      <c r="Z4" s="141">
        <f>Z3-5/100</f>
        <v>263.30489999999998</v>
      </c>
      <c r="AA4" s="159">
        <f t="shared" ref="AA4:AA67" si="1">Z4-Y4</f>
        <v>-0.17570833333337532</v>
      </c>
      <c r="AB4" s="171">
        <v>54</v>
      </c>
      <c r="AC4" s="160">
        <f t="shared" ref="AC4:AC67" si="2">AB4*AA4*5</f>
        <v>-47.441250000011337</v>
      </c>
      <c r="AD4" s="472"/>
    </row>
    <row r="5" spans="1:30" ht="14.25" x14ac:dyDescent="0.45">
      <c r="A5" s="597"/>
      <c r="B5" s="113">
        <v>10</v>
      </c>
      <c r="C5" s="152">
        <v>263.44080000000002</v>
      </c>
      <c r="D5" s="139">
        <v>263.61989999999997</v>
      </c>
      <c r="E5" s="139">
        <v>263.60449999999997</v>
      </c>
      <c r="F5" s="139">
        <v>263.42759999999998</v>
      </c>
      <c r="G5" s="139">
        <v>263.29719999999998</v>
      </c>
      <c r="H5" s="139">
        <v>263.5539</v>
      </c>
      <c r="I5" s="139">
        <v>263.37470000000002</v>
      </c>
      <c r="J5" s="139">
        <v>263.6103</v>
      </c>
      <c r="K5" s="139">
        <v>263.5557</v>
      </c>
      <c r="L5" s="139">
        <v>263.41410000000002</v>
      </c>
      <c r="M5" s="139">
        <v>263.48489999999998</v>
      </c>
      <c r="N5" s="152">
        <v>263.53129999999999</v>
      </c>
      <c r="O5" s="139"/>
      <c r="P5" s="139"/>
      <c r="Q5" s="139"/>
      <c r="R5" s="139"/>
      <c r="S5" s="139"/>
      <c r="T5" s="141"/>
      <c r="U5" s="141"/>
      <c r="V5" s="141"/>
      <c r="W5" s="141"/>
      <c r="X5" s="123"/>
      <c r="Y5" s="141">
        <f t="shared" si="0"/>
        <v>263.49290833333333</v>
      </c>
      <c r="Z5" s="141">
        <f t="shared" ref="Z5:Z12" si="3">Z4-5/100</f>
        <v>263.25489999999996</v>
      </c>
      <c r="AA5" s="159">
        <f t="shared" si="1"/>
        <v>-0.23800833333336868</v>
      </c>
      <c r="AB5" s="171">
        <v>54</v>
      </c>
      <c r="AC5" s="160">
        <f t="shared" si="2"/>
        <v>-64.262250000009544</v>
      </c>
      <c r="AD5" s="472"/>
    </row>
    <row r="6" spans="1:30" ht="14.25" x14ac:dyDescent="0.45">
      <c r="A6" s="597"/>
      <c r="B6" s="113">
        <v>15</v>
      </c>
      <c r="C6" s="152">
        <v>263.41070000000002</v>
      </c>
      <c r="D6" s="139">
        <v>263.53149999999999</v>
      </c>
      <c r="E6" s="139">
        <v>263.2944</v>
      </c>
      <c r="F6" s="139">
        <v>263.33949999999999</v>
      </c>
      <c r="G6" s="139">
        <v>263.24790000000002</v>
      </c>
      <c r="H6" s="139">
        <v>263.6859</v>
      </c>
      <c r="I6" s="139">
        <v>263.42329999999998</v>
      </c>
      <c r="J6" s="139">
        <v>263.596</v>
      </c>
      <c r="K6" s="139">
        <v>263.56380000000001</v>
      </c>
      <c r="L6" s="139">
        <v>263.53440000000001</v>
      </c>
      <c r="M6" s="139">
        <v>263.5009</v>
      </c>
      <c r="N6" s="152">
        <v>263.36529999999999</v>
      </c>
      <c r="O6" s="139"/>
      <c r="P6" s="139"/>
      <c r="Q6" s="139"/>
      <c r="R6" s="139"/>
      <c r="S6" s="139"/>
      <c r="T6" s="139"/>
      <c r="U6" s="141"/>
      <c r="V6" s="141"/>
      <c r="W6" s="141"/>
      <c r="X6" s="123"/>
      <c r="Y6" s="141">
        <f t="shared" si="0"/>
        <v>263.45779999999996</v>
      </c>
      <c r="Z6" s="141">
        <f t="shared" si="3"/>
        <v>263.20489999999995</v>
      </c>
      <c r="AA6" s="159">
        <f t="shared" si="1"/>
        <v>-0.252900000000011</v>
      </c>
      <c r="AB6" s="171">
        <v>54</v>
      </c>
      <c r="AC6" s="160">
        <f t="shared" si="2"/>
        <v>-68.283000000002971</v>
      </c>
      <c r="AD6" s="472"/>
    </row>
    <row r="7" spans="1:30" ht="14.25" x14ac:dyDescent="0.45">
      <c r="A7" s="597"/>
      <c r="B7" s="113">
        <v>20</v>
      </c>
      <c r="C7" s="152">
        <v>263.54239999999999</v>
      </c>
      <c r="D7" s="139">
        <v>263.42180000000002</v>
      </c>
      <c r="E7" s="139">
        <v>263.24059999999997</v>
      </c>
      <c r="F7" s="139">
        <v>263.09769999999997</v>
      </c>
      <c r="G7" s="139">
        <v>263.31630000000001</v>
      </c>
      <c r="H7" s="139">
        <v>263.3777</v>
      </c>
      <c r="I7" s="139">
        <v>263.46620000000001</v>
      </c>
      <c r="J7" s="139">
        <v>263.5385</v>
      </c>
      <c r="K7" s="139">
        <v>263.60250000000002</v>
      </c>
      <c r="L7" s="139">
        <v>263.43049999999999</v>
      </c>
      <c r="M7" s="139">
        <v>263.29509999999999</v>
      </c>
      <c r="N7" s="152">
        <v>263.46120000000002</v>
      </c>
      <c r="O7" s="152">
        <v>263.3569</v>
      </c>
      <c r="P7" s="152">
        <v>263.28370000000001</v>
      </c>
      <c r="Q7" s="152">
        <v>263.2013</v>
      </c>
      <c r="R7" s="152">
        <v>263.26769999999999</v>
      </c>
      <c r="S7" s="152">
        <v>263.08690000000001</v>
      </c>
      <c r="T7" s="139"/>
      <c r="U7" s="141"/>
      <c r="V7" s="141"/>
      <c r="W7" s="141"/>
      <c r="X7" s="123"/>
      <c r="Y7" s="141">
        <f t="shared" si="0"/>
        <v>263.35217647058823</v>
      </c>
      <c r="Z7" s="141">
        <f t="shared" si="3"/>
        <v>263.15489999999994</v>
      </c>
      <c r="AA7" s="159">
        <f t="shared" si="1"/>
        <v>-0.19727647058829234</v>
      </c>
      <c r="AB7" s="171">
        <v>78</v>
      </c>
      <c r="AC7" s="160">
        <f t="shared" si="2"/>
        <v>-76.937823529434013</v>
      </c>
      <c r="AD7" s="472"/>
    </row>
    <row r="8" spans="1:30" ht="14.25" x14ac:dyDescent="0.45">
      <c r="A8" s="597"/>
      <c r="B8" s="113">
        <v>25</v>
      </c>
      <c r="C8" s="152">
        <v>263.40690000000001</v>
      </c>
      <c r="D8" s="139">
        <v>263.49189999999999</v>
      </c>
      <c r="E8" s="139">
        <v>263.26100000000002</v>
      </c>
      <c r="F8" s="139">
        <v>263.07260000000002</v>
      </c>
      <c r="G8" s="139">
        <v>263.39359999999999</v>
      </c>
      <c r="H8" s="139">
        <v>263.46699999999998</v>
      </c>
      <c r="I8" s="139">
        <v>263.50220000000002</v>
      </c>
      <c r="J8" s="139">
        <v>263.42059999999998</v>
      </c>
      <c r="K8" s="139">
        <v>263.4753</v>
      </c>
      <c r="L8" s="139">
        <v>263.36500000000001</v>
      </c>
      <c r="M8" s="139">
        <v>263.30020000000002</v>
      </c>
      <c r="N8" s="139">
        <v>263.40339999999998</v>
      </c>
      <c r="O8" s="139">
        <v>263.36360000000002</v>
      </c>
      <c r="P8" s="139">
        <v>263.15230000000003</v>
      </c>
      <c r="Q8" s="139">
        <v>262.93049999999999</v>
      </c>
      <c r="R8" s="139">
        <v>263.23320000000001</v>
      </c>
      <c r="S8" s="152">
        <v>263.23070000000001</v>
      </c>
      <c r="T8" s="139"/>
      <c r="U8" s="141"/>
      <c r="V8" s="141"/>
      <c r="W8" s="141"/>
      <c r="X8" s="123"/>
      <c r="Y8" s="141">
        <f t="shared" si="0"/>
        <v>263.32176470588234</v>
      </c>
      <c r="Z8" s="141">
        <f t="shared" si="3"/>
        <v>263.10489999999993</v>
      </c>
      <c r="AA8" s="159">
        <f t="shared" si="1"/>
        <v>-0.21686470588241491</v>
      </c>
      <c r="AB8" s="171">
        <v>78</v>
      </c>
      <c r="AC8" s="160">
        <f t="shared" si="2"/>
        <v>-84.577235294141815</v>
      </c>
      <c r="AD8" s="472"/>
    </row>
    <row r="9" spans="1:30" ht="14.25" x14ac:dyDescent="0.45">
      <c r="A9" s="597"/>
      <c r="B9" s="113">
        <v>30</v>
      </c>
      <c r="C9" s="152">
        <v>263.4932</v>
      </c>
      <c r="D9" s="139">
        <v>263.38900000000001</v>
      </c>
      <c r="E9" s="139">
        <v>263.36509999999998</v>
      </c>
      <c r="F9" s="139">
        <v>263.28989999999999</v>
      </c>
      <c r="G9" s="139">
        <v>263.62720000000002</v>
      </c>
      <c r="H9" s="139">
        <v>263.48840000000001</v>
      </c>
      <c r="I9" s="139">
        <v>263.51139999999998</v>
      </c>
      <c r="J9" s="139">
        <v>263.3578</v>
      </c>
      <c r="K9" s="139">
        <v>263.29919999999998</v>
      </c>
      <c r="L9" s="139">
        <v>263.23309999999998</v>
      </c>
      <c r="M9" s="139">
        <v>263.27730000000003</v>
      </c>
      <c r="N9" s="139">
        <v>263.23169999999999</v>
      </c>
      <c r="O9" s="139">
        <v>263.31939999999997</v>
      </c>
      <c r="P9" s="139">
        <v>263.14510000000001</v>
      </c>
      <c r="Q9" s="139">
        <v>263.08449999999999</v>
      </c>
      <c r="R9" s="139">
        <v>263.209</v>
      </c>
      <c r="S9" s="152">
        <v>263.24509999999998</v>
      </c>
      <c r="T9" s="139"/>
      <c r="U9" s="141"/>
      <c r="V9" s="141"/>
      <c r="W9" s="141"/>
      <c r="X9" s="123"/>
      <c r="Y9" s="141">
        <f t="shared" si="0"/>
        <v>263.32743529411761</v>
      </c>
      <c r="Z9" s="141">
        <f t="shared" si="3"/>
        <v>263.05489999999992</v>
      </c>
      <c r="AA9" s="159">
        <f t="shared" si="1"/>
        <v>-0.27253529411768795</v>
      </c>
      <c r="AB9" s="171">
        <v>78</v>
      </c>
      <c r="AC9" s="160">
        <f t="shared" si="2"/>
        <v>-106.2887647058983</v>
      </c>
      <c r="AD9" s="472"/>
    </row>
    <row r="10" spans="1:30" ht="14.25" x14ac:dyDescent="0.45">
      <c r="A10" s="597"/>
      <c r="B10" s="113">
        <v>35</v>
      </c>
      <c r="C10" s="152">
        <v>263.47390000000001</v>
      </c>
      <c r="D10" s="139">
        <v>263.62610000000001</v>
      </c>
      <c r="E10" s="139">
        <v>263.3972</v>
      </c>
      <c r="F10" s="139">
        <v>263.7013</v>
      </c>
      <c r="G10" s="139">
        <v>263.65159999999997</v>
      </c>
      <c r="H10" s="139">
        <v>263.68900000000002</v>
      </c>
      <c r="I10" s="139">
        <v>263.58960000000002</v>
      </c>
      <c r="J10" s="139">
        <v>263.57089999999999</v>
      </c>
      <c r="K10" s="139">
        <v>263.29289999999997</v>
      </c>
      <c r="L10" s="139">
        <v>263.34089999999998</v>
      </c>
      <c r="M10" s="139">
        <v>263.30399999999997</v>
      </c>
      <c r="N10" s="139">
        <v>263.37209999999999</v>
      </c>
      <c r="O10" s="139">
        <v>263.42290000000003</v>
      </c>
      <c r="P10" s="139">
        <v>263.2244</v>
      </c>
      <c r="Q10" s="139">
        <v>263.06299999999999</v>
      </c>
      <c r="R10" s="139">
        <v>262.99599999999998</v>
      </c>
      <c r="S10" s="152">
        <v>263.39019999999999</v>
      </c>
      <c r="T10" s="139"/>
      <c r="U10" s="141"/>
      <c r="V10" s="141"/>
      <c r="W10" s="141"/>
      <c r="X10" s="123"/>
      <c r="Y10" s="141">
        <f t="shared" si="0"/>
        <v>263.41800000000001</v>
      </c>
      <c r="Z10" s="141">
        <f t="shared" si="3"/>
        <v>263.00489999999991</v>
      </c>
      <c r="AA10" s="159">
        <f t="shared" si="1"/>
        <v>-0.4131000000000995</v>
      </c>
      <c r="AB10" s="171">
        <v>78</v>
      </c>
      <c r="AC10" s="160">
        <f t="shared" si="2"/>
        <v>-161.1090000000388</v>
      </c>
      <c r="AD10" s="472"/>
    </row>
    <row r="11" spans="1:30" ht="14.25" x14ac:dyDescent="0.45">
      <c r="A11" s="597"/>
      <c r="B11" s="113">
        <v>40</v>
      </c>
      <c r="C11" s="152">
        <v>263.40519999999998</v>
      </c>
      <c r="D11" s="139">
        <v>263.60520000000002</v>
      </c>
      <c r="E11" s="139">
        <v>263.25040000000001</v>
      </c>
      <c r="F11" s="139">
        <v>263.5951</v>
      </c>
      <c r="G11" s="139">
        <v>263.64620000000002</v>
      </c>
      <c r="H11" s="139">
        <v>263.60520000000002</v>
      </c>
      <c r="I11" s="139">
        <v>263.67450000000002</v>
      </c>
      <c r="J11" s="139">
        <v>263.64999999999998</v>
      </c>
      <c r="K11" s="139">
        <v>263.48</v>
      </c>
      <c r="L11" s="139">
        <v>263.36090000000002</v>
      </c>
      <c r="M11" s="139">
        <v>263.31470000000002</v>
      </c>
      <c r="N11" s="139">
        <v>263.41759999999999</v>
      </c>
      <c r="O11" s="139">
        <v>263.45080000000002</v>
      </c>
      <c r="P11" s="139">
        <v>263.33670000000001</v>
      </c>
      <c r="Q11" s="139">
        <v>262.90109999999999</v>
      </c>
      <c r="R11" s="139">
        <v>262.99709999999999</v>
      </c>
      <c r="S11" s="152">
        <v>263.24439999999998</v>
      </c>
      <c r="T11" s="139"/>
      <c r="U11" s="141"/>
      <c r="V11" s="141"/>
      <c r="W11" s="141"/>
      <c r="X11" s="123"/>
      <c r="Y11" s="141">
        <f t="shared" si="0"/>
        <v>263.40794705882354</v>
      </c>
      <c r="Z11" s="141">
        <f t="shared" si="3"/>
        <v>262.9548999999999</v>
      </c>
      <c r="AA11" s="159">
        <f t="shared" si="1"/>
        <v>-0.4530470588236426</v>
      </c>
      <c r="AB11" s="171">
        <v>78</v>
      </c>
      <c r="AC11" s="160">
        <f t="shared" si="2"/>
        <v>-176.68835294122061</v>
      </c>
      <c r="AD11" s="472"/>
    </row>
    <row r="12" spans="1:30" ht="14.25" x14ac:dyDescent="0.45">
      <c r="A12" s="597"/>
      <c r="B12" s="113">
        <v>45</v>
      </c>
      <c r="C12" s="152">
        <v>263.3963</v>
      </c>
      <c r="D12" s="152">
        <v>263.30340000000001</v>
      </c>
      <c r="E12" s="152">
        <v>263.6474</v>
      </c>
      <c r="F12" s="152">
        <v>263.62169999999998</v>
      </c>
      <c r="G12" s="152">
        <v>263.64089999999999</v>
      </c>
      <c r="H12" s="152">
        <v>263.65440000000001</v>
      </c>
      <c r="I12" s="152">
        <v>263.64879999999999</v>
      </c>
      <c r="J12" s="152">
        <v>263.66340000000002</v>
      </c>
      <c r="K12" s="152">
        <v>263.63569999999999</v>
      </c>
      <c r="L12" s="152">
        <v>263.38580000000002</v>
      </c>
      <c r="M12" s="152">
        <v>263.30689999999998</v>
      </c>
      <c r="N12" s="152">
        <v>263.32769999999999</v>
      </c>
      <c r="O12" s="152">
        <v>263.26150000000001</v>
      </c>
      <c r="P12" s="152">
        <v>263.26369999999997</v>
      </c>
      <c r="Q12" s="152">
        <v>262.99619999999999</v>
      </c>
      <c r="R12" s="152">
        <v>262.9742</v>
      </c>
      <c r="S12" s="152">
        <v>263.02969999999999</v>
      </c>
      <c r="T12" s="139"/>
      <c r="U12" s="141"/>
      <c r="V12" s="141"/>
      <c r="W12" s="141"/>
      <c r="X12" s="123"/>
      <c r="Y12" s="141">
        <f t="shared" si="0"/>
        <v>263.39751176470583</v>
      </c>
      <c r="Z12" s="141">
        <f t="shared" si="3"/>
        <v>262.90489999999988</v>
      </c>
      <c r="AA12" s="159">
        <f t="shared" si="1"/>
        <v>-0.49261176470594137</v>
      </c>
      <c r="AB12" s="171">
        <v>78</v>
      </c>
      <c r="AC12" s="160">
        <f t="shared" si="2"/>
        <v>-192.11858823531713</v>
      </c>
      <c r="AD12" s="112">
        <f>SUM(AC3:AC12)</f>
        <v>-1024.9562647060775</v>
      </c>
    </row>
    <row r="13" spans="1:30" ht="14.25" x14ac:dyDescent="0.45">
      <c r="A13" s="599" t="s">
        <v>14</v>
      </c>
      <c r="B13" s="147">
        <v>0</v>
      </c>
      <c r="C13" s="151">
        <v>263.38589999999999</v>
      </c>
      <c r="D13" s="151">
        <v>263.428</v>
      </c>
      <c r="E13" s="151">
        <v>263.45510000000002</v>
      </c>
      <c r="F13" s="151">
        <v>263.35950000000003</v>
      </c>
      <c r="G13" s="151">
        <v>263.3503</v>
      </c>
      <c r="H13" s="151">
        <v>263.238</v>
      </c>
      <c r="I13" s="151">
        <v>263.26949999999999</v>
      </c>
      <c r="J13" s="151">
        <v>262.87549999999999</v>
      </c>
      <c r="K13" s="151">
        <v>263.18169999999998</v>
      </c>
      <c r="L13" s="151">
        <v>263.0299</v>
      </c>
      <c r="M13" s="151">
        <v>263.08370000000002</v>
      </c>
      <c r="N13" s="151">
        <v>263.17329999999998</v>
      </c>
      <c r="O13" s="151">
        <v>263.08109999999999</v>
      </c>
      <c r="P13" s="151">
        <v>262.77629999999999</v>
      </c>
      <c r="Q13" s="151">
        <v>262.77030000000002</v>
      </c>
      <c r="R13" s="140"/>
      <c r="S13" s="140"/>
      <c r="T13" s="140"/>
      <c r="U13" s="140"/>
      <c r="V13" s="140"/>
      <c r="W13" s="140"/>
      <c r="X13" s="116"/>
      <c r="Y13" s="140">
        <f t="shared" si="0"/>
        <v>263.16387333333336</v>
      </c>
      <c r="Z13" s="140">
        <f t="shared" ref="Z13:Z21" si="4">Z14-5/100</f>
        <v>262.93516315789464</v>
      </c>
      <c r="AA13" s="159">
        <f t="shared" si="1"/>
        <v>-0.22871017543872085</v>
      </c>
      <c r="AB13" s="172">
        <v>70</v>
      </c>
      <c r="AC13" s="158">
        <f t="shared" si="2"/>
        <v>-80.048561403552299</v>
      </c>
      <c r="AD13" s="472"/>
    </row>
    <row r="14" spans="1:30" ht="14.25" x14ac:dyDescent="0.45">
      <c r="A14" s="600"/>
      <c r="B14" s="146">
        <v>5</v>
      </c>
      <c r="C14" s="153">
        <v>263.11700000000002</v>
      </c>
      <c r="D14" s="141">
        <v>263.36779999999999</v>
      </c>
      <c r="E14" s="141">
        <v>263.40030000000002</v>
      </c>
      <c r="F14" s="141">
        <v>263.18830000000003</v>
      </c>
      <c r="G14" s="141">
        <v>263.37189999999998</v>
      </c>
      <c r="H14" s="141">
        <v>263.1157</v>
      </c>
      <c r="I14" s="141">
        <v>263.08350000000002</v>
      </c>
      <c r="J14" s="141">
        <v>262.96899999999999</v>
      </c>
      <c r="K14" s="141">
        <v>262.90609999999998</v>
      </c>
      <c r="L14" s="141">
        <v>262.78120000000001</v>
      </c>
      <c r="M14" s="141">
        <v>262.92869999999999</v>
      </c>
      <c r="N14" s="141">
        <v>262.9991</v>
      </c>
      <c r="O14" s="141">
        <v>262.94330000000002</v>
      </c>
      <c r="P14" s="141">
        <v>262.76130000000001</v>
      </c>
      <c r="Q14" s="141">
        <v>262.77</v>
      </c>
      <c r="R14" s="153">
        <v>262.75599999999997</v>
      </c>
      <c r="S14" s="153">
        <v>262.76510000000002</v>
      </c>
      <c r="T14" s="153">
        <v>262.77999999999997</v>
      </c>
      <c r="U14" s="153">
        <v>263.0274</v>
      </c>
      <c r="V14" s="141"/>
      <c r="W14" s="141"/>
      <c r="X14" s="108"/>
      <c r="Y14" s="141">
        <f t="shared" si="0"/>
        <v>263.00166842105261</v>
      </c>
      <c r="Z14" s="141">
        <f t="shared" si="4"/>
        <v>262.98516315789465</v>
      </c>
      <c r="AA14" s="159">
        <f t="shared" si="1"/>
        <v>-1.6505263157966965E-2</v>
      </c>
      <c r="AB14" s="171">
        <v>86</v>
      </c>
      <c r="AC14" s="160">
        <f t="shared" si="2"/>
        <v>-7.097263157925795</v>
      </c>
      <c r="AD14" s="472"/>
    </row>
    <row r="15" spans="1:30" ht="14.25" x14ac:dyDescent="0.45">
      <c r="A15" s="600"/>
      <c r="B15" s="146">
        <v>10</v>
      </c>
      <c r="C15" s="153">
        <v>263.2167</v>
      </c>
      <c r="D15" s="141">
        <v>263.24549999999999</v>
      </c>
      <c r="E15" s="141">
        <v>263.18529999999998</v>
      </c>
      <c r="F15" s="141">
        <v>263.26400000000001</v>
      </c>
      <c r="G15" s="141">
        <v>263.1764</v>
      </c>
      <c r="H15" s="141">
        <v>263.09230000000002</v>
      </c>
      <c r="I15" s="141">
        <v>262.76069999999999</v>
      </c>
      <c r="J15" s="141">
        <v>263.17230000000001</v>
      </c>
      <c r="K15" s="141">
        <v>263.11509999999998</v>
      </c>
      <c r="L15" s="141">
        <v>263.1662</v>
      </c>
      <c r="M15" s="141">
        <v>263.01420000000002</v>
      </c>
      <c r="N15" s="141">
        <v>263.02080000000001</v>
      </c>
      <c r="O15" s="141">
        <v>263.0718</v>
      </c>
      <c r="P15" s="141">
        <v>263.03989999999999</v>
      </c>
      <c r="Q15" s="141">
        <v>262.82920000000001</v>
      </c>
      <c r="R15" s="141">
        <v>262.72320000000002</v>
      </c>
      <c r="S15" s="141">
        <v>262.75959999999998</v>
      </c>
      <c r="T15" s="141">
        <v>262.755</v>
      </c>
      <c r="U15" s="153">
        <v>262.81610000000001</v>
      </c>
      <c r="V15" s="141"/>
      <c r="W15" s="141"/>
      <c r="X15" s="108"/>
      <c r="Y15" s="141">
        <f t="shared" si="0"/>
        <v>263.02233157894744</v>
      </c>
      <c r="Z15" s="141">
        <f t="shared" si="4"/>
        <v>263.03516315789466</v>
      </c>
      <c r="AA15" s="159">
        <f t="shared" si="1"/>
        <v>1.2831578947213984E-2</v>
      </c>
      <c r="AB15" s="171">
        <v>86</v>
      </c>
      <c r="AC15" s="160">
        <f t="shared" si="2"/>
        <v>5.5175789473020131</v>
      </c>
      <c r="AD15" s="472"/>
    </row>
    <row r="16" spans="1:30" ht="14.25" x14ac:dyDescent="0.45">
      <c r="A16" s="600"/>
      <c r="B16" s="146">
        <v>15</v>
      </c>
      <c r="C16" s="153">
        <v>263.03390000000002</v>
      </c>
      <c r="D16" s="141">
        <v>263.0403</v>
      </c>
      <c r="E16" s="141">
        <v>263.0736</v>
      </c>
      <c r="F16" s="141">
        <v>263.10700000000003</v>
      </c>
      <c r="G16" s="141">
        <v>263.08409999999998</v>
      </c>
      <c r="H16" s="141">
        <v>262.90769999999998</v>
      </c>
      <c r="I16" s="141">
        <v>262.91230000000002</v>
      </c>
      <c r="J16" s="141">
        <v>263.0301</v>
      </c>
      <c r="K16" s="141">
        <v>262.92869999999999</v>
      </c>
      <c r="L16" s="141">
        <v>263.00889999999998</v>
      </c>
      <c r="M16" s="141">
        <v>263.05169999999998</v>
      </c>
      <c r="N16" s="141">
        <v>262.89229999999998</v>
      </c>
      <c r="O16" s="141">
        <v>262.96929999999998</v>
      </c>
      <c r="P16" s="141">
        <v>263.00490000000002</v>
      </c>
      <c r="Q16" s="141">
        <v>262.77749999999997</v>
      </c>
      <c r="R16" s="141">
        <v>262.8116</v>
      </c>
      <c r="S16" s="141">
        <v>262.75850000000003</v>
      </c>
      <c r="T16" s="141">
        <v>262.80399999999997</v>
      </c>
      <c r="U16" s="153">
        <v>262.8766</v>
      </c>
      <c r="V16" s="141"/>
      <c r="W16" s="141"/>
      <c r="X16" s="108"/>
      <c r="Y16" s="141">
        <f t="shared" si="0"/>
        <v>262.95121052631578</v>
      </c>
      <c r="Z16" s="141">
        <f t="shared" si="4"/>
        <v>263.08516315789467</v>
      </c>
      <c r="AA16" s="159">
        <f t="shared" si="1"/>
        <v>0.13395263157889303</v>
      </c>
      <c r="AB16" s="171">
        <v>86</v>
      </c>
      <c r="AC16" s="160">
        <f t="shared" si="2"/>
        <v>57.599631578924004</v>
      </c>
      <c r="AD16" s="472"/>
    </row>
    <row r="17" spans="1:30" ht="14.25" x14ac:dyDescent="0.45">
      <c r="A17" s="600"/>
      <c r="B17" s="146">
        <v>20</v>
      </c>
      <c r="C17" s="153">
        <v>263.07929999999999</v>
      </c>
      <c r="D17" s="141">
        <v>263.1001</v>
      </c>
      <c r="E17" s="141">
        <v>263.06209999999999</v>
      </c>
      <c r="F17" s="141">
        <v>263.08530000000002</v>
      </c>
      <c r="G17" s="141">
        <v>262.92500000000001</v>
      </c>
      <c r="H17" s="141">
        <v>262.97840000000002</v>
      </c>
      <c r="I17" s="141">
        <v>262.90910000000002</v>
      </c>
      <c r="J17" s="141">
        <v>262.81580000000002</v>
      </c>
      <c r="K17" s="141">
        <v>263.06189999999998</v>
      </c>
      <c r="L17" s="141">
        <v>262.99099999999999</v>
      </c>
      <c r="M17" s="141">
        <v>263.17430000000002</v>
      </c>
      <c r="N17" s="141">
        <v>262.98880000000003</v>
      </c>
      <c r="O17" s="141">
        <v>262.83600000000001</v>
      </c>
      <c r="P17" s="141">
        <v>262.84379999999999</v>
      </c>
      <c r="Q17" s="141">
        <v>262.76889999999997</v>
      </c>
      <c r="R17" s="141">
        <v>262.78019999999998</v>
      </c>
      <c r="S17" s="141">
        <v>262.79640000000001</v>
      </c>
      <c r="T17" s="141">
        <v>262.77659999999997</v>
      </c>
      <c r="U17" s="153">
        <v>262.78070000000002</v>
      </c>
      <c r="V17" s="141"/>
      <c r="W17" s="141"/>
      <c r="X17" s="108"/>
      <c r="Y17" s="141">
        <f t="shared" si="0"/>
        <v>262.93440526315794</v>
      </c>
      <c r="Z17" s="141">
        <f t="shared" si="4"/>
        <v>263.13516315789468</v>
      </c>
      <c r="AA17" s="159">
        <f t="shared" si="1"/>
        <v>0.20075789473673922</v>
      </c>
      <c r="AB17" s="171">
        <v>86</v>
      </c>
      <c r="AC17" s="160">
        <f t="shared" si="2"/>
        <v>86.325894736797864</v>
      </c>
      <c r="AD17" s="472"/>
    </row>
    <row r="18" spans="1:30" ht="14.25" x14ac:dyDescent="0.45">
      <c r="A18" s="600"/>
      <c r="B18" s="146">
        <v>25</v>
      </c>
      <c r="C18" s="153">
        <v>263.03649999999999</v>
      </c>
      <c r="D18" s="141">
        <v>263.10329999999999</v>
      </c>
      <c r="E18" s="141">
        <v>262.97559999999999</v>
      </c>
      <c r="F18" s="141">
        <v>262.93990000000002</v>
      </c>
      <c r="G18" s="141">
        <v>262.91899999999998</v>
      </c>
      <c r="H18" s="141">
        <v>263.0745</v>
      </c>
      <c r="I18" s="141">
        <v>263.0532</v>
      </c>
      <c r="J18" s="141">
        <v>263.01459999999997</v>
      </c>
      <c r="K18" s="141">
        <v>262.91930000000002</v>
      </c>
      <c r="L18" s="141">
        <v>262.82330000000002</v>
      </c>
      <c r="M18" s="141">
        <v>262.88150000000002</v>
      </c>
      <c r="N18" s="141">
        <v>262.70299999999997</v>
      </c>
      <c r="O18" s="141">
        <v>262.82510000000002</v>
      </c>
      <c r="P18" s="141">
        <v>262.9194</v>
      </c>
      <c r="Q18" s="141">
        <v>262.86470000000003</v>
      </c>
      <c r="R18" s="141">
        <v>262.81299999999999</v>
      </c>
      <c r="S18" s="141">
        <v>262.79450000000003</v>
      </c>
      <c r="T18" s="141">
        <v>262.7654</v>
      </c>
      <c r="U18" s="153">
        <v>262.86989999999997</v>
      </c>
      <c r="V18" s="141"/>
      <c r="W18" s="141"/>
      <c r="X18" s="108"/>
      <c r="Y18" s="141">
        <f t="shared" si="0"/>
        <v>262.91030000000001</v>
      </c>
      <c r="Z18" s="141">
        <f t="shared" si="4"/>
        <v>263.18516315789469</v>
      </c>
      <c r="AA18" s="159">
        <f t="shared" si="1"/>
        <v>0.27486315789468563</v>
      </c>
      <c r="AB18" s="171">
        <v>86</v>
      </c>
      <c r="AC18" s="160">
        <f t="shared" si="2"/>
        <v>118.19115789471482</v>
      </c>
      <c r="AD18" s="472"/>
    </row>
    <row r="19" spans="1:30" ht="14.25" x14ac:dyDescent="0.45">
      <c r="A19" s="600"/>
      <c r="B19" s="146">
        <v>30</v>
      </c>
      <c r="C19" s="153">
        <v>262.9529</v>
      </c>
      <c r="D19" s="141">
        <v>263.09710000000001</v>
      </c>
      <c r="E19" s="141">
        <v>263.01729999999998</v>
      </c>
      <c r="F19" s="141">
        <v>262.8202</v>
      </c>
      <c r="G19" s="141">
        <v>262.97469999999998</v>
      </c>
      <c r="H19" s="141">
        <v>263.14830000000001</v>
      </c>
      <c r="I19" s="141">
        <v>262.9837</v>
      </c>
      <c r="J19" s="141">
        <v>262.95319999999998</v>
      </c>
      <c r="K19" s="141">
        <v>262.89</v>
      </c>
      <c r="L19" s="141">
        <v>262.78219999999999</v>
      </c>
      <c r="M19" s="141">
        <v>262.76519999999999</v>
      </c>
      <c r="N19" s="141">
        <v>262.73950000000002</v>
      </c>
      <c r="O19" s="141">
        <v>262.76400000000001</v>
      </c>
      <c r="P19" s="141">
        <v>262.75830000000002</v>
      </c>
      <c r="Q19" s="141">
        <v>262.68119999999999</v>
      </c>
      <c r="R19" s="141">
        <v>262.69869999999997</v>
      </c>
      <c r="S19" s="141">
        <v>262.75839999999999</v>
      </c>
      <c r="T19" s="141">
        <v>262.76990000000001</v>
      </c>
      <c r="U19" s="153">
        <v>262.90280000000001</v>
      </c>
      <c r="V19" s="141"/>
      <c r="W19" s="141"/>
      <c r="X19" s="108"/>
      <c r="Y19" s="141">
        <f t="shared" si="0"/>
        <v>262.86618947368419</v>
      </c>
      <c r="Z19" s="141">
        <f t="shared" si="4"/>
        <v>263.2351631578947</v>
      </c>
      <c r="AA19" s="159">
        <f t="shared" si="1"/>
        <v>0.36897368421051624</v>
      </c>
      <c r="AB19" s="171">
        <v>86</v>
      </c>
      <c r="AC19" s="160">
        <f t="shared" si="2"/>
        <v>158.65868421052198</v>
      </c>
      <c r="AD19" s="472"/>
    </row>
    <row r="20" spans="1:30" ht="14.25" x14ac:dyDescent="0.45">
      <c r="A20" s="600"/>
      <c r="B20" s="146">
        <v>35</v>
      </c>
      <c r="C20" s="153">
        <v>263.10120000000001</v>
      </c>
      <c r="D20" s="141">
        <v>263.08980000000003</v>
      </c>
      <c r="E20" s="141">
        <v>262.75099999999998</v>
      </c>
      <c r="F20" s="141">
        <v>263.17759999999998</v>
      </c>
      <c r="G20" s="141">
        <v>263.16129999999998</v>
      </c>
      <c r="H20" s="141">
        <v>263.12889999999999</v>
      </c>
      <c r="I20" s="141">
        <v>263.05070000000001</v>
      </c>
      <c r="J20" s="141">
        <v>262.95</v>
      </c>
      <c r="K20" s="141">
        <v>262.96510000000001</v>
      </c>
      <c r="L20" s="141">
        <v>262.96480000000003</v>
      </c>
      <c r="M20" s="141">
        <v>263.01609999999999</v>
      </c>
      <c r="N20" s="141">
        <v>262.85820000000001</v>
      </c>
      <c r="O20" s="141">
        <v>262.76760000000002</v>
      </c>
      <c r="P20" s="141">
        <v>262.72559999999999</v>
      </c>
      <c r="Q20" s="141">
        <v>262.69549999999998</v>
      </c>
      <c r="R20" s="141">
        <v>262.69200000000001</v>
      </c>
      <c r="S20" s="141">
        <v>262.70350000000002</v>
      </c>
      <c r="T20" s="141">
        <v>262.70830000000001</v>
      </c>
      <c r="U20" s="153">
        <v>262.77350000000001</v>
      </c>
      <c r="V20" s="141"/>
      <c r="W20" s="141"/>
      <c r="X20" s="108"/>
      <c r="Y20" s="141">
        <f t="shared" si="0"/>
        <v>262.90951052631578</v>
      </c>
      <c r="Z20" s="141">
        <f t="shared" si="4"/>
        <v>263.28516315789471</v>
      </c>
      <c r="AA20" s="159">
        <f t="shared" si="1"/>
        <v>0.37565263157893014</v>
      </c>
      <c r="AB20" s="171">
        <v>86</v>
      </c>
      <c r="AC20" s="160">
        <f t="shared" si="2"/>
        <v>161.53063157893996</v>
      </c>
      <c r="AD20" s="472"/>
    </row>
    <row r="21" spans="1:30" ht="14.25" x14ac:dyDescent="0.45">
      <c r="A21" s="600"/>
      <c r="B21" s="146">
        <v>40</v>
      </c>
      <c r="C21" s="153">
        <v>263.12540000000001</v>
      </c>
      <c r="D21" s="141">
        <v>262.7749</v>
      </c>
      <c r="E21" s="141">
        <v>263.09559999999999</v>
      </c>
      <c r="F21" s="141">
        <v>263.23899999999998</v>
      </c>
      <c r="G21" s="141">
        <v>263.09699999999998</v>
      </c>
      <c r="H21" s="141">
        <v>263.07429999999999</v>
      </c>
      <c r="I21" s="141">
        <v>263.09809999999999</v>
      </c>
      <c r="J21" s="141">
        <v>262.9796</v>
      </c>
      <c r="K21" s="141">
        <v>262.98129999999998</v>
      </c>
      <c r="L21" s="141">
        <v>263.0018</v>
      </c>
      <c r="M21" s="141">
        <v>262.93599999999998</v>
      </c>
      <c r="N21" s="141">
        <v>262.83460000000002</v>
      </c>
      <c r="O21" s="141">
        <v>262.83749999999998</v>
      </c>
      <c r="P21" s="141">
        <v>262.76749999999998</v>
      </c>
      <c r="Q21" s="141">
        <v>262.68560000000002</v>
      </c>
      <c r="R21" s="141">
        <v>262.67610000000002</v>
      </c>
      <c r="S21" s="141">
        <v>262.73989999999998</v>
      </c>
      <c r="T21" s="141">
        <v>262.64980000000003</v>
      </c>
      <c r="U21" s="153">
        <v>262.86</v>
      </c>
      <c r="V21" s="141"/>
      <c r="W21" s="141"/>
      <c r="X21" s="108"/>
      <c r="Y21" s="141">
        <f t="shared" si="0"/>
        <v>262.91863157894733</v>
      </c>
      <c r="Z21" s="141">
        <f t="shared" si="4"/>
        <v>263.33516315789473</v>
      </c>
      <c r="AA21" s="159">
        <f t="shared" si="1"/>
        <v>0.41653157894739934</v>
      </c>
      <c r="AB21" s="171">
        <v>86</v>
      </c>
      <c r="AC21" s="160">
        <f t="shared" si="2"/>
        <v>179.10857894738172</v>
      </c>
      <c r="AD21" s="472"/>
    </row>
    <row r="22" spans="1:30" ht="14.25" x14ac:dyDescent="0.45">
      <c r="A22" s="600"/>
      <c r="B22" s="146">
        <v>45</v>
      </c>
      <c r="C22" s="153">
        <v>262.87290000000002</v>
      </c>
      <c r="D22" s="141">
        <v>263.08269999999999</v>
      </c>
      <c r="E22" s="141">
        <v>263.06110000000001</v>
      </c>
      <c r="F22" s="141">
        <v>263.11630000000002</v>
      </c>
      <c r="G22" s="141">
        <v>263.05489999999998</v>
      </c>
      <c r="H22" s="141">
        <v>262.94810000000001</v>
      </c>
      <c r="I22" s="141">
        <v>263.03179999999998</v>
      </c>
      <c r="J22" s="141">
        <v>262.94220000000001</v>
      </c>
      <c r="K22" s="141">
        <v>262.90300000000002</v>
      </c>
      <c r="L22" s="141">
        <v>262.93180000000001</v>
      </c>
      <c r="M22" s="141">
        <v>262.87639999999999</v>
      </c>
      <c r="N22" s="141">
        <v>262.74919999999997</v>
      </c>
      <c r="O22" s="141">
        <v>262.83179999999999</v>
      </c>
      <c r="P22" s="141">
        <v>262.85899999999998</v>
      </c>
      <c r="Q22" s="141">
        <v>262.78230000000002</v>
      </c>
      <c r="R22" s="141">
        <v>262.77809999999999</v>
      </c>
      <c r="S22" s="141">
        <v>262.72109999999998</v>
      </c>
      <c r="T22" s="141">
        <v>262.63760000000002</v>
      </c>
      <c r="U22" s="153">
        <v>262.87810000000002</v>
      </c>
      <c r="V22" s="141"/>
      <c r="W22" s="141"/>
      <c r="X22" s="108"/>
      <c r="Y22" s="169">
        <f t="shared" si="0"/>
        <v>262.89781052631571</v>
      </c>
      <c r="Z22" s="141">
        <f>Z23-5/100</f>
        <v>263.38516315789474</v>
      </c>
      <c r="AA22" s="159">
        <f t="shared" si="1"/>
        <v>0.48735263157902864</v>
      </c>
      <c r="AB22" s="173">
        <v>86</v>
      </c>
      <c r="AC22" s="160">
        <f t="shared" si="2"/>
        <v>209.56163157898231</v>
      </c>
      <c r="AD22" s="472"/>
    </row>
    <row r="23" spans="1:30" ht="14.25" x14ac:dyDescent="0.45">
      <c r="A23" s="600"/>
      <c r="B23" s="146">
        <v>50</v>
      </c>
      <c r="C23" s="153">
        <v>263.17419999999998</v>
      </c>
      <c r="D23" s="141">
        <v>263.07470000000001</v>
      </c>
      <c r="E23" s="141">
        <v>263.12540000000001</v>
      </c>
      <c r="F23" s="141">
        <v>263.14929999999998</v>
      </c>
      <c r="G23" s="141">
        <v>262.98329999999999</v>
      </c>
      <c r="H23" s="141">
        <v>262.89659999999998</v>
      </c>
      <c r="I23" s="141">
        <v>263.0086</v>
      </c>
      <c r="J23" s="141">
        <v>262.88459999999998</v>
      </c>
      <c r="K23" s="141">
        <v>262.84469999999999</v>
      </c>
      <c r="L23" s="141">
        <v>262.84949999999998</v>
      </c>
      <c r="M23" s="141">
        <v>262.81529999999998</v>
      </c>
      <c r="N23" s="141">
        <v>262.709</v>
      </c>
      <c r="O23" s="141">
        <v>262.75130000000001</v>
      </c>
      <c r="P23" s="141">
        <v>262.75830000000002</v>
      </c>
      <c r="Q23" s="141">
        <v>262.74360000000001</v>
      </c>
      <c r="R23" s="141">
        <v>262.6121</v>
      </c>
      <c r="S23" s="141">
        <v>262.63040000000001</v>
      </c>
      <c r="T23" s="141">
        <v>262.60610000000003</v>
      </c>
      <c r="U23" s="153">
        <v>262.76409999999998</v>
      </c>
      <c r="V23" s="141"/>
      <c r="W23" s="141"/>
      <c r="X23" s="124"/>
      <c r="Y23" s="167">
        <f t="shared" si="0"/>
        <v>262.86216315789477</v>
      </c>
      <c r="Z23" s="167">
        <f>Y23+0.5-0.002+0.075</f>
        <v>263.43516315789475</v>
      </c>
      <c r="AA23" s="159">
        <f t="shared" si="1"/>
        <v>0.57299999999997908</v>
      </c>
      <c r="AB23" s="173">
        <v>86</v>
      </c>
      <c r="AC23" s="160">
        <f t="shared" si="2"/>
        <v>246.38999999999101</v>
      </c>
      <c r="AD23" s="472"/>
    </row>
    <row r="24" spans="1:30" ht="14.25" x14ac:dyDescent="0.45">
      <c r="A24" s="600"/>
      <c r="B24" s="146">
        <v>55</v>
      </c>
      <c r="C24" s="153">
        <v>263.07690000000002</v>
      </c>
      <c r="D24" s="141">
        <v>262.9348</v>
      </c>
      <c r="E24" s="141">
        <v>262.90449999999998</v>
      </c>
      <c r="F24" s="141">
        <v>263.07249999999999</v>
      </c>
      <c r="G24" s="141">
        <v>263.0025</v>
      </c>
      <c r="H24" s="141">
        <v>263.12029999999999</v>
      </c>
      <c r="I24" s="141">
        <v>263.09710000000001</v>
      </c>
      <c r="J24" s="141">
        <v>262.99009999999998</v>
      </c>
      <c r="K24" s="141">
        <v>262.88940000000002</v>
      </c>
      <c r="L24" s="141">
        <v>262.8528</v>
      </c>
      <c r="M24" s="141">
        <v>262.8279</v>
      </c>
      <c r="N24" s="141">
        <v>262.8621</v>
      </c>
      <c r="O24" s="141">
        <v>262.7244</v>
      </c>
      <c r="P24" s="141">
        <v>262.81459999999998</v>
      </c>
      <c r="Q24" s="141">
        <v>262.79129999999998</v>
      </c>
      <c r="R24" s="141">
        <v>262.7131</v>
      </c>
      <c r="S24" s="141">
        <v>262.71480000000003</v>
      </c>
      <c r="T24" s="141">
        <v>262.63600000000002</v>
      </c>
      <c r="U24" s="153">
        <v>262.83139999999997</v>
      </c>
      <c r="V24" s="141"/>
      <c r="W24" s="141"/>
      <c r="X24" s="108"/>
      <c r="Y24" s="141">
        <f t="shared" si="0"/>
        <v>262.8871842105263</v>
      </c>
      <c r="Z24" s="141">
        <f t="shared" ref="Z24:Z33" si="5">Z23-5/100</f>
        <v>263.38516315789474</v>
      </c>
      <c r="AA24" s="159">
        <f t="shared" si="1"/>
        <v>0.49797894736843773</v>
      </c>
      <c r="AB24" s="171">
        <v>86</v>
      </c>
      <c r="AC24" s="160">
        <f t="shared" si="2"/>
        <v>214.13094736842822</v>
      </c>
      <c r="AD24" s="472"/>
    </row>
    <row r="25" spans="1:30" ht="14.25" x14ac:dyDescent="0.45">
      <c r="A25" s="600"/>
      <c r="B25" s="146">
        <v>60</v>
      </c>
      <c r="C25" s="153">
        <v>262.99119999999999</v>
      </c>
      <c r="D25" s="141">
        <v>262.95999999999998</v>
      </c>
      <c r="E25" s="141">
        <v>262.82990000000001</v>
      </c>
      <c r="F25" s="141">
        <v>262.90679999999998</v>
      </c>
      <c r="G25" s="141">
        <v>263.0034</v>
      </c>
      <c r="H25" s="141">
        <v>263.221</v>
      </c>
      <c r="I25" s="141">
        <v>263.0675</v>
      </c>
      <c r="J25" s="141">
        <v>263.01940000000002</v>
      </c>
      <c r="K25" s="141">
        <v>262.83870000000002</v>
      </c>
      <c r="L25" s="141">
        <v>262.81659999999999</v>
      </c>
      <c r="M25" s="141">
        <v>262.81330000000003</v>
      </c>
      <c r="N25" s="141">
        <v>262.7885</v>
      </c>
      <c r="O25" s="141">
        <v>262.74099999999999</v>
      </c>
      <c r="P25" s="141">
        <v>262.76150000000001</v>
      </c>
      <c r="Q25" s="141">
        <v>262.87759999999997</v>
      </c>
      <c r="R25" s="141">
        <v>263.02210000000002</v>
      </c>
      <c r="S25" s="141">
        <v>262.88569999999999</v>
      </c>
      <c r="T25" s="141">
        <v>262.76690000000002</v>
      </c>
      <c r="U25" s="153">
        <v>262.97149999999999</v>
      </c>
      <c r="V25" s="141"/>
      <c r="W25" s="141"/>
      <c r="X25" s="108"/>
      <c r="Y25" s="141">
        <f t="shared" si="0"/>
        <v>262.90961052631576</v>
      </c>
      <c r="Z25" s="141">
        <f t="shared" si="5"/>
        <v>263.33516315789473</v>
      </c>
      <c r="AA25" s="159">
        <f t="shared" si="1"/>
        <v>0.42555263157896661</v>
      </c>
      <c r="AB25" s="171">
        <v>86</v>
      </c>
      <c r="AC25" s="160">
        <f t="shared" si="2"/>
        <v>182.98763157895564</v>
      </c>
      <c r="AD25" s="472"/>
    </row>
    <row r="26" spans="1:30" ht="14.25" x14ac:dyDescent="0.45">
      <c r="A26" s="600"/>
      <c r="B26" s="146">
        <v>65</v>
      </c>
      <c r="C26" s="153">
        <v>262.9726</v>
      </c>
      <c r="D26" s="141">
        <v>262.96199999999999</v>
      </c>
      <c r="E26" s="141">
        <v>262.90449999999998</v>
      </c>
      <c r="F26" s="141">
        <v>263.02589999999998</v>
      </c>
      <c r="G26" s="141">
        <v>263.0804</v>
      </c>
      <c r="H26" s="141">
        <v>263.15449999999998</v>
      </c>
      <c r="I26" s="141">
        <v>263.11610000000002</v>
      </c>
      <c r="J26" s="141">
        <v>263.00740000000002</v>
      </c>
      <c r="K26" s="141">
        <v>262.8297</v>
      </c>
      <c r="L26" s="141">
        <v>262.8057</v>
      </c>
      <c r="M26" s="141">
        <v>262.77780000000001</v>
      </c>
      <c r="N26" s="141">
        <v>262.71949999999998</v>
      </c>
      <c r="O26" s="141">
        <v>262.80110000000002</v>
      </c>
      <c r="P26" s="141">
        <v>262.83569999999997</v>
      </c>
      <c r="Q26" s="141">
        <v>262.94819999999999</v>
      </c>
      <c r="R26" s="141">
        <v>262.92439999999999</v>
      </c>
      <c r="S26" s="141">
        <v>262.95710000000003</v>
      </c>
      <c r="T26" s="141">
        <v>262.68810000000002</v>
      </c>
      <c r="U26" s="153">
        <v>262.8193</v>
      </c>
      <c r="V26" s="141"/>
      <c r="W26" s="141"/>
      <c r="X26" s="108"/>
      <c r="Y26" s="141">
        <f t="shared" si="0"/>
        <v>262.91210526315791</v>
      </c>
      <c r="Z26" s="141">
        <f t="shared" si="5"/>
        <v>263.28516315789471</v>
      </c>
      <c r="AA26" s="159">
        <f t="shared" si="1"/>
        <v>0.37305789473680306</v>
      </c>
      <c r="AB26" s="171">
        <v>86</v>
      </c>
      <c r="AC26" s="160">
        <f t="shared" si="2"/>
        <v>160.41489473682532</v>
      </c>
      <c r="AD26" s="472"/>
    </row>
    <row r="27" spans="1:30" ht="14.25" x14ac:dyDescent="0.45">
      <c r="A27" s="600"/>
      <c r="B27" s="146">
        <v>70</v>
      </c>
      <c r="C27" s="153">
        <v>262.68970000000002</v>
      </c>
      <c r="D27" s="141">
        <v>262.95909999999998</v>
      </c>
      <c r="E27" s="141">
        <v>262.98509999999999</v>
      </c>
      <c r="F27" s="141">
        <v>262.98869999999999</v>
      </c>
      <c r="G27" s="141">
        <v>263.10180000000003</v>
      </c>
      <c r="H27" s="141">
        <v>263.1764</v>
      </c>
      <c r="I27" s="141">
        <v>263.07339999999999</v>
      </c>
      <c r="J27" s="141">
        <v>263.03070000000002</v>
      </c>
      <c r="K27" s="141">
        <v>262.84199999999998</v>
      </c>
      <c r="L27" s="141">
        <v>262.84460000000001</v>
      </c>
      <c r="M27" s="141">
        <v>262.77629999999999</v>
      </c>
      <c r="N27" s="141">
        <v>262.6705</v>
      </c>
      <c r="O27" s="141">
        <v>262.83679999999998</v>
      </c>
      <c r="P27" s="141">
        <v>262.73860000000002</v>
      </c>
      <c r="Q27" s="141">
        <v>262.74990000000003</v>
      </c>
      <c r="R27" s="141">
        <v>262.84649999999999</v>
      </c>
      <c r="S27" s="141">
        <v>262.75060000000002</v>
      </c>
      <c r="T27" s="141">
        <v>262.7296</v>
      </c>
      <c r="U27" s="153">
        <v>262.85379999999998</v>
      </c>
      <c r="V27" s="141"/>
      <c r="W27" s="141"/>
      <c r="X27" s="108"/>
      <c r="Y27" s="141">
        <f t="shared" si="0"/>
        <v>262.87600526315788</v>
      </c>
      <c r="Z27" s="141">
        <f t="shared" si="5"/>
        <v>263.2351631578947</v>
      </c>
      <c r="AA27" s="159">
        <f t="shared" si="1"/>
        <v>0.3591578947368248</v>
      </c>
      <c r="AB27" s="171">
        <v>86</v>
      </c>
      <c r="AC27" s="160">
        <f t="shared" si="2"/>
        <v>154.43789473683466</v>
      </c>
      <c r="AD27" s="472"/>
    </row>
    <row r="28" spans="1:30" ht="14.25" x14ac:dyDescent="0.45">
      <c r="A28" s="600"/>
      <c r="B28" s="146">
        <v>75</v>
      </c>
      <c r="C28" s="153">
        <v>262.59829999999999</v>
      </c>
      <c r="D28" s="141">
        <v>262.92149999999998</v>
      </c>
      <c r="E28" s="141">
        <v>262.94670000000002</v>
      </c>
      <c r="F28" s="141">
        <v>262.827</v>
      </c>
      <c r="G28" s="141">
        <v>262.9982</v>
      </c>
      <c r="H28" s="141">
        <v>263.14409999999998</v>
      </c>
      <c r="I28" s="141">
        <v>263.10939999999999</v>
      </c>
      <c r="J28" s="141">
        <v>262.92079999999999</v>
      </c>
      <c r="K28" s="141">
        <v>262.89069999999998</v>
      </c>
      <c r="L28" s="141">
        <v>262.72809999999998</v>
      </c>
      <c r="M28" s="141">
        <v>262.63150000000002</v>
      </c>
      <c r="N28" s="141">
        <v>262.7294</v>
      </c>
      <c r="O28" s="141">
        <v>262.6823</v>
      </c>
      <c r="P28" s="141">
        <v>262.77730000000003</v>
      </c>
      <c r="Q28" s="141">
        <v>262.71190000000001</v>
      </c>
      <c r="R28" s="141">
        <v>262.74360000000001</v>
      </c>
      <c r="S28" s="141">
        <v>262.94349999999997</v>
      </c>
      <c r="T28" s="141">
        <v>262.94369999999998</v>
      </c>
      <c r="U28" s="153">
        <v>262.69080000000002</v>
      </c>
      <c r="V28" s="141"/>
      <c r="W28" s="141"/>
      <c r="X28" s="108"/>
      <c r="Y28" s="141">
        <f t="shared" si="0"/>
        <v>262.83888421052632</v>
      </c>
      <c r="Z28" s="141">
        <f t="shared" si="5"/>
        <v>263.18516315789469</v>
      </c>
      <c r="AA28" s="159">
        <f t="shared" si="1"/>
        <v>0.34627894736837561</v>
      </c>
      <c r="AB28" s="171">
        <v>86</v>
      </c>
      <c r="AC28" s="160">
        <f t="shared" si="2"/>
        <v>148.89994736840151</v>
      </c>
      <c r="AD28" s="472"/>
    </row>
    <row r="29" spans="1:30" ht="14.25" x14ac:dyDescent="0.45">
      <c r="A29" s="600"/>
      <c r="B29" s="146">
        <v>80</v>
      </c>
      <c r="C29" s="153">
        <v>262.95150000000001</v>
      </c>
      <c r="D29" s="141">
        <v>262.93329999999997</v>
      </c>
      <c r="E29" s="141">
        <v>263.00279999999998</v>
      </c>
      <c r="F29" s="141">
        <v>262.79430000000002</v>
      </c>
      <c r="G29" s="141">
        <v>262.88010000000003</v>
      </c>
      <c r="H29" s="141">
        <v>262.95350000000002</v>
      </c>
      <c r="I29" s="141">
        <v>263.0104</v>
      </c>
      <c r="J29" s="141">
        <v>262.9427</v>
      </c>
      <c r="K29" s="141">
        <v>262.88260000000002</v>
      </c>
      <c r="L29" s="141">
        <v>262.74829999999997</v>
      </c>
      <c r="M29" s="141">
        <v>262.60789999999997</v>
      </c>
      <c r="N29" s="141">
        <v>262.66660000000002</v>
      </c>
      <c r="O29" s="141">
        <v>262.65649999999999</v>
      </c>
      <c r="P29" s="141">
        <v>262.67700000000002</v>
      </c>
      <c r="Q29" s="141">
        <v>262.73680000000002</v>
      </c>
      <c r="R29" s="141">
        <v>262.8297</v>
      </c>
      <c r="S29" s="141">
        <v>262.76760000000002</v>
      </c>
      <c r="T29" s="141">
        <v>262.6823</v>
      </c>
      <c r="U29" s="153">
        <v>262.60430000000002</v>
      </c>
      <c r="V29" s="141"/>
      <c r="W29" s="141"/>
      <c r="X29" s="108"/>
      <c r="Y29" s="141">
        <f t="shared" si="0"/>
        <v>262.8067473684211</v>
      </c>
      <c r="Z29" s="141">
        <f t="shared" si="5"/>
        <v>263.13516315789468</v>
      </c>
      <c r="AA29" s="159">
        <f t="shared" si="1"/>
        <v>0.3284157894735813</v>
      </c>
      <c r="AB29" s="171">
        <v>86</v>
      </c>
      <c r="AC29" s="160">
        <f t="shared" si="2"/>
        <v>141.21878947363996</v>
      </c>
      <c r="AD29" s="472"/>
    </row>
    <row r="30" spans="1:30" ht="14.25" x14ac:dyDescent="0.45">
      <c r="A30" s="600"/>
      <c r="B30" s="146">
        <v>85</v>
      </c>
      <c r="C30" s="153">
        <v>262.91149999999999</v>
      </c>
      <c r="D30" s="141">
        <v>263.0324</v>
      </c>
      <c r="E30" s="141">
        <v>263.26130000000001</v>
      </c>
      <c r="F30" s="141">
        <v>263.02109999999999</v>
      </c>
      <c r="G30" s="141">
        <v>262.72460000000001</v>
      </c>
      <c r="H30" s="141">
        <v>262.94929999999999</v>
      </c>
      <c r="I30" s="141">
        <v>262.9348</v>
      </c>
      <c r="J30" s="141">
        <v>262.93979999999999</v>
      </c>
      <c r="K30" s="141">
        <v>262.75779999999997</v>
      </c>
      <c r="L30" s="141">
        <v>262.7167</v>
      </c>
      <c r="M30" s="141">
        <v>262.65519999999998</v>
      </c>
      <c r="N30" s="141">
        <v>262.6148</v>
      </c>
      <c r="O30" s="141">
        <v>262.80810000000002</v>
      </c>
      <c r="P30" s="141">
        <v>262.76580000000001</v>
      </c>
      <c r="Q30" s="141">
        <v>262.89690000000002</v>
      </c>
      <c r="R30" s="141">
        <v>263.07249999999999</v>
      </c>
      <c r="S30" s="141">
        <v>262.97699999999998</v>
      </c>
      <c r="T30" s="141">
        <v>262.83499999999998</v>
      </c>
      <c r="U30" s="153">
        <v>262.96499999999997</v>
      </c>
      <c r="V30" s="141"/>
      <c r="W30" s="141"/>
      <c r="X30" s="108"/>
      <c r="Y30" s="141">
        <f t="shared" si="0"/>
        <v>262.8862947368421</v>
      </c>
      <c r="Z30" s="141">
        <f t="shared" si="5"/>
        <v>263.08516315789467</v>
      </c>
      <c r="AA30" s="159">
        <f t="shared" si="1"/>
        <v>0.19886842105256619</v>
      </c>
      <c r="AB30" s="171">
        <v>86</v>
      </c>
      <c r="AC30" s="160">
        <f t="shared" si="2"/>
        <v>85.513421052603462</v>
      </c>
      <c r="AD30" s="472"/>
    </row>
    <row r="31" spans="1:30" ht="14.25" x14ac:dyDescent="0.45">
      <c r="A31" s="600"/>
      <c r="B31" s="146">
        <v>90</v>
      </c>
      <c r="C31" s="153">
        <v>262.93119999999999</v>
      </c>
      <c r="D31" s="141">
        <v>262.97809999999998</v>
      </c>
      <c r="E31" s="141">
        <v>263.21550000000002</v>
      </c>
      <c r="F31" s="141">
        <v>263.07679999999999</v>
      </c>
      <c r="G31" s="141">
        <v>262.96820000000002</v>
      </c>
      <c r="H31" s="141">
        <v>262.93450000000001</v>
      </c>
      <c r="I31" s="141">
        <v>262.92779999999999</v>
      </c>
      <c r="J31" s="141">
        <v>262.79340000000002</v>
      </c>
      <c r="K31" s="141">
        <v>262.85559999999998</v>
      </c>
      <c r="L31" s="141">
        <v>262.7319</v>
      </c>
      <c r="M31" s="141">
        <v>262.702</v>
      </c>
      <c r="N31" s="141">
        <v>262.8261</v>
      </c>
      <c r="O31" s="141">
        <v>262.98579999999998</v>
      </c>
      <c r="P31" s="141">
        <v>263.07960000000003</v>
      </c>
      <c r="Q31" s="141">
        <v>263.19459999999998</v>
      </c>
      <c r="R31" s="141">
        <v>262.94499999999999</v>
      </c>
      <c r="S31" s="141">
        <v>263.02999999999997</v>
      </c>
      <c r="T31" s="141">
        <v>263.16379999999998</v>
      </c>
      <c r="U31" s="153">
        <v>263.10250000000002</v>
      </c>
      <c r="V31" s="141"/>
      <c r="W31" s="141"/>
      <c r="X31" s="108"/>
      <c r="Y31" s="141">
        <f t="shared" si="0"/>
        <v>262.97065263157896</v>
      </c>
      <c r="Z31" s="141">
        <f t="shared" si="5"/>
        <v>263.03516315789466</v>
      </c>
      <c r="AA31" s="159">
        <f t="shared" si="1"/>
        <v>6.4510526315700645E-2</v>
      </c>
      <c r="AB31" s="171">
        <v>86</v>
      </c>
      <c r="AC31" s="160">
        <f t="shared" si="2"/>
        <v>27.739526315751277</v>
      </c>
      <c r="AD31" s="472"/>
    </row>
    <row r="32" spans="1:30" ht="14.25" x14ac:dyDescent="0.45">
      <c r="A32" s="600"/>
      <c r="B32" s="146">
        <v>95</v>
      </c>
      <c r="C32" s="153">
        <v>262.88889999999998</v>
      </c>
      <c r="D32" s="141">
        <v>262.89249999999998</v>
      </c>
      <c r="E32" s="141">
        <v>263.05930000000001</v>
      </c>
      <c r="F32" s="141">
        <v>263.22570000000002</v>
      </c>
      <c r="G32" s="141">
        <v>263.07810000000001</v>
      </c>
      <c r="H32" s="141">
        <v>262.87569999999999</v>
      </c>
      <c r="I32" s="141">
        <v>262.8109</v>
      </c>
      <c r="J32" s="141">
        <v>262.90390000000002</v>
      </c>
      <c r="K32" s="141">
        <v>263.01600000000002</v>
      </c>
      <c r="L32" s="141">
        <v>262.86020000000002</v>
      </c>
      <c r="M32" s="141">
        <v>262.65519999999998</v>
      </c>
      <c r="N32" s="141">
        <v>262.99930000000001</v>
      </c>
      <c r="O32" s="141">
        <v>262.5616</v>
      </c>
      <c r="P32" s="141">
        <v>262.79020000000003</v>
      </c>
      <c r="Q32" s="141">
        <v>263.14249999999998</v>
      </c>
      <c r="R32" s="141">
        <v>262.928</v>
      </c>
      <c r="S32" s="141">
        <v>263.0487</v>
      </c>
      <c r="T32" s="141">
        <v>262.75450000000001</v>
      </c>
      <c r="U32" s="153">
        <v>263.1961</v>
      </c>
      <c r="V32" s="141"/>
      <c r="W32" s="141"/>
      <c r="X32" s="108"/>
      <c r="Y32" s="141">
        <f t="shared" si="0"/>
        <v>262.93091052631581</v>
      </c>
      <c r="Z32" s="141">
        <f t="shared" si="5"/>
        <v>262.98516315789465</v>
      </c>
      <c r="AA32" s="159">
        <f t="shared" si="1"/>
        <v>5.4252631578833643E-2</v>
      </c>
      <c r="AB32" s="171">
        <v>86</v>
      </c>
      <c r="AC32" s="160">
        <f t="shared" si="2"/>
        <v>23.328631578898467</v>
      </c>
      <c r="AD32" s="472"/>
    </row>
    <row r="33" spans="1:30" ht="14.25" x14ac:dyDescent="0.45">
      <c r="A33" s="601"/>
      <c r="B33" s="148">
        <v>100</v>
      </c>
      <c r="C33" s="154">
        <v>262.9708</v>
      </c>
      <c r="D33" s="154">
        <v>262.94940000000003</v>
      </c>
      <c r="E33" s="154">
        <v>263.06979999999999</v>
      </c>
      <c r="F33" s="154">
        <v>263.16480000000001</v>
      </c>
      <c r="G33" s="154">
        <v>263.19929999999999</v>
      </c>
      <c r="H33" s="154">
        <v>263.0992</v>
      </c>
      <c r="I33" s="154">
        <v>263.0068</v>
      </c>
      <c r="J33" s="154">
        <v>262.9545</v>
      </c>
      <c r="K33" s="154">
        <v>263.07229999999998</v>
      </c>
      <c r="L33" s="154">
        <v>262.67059999999998</v>
      </c>
      <c r="M33" s="154">
        <v>262.8639</v>
      </c>
      <c r="N33" s="154">
        <v>262.93509999999998</v>
      </c>
      <c r="O33" s="154">
        <v>262.9828</v>
      </c>
      <c r="P33" s="154">
        <v>262.98489999999998</v>
      </c>
      <c r="Q33" s="154">
        <v>263.11309999999997</v>
      </c>
      <c r="R33" s="154">
        <v>263.14429999999999</v>
      </c>
      <c r="S33" s="154">
        <v>263.17779999999999</v>
      </c>
      <c r="T33" s="154">
        <v>262.88049999999998</v>
      </c>
      <c r="U33" s="154">
        <v>263.1035</v>
      </c>
      <c r="V33" s="142"/>
      <c r="W33" s="142"/>
      <c r="X33" s="117"/>
      <c r="Y33" s="142">
        <f t="shared" si="0"/>
        <v>263.01807368421055</v>
      </c>
      <c r="Z33" s="142">
        <f t="shared" si="5"/>
        <v>262.93516315789464</v>
      </c>
      <c r="AA33" s="159">
        <f t="shared" si="1"/>
        <v>-8.2910526315913557E-2</v>
      </c>
      <c r="AB33" s="174">
        <v>86</v>
      </c>
      <c r="AC33" s="162">
        <f t="shared" si="2"/>
        <v>-35.65152631584283</v>
      </c>
      <c r="AD33" s="112">
        <f>SUM(AC13:AC33)</f>
        <v>2238.7581228065737</v>
      </c>
    </row>
    <row r="34" spans="1:30" ht="14.25" x14ac:dyDescent="0.45">
      <c r="A34" s="599" t="s">
        <v>16</v>
      </c>
      <c r="B34" s="147">
        <v>0</v>
      </c>
      <c r="C34" s="151">
        <v>262.93540000000002</v>
      </c>
      <c r="D34" s="151">
        <v>262.9563</v>
      </c>
      <c r="E34" s="151">
        <v>262.92579999999998</v>
      </c>
      <c r="F34" s="151">
        <v>263.14330000000001</v>
      </c>
      <c r="G34" s="151">
        <v>263.1816</v>
      </c>
      <c r="H34" s="151">
        <v>263.20710000000003</v>
      </c>
      <c r="I34" s="151">
        <v>263.07929999999999</v>
      </c>
      <c r="J34" s="151">
        <v>263.08769999999998</v>
      </c>
      <c r="K34" s="151">
        <v>263.14690000000002</v>
      </c>
      <c r="L34" s="151">
        <v>263.26729999999998</v>
      </c>
      <c r="M34" s="151">
        <v>263.15800000000002</v>
      </c>
      <c r="N34" s="151">
        <v>263.08940000000001</v>
      </c>
      <c r="O34" s="151">
        <v>263.07650000000001</v>
      </c>
      <c r="P34" s="151">
        <v>262.86680000000001</v>
      </c>
      <c r="Q34" s="151">
        <v>262.93900000000002</v>
      </c>
      <c r="R34" s="151">
        <v>263.01150000000001</v>
      </c>
      <c r="S34" s="140"/>
      <c r="T34" s="140"/>
      <c r="U34" s="140"/>
      <c r="V34" s="140"/>
      <c r="W34" s="140"/>
      <c r="X34" s="122"/>
      <c r="Y34" s="165">
        <f t="shared" si="0"/>
        <v>263.06699374999999</v>
      </c>
      <c r="Z34" s="165">
        <f>Y34+0.003+0.075</f>
        <v>263.14499374999997</v>
      </c>
      <c r="AA34" s="159">
        <f t="shared" si="1"/>
        <v>7.7999999999974534E-2</v>
      </c>
      <c r="AB34" s="170">
        <v>78</v>
      </c>
      <c r="AC34" s="158">
        <f t="shared" si="2"/>
        <v>30.419999999990068</v>
      </c>
      <c r="AD34" s="472"/>
    </row>
    <row r="35" spans="1:30" ht="14.25" x14ac:dyDescent="0.45">
      <c r="A35" s="600"/>
      <c r="B35" s="146">
        <v>5</v>
      </c>
      <c r="C35" s="153">
        <v>263.01420000000002</v>
      </c>
      <c r="D35" s="141">
        <v>263.14499999999998</v>
      </c>
      <c r="E35" s="141">
        <v>263.14389999999997</v>
      </c>
      <c r="F35" s="141">
        <v>263.18950000000001</v>
      </c>
      <c r="G35" s="141">
        <v>263.16399999999999</v>
      </c>
      <c r="H35" s="141">
        <v>263.37729999999999</v>
      </c>
      <c r="I35" s="141">
        <v>263.52379999999999</v>
      </c>
      <c r="J35" s="141">
        <v>263.40030000000002</v>
      </c>
      <c r="K35" s="141">
        <v>263.39120000000003</v>
      </c>
      <c r="L35" s="141">
        <v>263.1139</v>
      </c>
      <c r="M35" s="141">
        <v>263.44540000000001</v>
      </c>
      <c r="N35" s="141">
        <v>263.3347</v>
      </c>
      <c r="O35" s="141">
        <v>263.42410000000001</v>
      </c>
      <c r="P35" s="141">
        <v>263.14460000000003</v>
      </c>
      <c r="Q35" s="141">
        <v>262.9751</v>
      </c>
      <c r="R35" s="153">
        <v>263.00189999999998</v>
      </c>
      <c r="S35" s="141"/>
      <c r="T35" s="141"/>
      <c r="U35" s="141"/>
      <c r="V35" s="141"/>
      <c r="W35" s="141"/>
      <c r="X35" s="108"/>
      <c r="Y35" s="141">
        <f t="shared" si="0"/>
        <v>263.23680624999997</v>
      </c>
      <c r="Z35" s="141">
        <f>Z34+5/100</f>
        <v>263.19499374999998</v>
      </c>
      <c r="AA35" s="159">
        <f t="shared" si="1"/>
        <v>-4.1812499999991815E-2</v>
      </c>
      <c r="AB35" s="171">
        <v>78</v>
      </c>
      <c r="AC35" s="160">
        <f t="shared" si="2"/>
        <v>-16.306874999996808</v>
      </c>
      <c r="AD35" s="472"/>
    </row>
    <row r="36" spans="1:30" ht="14.25" x14ac:dyDescent="0.45">
      <c r="A36" s="600"/>
      <c r="B36" s="146">
        <v>10</v>
      </c>
      <c r="C36" s="153">
        <v>263.15710000000001</v>
      </c>
      <c r="D36" s="141">
        <v>263.22489999999999</v>
      </c>
      <c r="E36" s="141">
        <v>263.24970000000002</v>
      </c>
      <c r="F36" s="141">
        <v>263.16759999999999</v>
      </c>
      <c r="G36" s="141">
        <v>263.1977</v>
      </c>
      <c r="H36" s="141">
        <v>263.12990000000002</v>
      </c>
      <c r="I36" s="141">
        <v>263.3218</v>
      </c>
      <c r="J36" s="141">
        <v>263.33359999999999</v>
      </c>
      <c r="K36" s="141">
        <v>263.2303</v>
      </c>
      <c r="L36" s="141">
        <v>263.32049999999998</v>
      </c>
      <c r="M36" s="141">
        <v>263.18639999999999</v>
      </c>
      <c r="N36" s="141">
        <v>263.1943</v>
      </c>
      <c r="O36" s="141">
        <v>263.34309999999999</v>
      </c>
      <c r="P36" s="141">
        <v>263.26990000000001</v>
      </c>
      <c r="Q36" s="141">
        <v>263.43720000000002</v>
      </c>
      <c r="R36" s="153">
        <v>263.29270000000002</v>
      </c>
      <c r="S36" s="141"/>
      <c r="T36" s="141"/>
      <c r="U36" s="141"/>
      <c r="V36" s="141"/>
      <c r="W36" s="141"/>
      <c r="X36" s="108"/>
      <c r="Y36" s="141">
        <f t="shared" si="0"/>
        <v>263.25354375000006</v>
      </c>
      <c r="Z36" s="141">
        <f t="shared" ref="Z36:Z45" si="6">Z35+5/100</f>
        <v>263.24499374999999</v>
      </c>
      <c r="AA36" s="159">
        <f t="shared" si="1"/>
        <v>-8.5500000000706677E-3</v>
      </c>
      <c r="AB36" s="171">
        <v>78</v>
      </c>
      <c r="AC36" s="160">
        <f t="shared" si="2"/>
        <v>-3.3345000000275604</v>
      </c>
      <c r="AD36" s="472"/>
    </row>
    <row r="37" spans="1:30" ht="14.25" x14ac:dyDescent="0.45">
      <c r="A37" s="600"/>
      <c r="B37" s="146">
        <v>15</v>
      </c>
      <c r="C37" s="153">
        <v>263.20319999999998</v>
      </c>
      <c r="D37" s="141">
        <v>263.13679999999999</v>
      </c>
      <c r="E37" s="141">
        <v>263.07369999999997</v>
      </c>
      <c r="F37" s="141">
        <v>263.11419999999998</v>
      </c>
      <c r="G37" s="141">
        <v>263.21409999999997</v>
      </c>
      <c r="H37" s="141">
        <v>263.09530000000001</v>
      </c>
      <c r="I37" s="141">
        <v>263.01940000000002</v>
      </c>
      <c r="J37" s="141">
        <v>263.30700000000002</v>
      </c>
      <c r="K37" s="141">
        <v>263.3014</v>
      </c>
      <c r="L37" s="141">
        <v>263.11320000000001</v>
      </c>
      <c r="M37" s="141">
        <v>263.14819999999997</v>
      </c>
      <c r="N37" s="141">
        <v>263.15809999999999</v>
      </c>
      <c r="O37" s="141">
        <v>263.17829999999998</v>
      </c>
      <c r="P37" s="141">
        <v>263.17790000000002</v>
      </c>
      <c r="Q37" s="141">
        <v>263.34930000000003</v>
      </c>
      <c r="R37" s="153">
        <v>263.11739999999998</v>
      </c>
      <c r="S37" s="141"/>
      <c r="T37" s="141"/>
      <c r="U37" s="141"/>
      <c r="V37" s="141"/>
      <c r="W37" s="141"/>
      <c r="X37" s="108"/>
      <c r="Y37" s="141">
        <f t="shared" si="0"/>
        <v>263.16921875000003</v>
      </c>
      <c r="Z37" s="141">
        <f t="shared" si="6"/>
        <v>263.29499375</v>
      </c>
      <c r="AA37" s="159">
        <f t="shared" si="1"/>
        <v>0.12577499999997599</v>
      </c>
      <c r="AB37" s="171">
        <v>78</v>
      </c>
      <c r="AC37" s="160">
        <f t="shared" si="2"/>
        <v>49.052249999990636</v>
      </c>
      <c r="AD37" s="472"/>
    </row>
    <row r="38" spans="1:30" ht="14.25" x14ac:dyDescent="0.45">
      <c r="A38" s="600"/>
      <c r="B38" s="146">
        <v>20</v>
      </c>
      <c r="C38" s="153">
        <v>263.31439999999998</v>
      </c>
      <c r="D38" s="141">
        <v>263.24130000000002</v>
      </c>
      <c r="E38" s="141">
        <v>263.29759999999999</v>
      </c>
      <c r="F38" s="141">
        <v>263.13819999999998</v>
      </c>
      <c r="G38" s="141">
        <v>263.22239999999999</v>
      </c>
      <c r="H38" s="141">
        <v>263.37709999999998</v>
      </c>
      <c r="I38" s="141">
        <v>263.10329999999999</v>
      </c>
      <c r="J38" s="141">
        <v>263.3109</v>
      </c>
      <c r="K38" s="141">
        <v>263.20519999999999</v>
      </c>
      <c r="L38" s="141">
        <v>263.12759999999997</v>
      </c>
      <c r="M38" s="141">
        <v>263.08690000000001</v>
      </c>
      <c r="N38" s="141">
        <v>263.0865</v>
      </c>
      <c r="O38" s="141">
        <v>263.14069999999998</v>
      </c>
      <c r="P38" s="141">
        <v>263.07909999999998</v>
      </c>
      <c r="Q38" s="141">
        <v>263.11630000000002</v>
      </c>
      <c r="R38" s="153">
        <v>263.09989999999999</v>
      </c>
      <c r="S38" s="141"/>
      <c r="T38" s="141"/>
      <c r="U38" s="141"/>
      <c r="V38" s="141"/>
      <c r="W38" s="141"/>
      <c r="X38" s="108"/>
      <c r="Y38" s="141">
        <f t="shared" si="0"/>
        <v>263.1842125</v>
      </c>
      <c r="Z38" s="141">
        <f t="shared" si="6"/>
        <v>263.34499375000001</v>
      </c>
      <c r="AA38" s="159">
        <f t="shared" si="1"/>
        <v>0.16078125000001364</v>
      </c>
      <c r="AB38" s="171">
        <v>78</v>
      </c>
      <c r="AC38" s="160">
        <f t="shared" si="2"/>
        <v>62.704687500005321</v>
      </c>
      <c r="AD38" s="472"/>
    </row>
    <row r="39" spans="1:30" ht="14.25" x14ac:dyDescent="0.45">
      <c r="A39" s="600"/>
      <c r="B39" s="146">
        <v>25</v>
      </c>
      <c r="C39" s="153">
        <v>263.08190000000002</v>
      </c>
      <c r="D39" s="141">
        <v>263.12</v>
      </c>
      <c r="E39" s="141">
        <v>263.12740000000002</v>
      </c>
      <c r="F39" s="141">
        <v>263.21780000000001</v>
      </c>
      <c r="G39" s="141">
        <v>263.10300000000001</v>
      </c>
      <c r="H39" s="141">
        <v>263.04559999999998</v>
      </c>
      <c r="I39" s="141">
        <v>263.0727</v>
      </c>
      <c r="J39" s="141">
        <v>263.15649999999999</v>
      </c>
      <c r="K39" s="141">
        <v>263.17840000000001</v>
      </c>
      <c r="L39" s="141">
        <v>263.05040000000002</v>
      </c>
      <c r="M39" s="141">
        <v>263.06990000000002</v>
      </c>
      <c r="N39" s="141">
        <v>263.0856</v>
      </c>
      <c r="O39" s="141">
        <v>263.1302</v>
      </c>
      <c r="P39" s="141">
        <v>263.04599999999999</v>
      </c>
      <c r="Q39" s="141">
        <v>263.04849999999999</v>
      </c>
      <c r="R39" s="153">
        <v>263.04039999999998</v>
      </c>
      <c r="S39" s="141"/>
      <c r="T39" s="141"/>
      <c r="U39" s="141"/>
      <c r="V39" s="141"/>
      <c r="W39" s="141"/>
      <c r="X39" s="108"/>
      <c r="Y39" s="141">
        <f t="shared" si="0"/>
        <v>263.09839374999996</v>
      </c>
      <c r="Z39" s="141">
        <f t="shared" si="6"/>
        <v>263.39499375000003</v>
      </c>
      <c r="AA39" s="159">
        <f t="shared" si="1"/>
        <v>0.29660000000006903</v>
      </c>
      <c r="AB39" s="171">
        <v>78</v>
      </c>
      <c r="AC39" s="160">
        <f t="shared" si="2"/>
        <v>115.67400000002692</v>
      </c>
      <c r="AD39" s="472"/>
    </row>
    <row r="40" spans="1:30" ht="14.25" x14ac:dyDescent="0.45">
      <c r="A40" s="600"/>
      <c r="B40" s="146">
        <v>30</v>
      </c>
      <c r="C40" s="153">
        <v>263.26389999999998</v>
      </c>
      <c r="D40" s="141">
        <v>263.24119999999999</v>
      </c>
      <c r="E40" s="141">
        <v>263.20179999999999</v>
      </c>
      <c r="F40" s="141">
        <v>263.17</v>
      </c>
      <c r="G40" s="141">
        <v>263.13889999999998</v>
      </c>
      <c r="H40" s="141">
        <v>263.11099999999999</v>
      </c>
      <c r="I40" s="141">
        <v>263.12990000000002</v>
      </c>
      <c r="J40" s="141">
        <v>263.15960000000001</v>
      </c>
      <c r="K40" s="141">
        <v>263.02510000000001</v>
      </c>
      <c r="L40" s="141">
        <v>263.02190000000002</v>
      </c>
      <c r="M40" s="141">
        <v>263.0684</v>
      </c>
      <c r="N40" s="141">
        <v>262.96210000000002</v>
      </c>
      <c r="O40" s="141">
        <v>262.99770000000001</v>
      </c>
      <c r="P40" s="141">
        <v>263.07209999999998</v>
      </c>
      <c r="Q40" s="141">
        <v>263.02859999999998</v>
      </c>
      <c r="R40" s="153">
        <v>263.07690000000002</v>
      </c>
      <c r="S40" s="141"/>
      <c r="T40" s="141"/>
      <c r="U40" s="141"/>
      <c r="V40" s="141"/>
      <c r="W40" s="141"/>
      <c r="X40" s="108"/>
      <c r="Y40" s="141">
        <f t="shared" si="0"/>
        <v>263.10431875</v>
      </c>
      <c r="Z40" s="141">
        <f t="shared" si="6"/>
        <v>263.44499375000004</v>
      </c>
      <c r="AA40" s="159">
        <f t="shared" si="1"/>
        <v>0.34067500000003292</v>
      </c>
      <c r="AB40" s="171">
        <v>78</v>
      </c>
      <c r="AC40" s="160">
        <f t="shared" si="2"/>
        <v>132.86325000001284</v>
      </c>
      <c r="AD40" s="472"/>
    </row>
    <row r="41" spans="1:30" ht="14.25" x14ac:dyDescent="0.45">
      <c r="A41" s="600"/>
      <c r="B41" s="146">
        <v>35</v>
      </c>
      <c r="C41" s="153">
        <v>263.16309999999999</v>
      </c>
      <c r="D41" s="141">
        <v>263.2235</v>
      </c>
      <c r="E41" s="141">
        <v>263.0378</v>
      </c>
      <c r="F41" s="141">
        <v>262.9753</v>
      </c>
      <c r="G41" s="141">
        <v>262.99669999999998</v>
      </c>
      <c r="H41" s="141">
        <v>263.0478</v>
      </c>
      <c r="I41" s="141">
        <v>262.94220000000001</v>
      </c>
      <c r="J41" s="141">
        <v>262.95729999999998</v>
      </c>
      <c r="K41" s="141">
        <v>263.02499999999998</v>
      </c>
      <c r="L41" s="141">
        <v>263.03539999999998</v>
      </c>
      <c r="M41" s="141">
        <v>262.9939</v>
      </c>
      <c r="N41" s="141">
        <v>263.00830000000002</v>
      </c>
      <c r="O41" s="141">
        <v>262.99340000000001</v>
      </c>
      <c r="P41" s="141">
        <v>263.04059999999998</v>
      </c>
      <c r="Q41" s="141">
        <v>262.88510000000002</v>
      </c>
      <c r="R41" s="153">
        <v>262.99619999999999</v>
      </c>
      <c r="S41" s="141"/>
      <c r="T41" s="141"/>
      <c r="U41" s="141"/>
      <c r="V41" s="141"/>
      <c r="W41" s="141"/>
      <c r="X41" s="108"/>
      <c r="Y41" s="141">
        <f t="shared" si="0"/>
        <v>263.02009999999996</v>
      </c>
      <c r="Z41" s="141">
        <f t="shared" si="6"/>
        <v>263.49499375000005</v>
      </c>
      <c r="AA41" s="159">
        <f t="shared" si="1"/>
        <v>0.47489375000009204</v>
      </c>
      <c r="AB41" s="171">
        <v>78</v>
      </c>
      <c r="AC41" s="160">
        <f t="shared" si="2"/>
        <v>185.2085625000359</v>
      </c>
      <c r="AD41" s="472"/>
    </row>
    <row r="42" spans="1:30" ht="14.25" x14ac:dyDescent="0.45">
      <c r="A42" s="600"/>
      <c r="B42" s="146">
        <v>40</v>
      </c>
      <c r="C42" s="153">
        <v>262.99540000000002</v>
      </c>
      <c r="D42" s="141">
        <v>262.92520000000002</v>
      </c>
      <c r="E42" s="141">
        <v>262.95949999999999</v>
      </c>
      <c r="F42" s="141">
        <v>262.88709999999998</v>
      </c>
      <c r="G42" s="141">
        <v>262.82740000000001</v>
      </c>
      <c r="H42" s="141">
        <v>262.86020000000002</v>
      </c>
      <c r="I42" s="141">
        <v>263.05549999999999</v>
      </c>
      <c r="J42" s="141">
        <v>262.81790000000001</v>
      </c>
      <c r="K42" s="141">
        <v>262.80070000000001</v>
      </c>
      <c r="L42" s="141">
        <v>262.94839999999999</v>
      </c>
      <c r="M42" s="141">
        <v>262.77800000000002</v>
      </c>
      <c r="N42" s="141">
        <v>262.68970000000002</v>
      </c>
      <c r="O42" s="141">
        <v>262.71780000000001</v>
      </c>
      <c r="P42" s="141">
        <v>262.72829999999999</v>
      </c>
      <c r="Q42" s="141">
        <v>262.68060000000003</v>
      </c>
      <c r="R42" s="153">
        <v>262.71620000000001</v>
      </c>
      <c r="S42" s="141"/>
      <c r="T42" s="141"/>
      <c r="U42" s="141"/>
      <c r="V42" s="141"/>
      <c r="W42" s="141"/>
      <c r="X42" s="108"/>
      <c r="Y42" s="141">
        <f t="shared" si="0"/>
        <v>262.83674375000004</v>
      </c>
      <c r="Z42" s="141">
        <f t="shared" si="6"/>
        <v>263.54499375000006</v>
      </c>
      <c r="AA42" s="159">
        <f t="shared" si="1"/>
        <v>0.70825000000002092</v>
      </c>
      <c r="AB42" s="171">
        <v>78</v>
      </c>
      <c r="AC42" s="160">
        <f t="shared" si="2"/>
        <v>276.21750000000816</v>
      </c>
      <c r="AD42" s="472"/>
    </row>
    <row r="43" spans="1:30" ht="14.25" x14ac:dyDescent="0.45">
      <c r="A43" s="600"/>
      <c r="B43" s="146">
        <v>45</v>
      </c>
      <c r="C43" s="153">
        <v>262.89819999999997</v>
      </c>
      <c r="D43" s="141">
        <v>262.86450000000002</v>
      </c>
      <c r="E43" s="141">
        <v>262.92099999999999</v>
      </c>
      <c r="F43" s="141">
        <v>262.8365</v>
      </c>
      <c r="G43" s="141">
        <v>262.83240000000001</v>
      </c>
      <c r="H43" s="141">
        <v>262.89179999999999</v>
      </c>
      <c r="I43" s="141">
        <v>262.85129999999998</v>
      </c>
      <c r="J43" s="141">
        <v>262.86059999999998</v>
      </c>
      <c r="K43" s="141">
        <v>262.75319999999999</v>
      </c>
      <c r="L43" s="141">
        <v>262.76339999999999</v>
      </c>
      <c r="M43" s="141">
        <v>262.74900000000002</v>
      </c>
      <c r="N43" s="141">
        <v>262.72989999999999</v>
      </c>
      <c r="O43" s="141">
        <v>262.77620000000002</v>
      </c>
      <c r="P43" s="141">
        <v>262.78449999999998</v>
      </c>
      <c r="Q43" s="141">
        <v>262.7577</v>
      </c>
      <c r="R43" s="153">
        <v>262.80020000000002</v>
      </c>
      <c r="S43" s="141"/>
      <c r="T43" s="141"/>
      <c r="U43" s="141"/>
      <c r="V43" s="141"/>
      <c r="W43" s="141"/>
      <c r="X43" s="108"/>
      <c r="Y43" s="141">
        <f t="shared" si="0"/>
        <v>262.81689999999992</v>
      </c>
      <c r="Z43" s="141">
        <f t="shared" si="6"/>
        <v>263.59499375000007</v>
      </c>
      <c r="AA43" s="159">
        <f t="shared" si="1"/>
        <v>0.7780937500001528</v>
      </c>
      <c r="AB43" s="171">
        <v>78</v>
      </c>
      <c r="AC43" s="160">
        <f t="shared" si="2"/>
        <v>303.45656250005959</v>
      </c>
      <c r="AD43" s="472"/>
    </row>
    <row r="44" spans="1:30" ht="14.25" x14ac:dyDescent="0.45">
      <c r="A44" s="600"/>
      <c r="B44" s="146">
        <v>50</v>
      </c>
      <c r="C44" s="153">
        <v>262.88760000000002</v>
      </c>
      <c r="D44" s="141">
        <v>262.84550000000002</v>
      </c>
      <c r="E44" s="141">
        <v>262.8904</v>
      </c>
      <c r="F44" s="141">
        <v>262.80619999999999</v>
      </c>
      <c r="G44" s="141">
        <v>262.86180000000002</v>
      </c>
      <c r="H44" s="141">
        <v>262.83949999999999</v>
      </c>
      <c r="I44" s="141">
        <v>262.73700000000002</v>
      </c>
      <c r="J44" s="141">
        <v>262.82839999999999</v>
      </c>
      <c r="K44" s="141">
        <v>262.79680000000002</v>
      </c>
      <c r="L44" s="141">
        <v>262.79759999999999</v>
      </c>
      <c r="M44" s="141">
        <v>262.83150000000001</v>
      </c>
      <c r="N44" s="141">
        <v>262.81450000000001</v>
      </c>
      <c r="O44" s="141">
        <v>262.7996</v>
      </c>
      <c r="P44" s="141">
        <v>262.78129999999999</v>
      </c>
      <c r="Q44" s="141">
        <v>262.77839999999998</v>
      </c>
      <c r="R44" s="153">
        <v>263.0172</v>
      </c>
      <c r="S44" s="141"/>
      <c r="T44" s="141"/>
      <c r="U44" s="141"/>
      <c r="V44" s="141"/>
      <c r="W44" s="141"/>
      <c r="X44" s="108"/>
      <c r="Y44" s="141">
        <f t="shared" si="0"/>
        <v>262.83208124999999</v>
      </c>
      <c r="Z44" s="141">
        <f t="shared" si="6"/>
        <v>263.64499375000008</v>
      </c>
      <c r="AA44" s="159">
        <f t="shared" si="1"/>
        <v>0.81291250000009541</v>
      </c>
      <c r="AB44" s="171">
        <v>78</v>
      </c>
      <c r="AC44" s="160">
        <f t="shared" si="2"/>
        <v>317.03587500003721</v>
      </c>
      <c r="AD44" s="472"/>
    </row>
    <row r="45" spans="1:30" ht="14.25" x14ac:dyDescent="0.45">
      <c r="A45" s="601"/>
      <c r="B45" s="148">
        <v>55</v>
      </c>
      <c r="C45" s="154">
        <v>262.9701</v>
      </c>
      <c r="D45" s="154">
        <v>262.81909999999999</v>
      </c>
      <c r="E45" s="154">
        <v>262.89249999999998</v>
      </c>
      <c r="F45" s="154">
        <v>262.86290000000002</v>
      </c>
      <c r="G45" s="154">
        <v>262.85539999999997</v>
      </c>
      <c r="H45" s="154">
        <v>262.84879999999998</v>
      </c>
      <c r="I45" s="154">
        <v>262.82859999999999</v>
      </c>
      <c r="J45" s="154">
        <v>262.8116</v>
      </c>
      <c r="K45" s="154">
        <v>262.86180000000002</v>
      </c>
      <c r="L45" s="154">
        <v>262.83159999999998</v>
      </c>
      <c r="M45" s="154">
        <v>262.75959999999998</v>
      </c>
      <c r="N45" s="154">
        <v>262.77870000000001</v>
      </c>
      <c r="O45" s="154">
        <v>262.77910000000003</v>
      </c>
      <c r="P45" s="154">
        <v>262.74149999999997</v>
      </c>
      <c r="Q45" s="154">
        <v>262.93189999999998</v>
      </c>
      <c r="R45" s="154">
        <v>263.0283</v>
      </c>
      <c r="S45" s="142"/>
      <c r="T45" s="142"/>
      <c r="U45" s="142"/>
      <c r="V45" s="142"/>
      <c r="W45" s="142"/>
      <c r="X45" s="117"/>
      <c r="Y45" s="142">
        <f t="shared" si="0"/>
        <v>262.85009375000004</v>
      </c>
      <c r="Z45" s="142">
        <f t="shared" si="6"/>
        <v>263.69499375000009</v>
      </c>
      <c r="AA45" s="159">
        <f t="shared" si="1"/>
        <v>0.84490000000005239</v>
      </c>
      <c r="AB45" s="174">
        <v>78</v>
      </c>
      <c r="AC45" s="162">
        <f t="shared" si="2"/>
        <v>329.51100000002043</v>
      </c>
      <c r="AD45" s="112">
        <f>SUM(AC34:AC45)</f>
        <v>1782.5023125001626</v>
      </c>
    </row>
    <row r="46" spans="1:30" ht="14.25" x14ac:dyDescent="0.45">
      <c r="A46" s="599" t="s">
        <v>18</v>
      </c>
      <c r="B46" s="147">
        <v>0</v>
      </c>
      <c r="C46" s="151">
        <v>264.01749999999998</v>
      </c>
      <c r="D46" s="151">
        <v>263.88330000000002</v>
      </c>
      <c r="E46" s="151">
        <v>263.94990000000001</v>
      </c>
      <c r="F46" s="151">
        <v>263.9298</v>
      </c>
      <c r="G46" s="151">
        <v>263.88729999999998</v>
      </c>
      <c r="H46" s="151">
        <v>263.87569999999999</v>
      </c>
      <c r="I46" s="151">
        <v>263.84829999999999</v>
      </c>
      <c r="J46" s="151">
        <v>263.7792</v>
      </c>
      <c r="K46" s="151">
        <v>263.62099999999998</v>
      </c>
      <c r="L46" s="151">
        <v>263.31119999999999</v>
      </c>
      <c r="M46" s="151">
        <v>263.33089999999999</v>
      </c>
      <c r="N46" s="151">
        <v>263.34899999999999</v>
      </c>
      <c r="O46" s="151">
        <v>263.70229999999998</v>
      </c>
      <c r="P46" s="151">
        <v>263.43009999999998</v>
      </c>
      <c r="Q46" s="151">
        <v>263.61520000000002</v>
      </c>
      <c r="R46" s="151">
        <v>263.45499999999998</v>
      </c>
      <c r="S46" s="151">
        <v>263.50360000000001</v>
      </c>
      <c r="T46" s="151">
        <v>263.54599999999999</v>
      </c>
      <c r="U46" s="140"/>
      <c r="V46" s="140"/>
      <c r="W46" s="140"/>
      <c r="X46" s="116"/>
      <c r="Y46" s="140">
        <f t="shared" si="0"/>
        <v>263.66862777777783</v>
      </c>
      <c r="Z46" s="140">
        <f t="shared" ref="Z46:Z54" si="7">Z47-5/100</f>
        <v>263.14002222222217</v>
      </c>
      <c r="AA46" s="159">
        <f t="shared" si="1"/>
        <v>-0.52860555555565725</v>
      </c>
      <c r="AB46" s="172">
        <v>86</v>
      </c>
      <c r="AC46" s="158">
        <f t="shared" si="2"/>
        <v>-227.30038888893262</v>
      </c>
      <c r="AD46" s="472"/>
    </row>
    <row r="47" spans="1:30" ht="14.25" x14ac:dyDescent="0.45">
      <c r="A47" s="600"/>
      <c r="B47" s="146">
        <v>5</v>
      </c>
      <c r="C47" s="153">
        <v>263.80360000000002</v>
      </c>
      <c r="D47" s="141">
        <v>263.8032</v>
      </c>
      <c r="E47" s="141">
        <v>263.89929999999998</v>
      </c>
      <c r="F47" s="141">
        <v>263.93130000000002</v>
      </c>
      <c r="G47" s="141">
        <v>263.79969999999997</v>
      </c>
      <c r="H47" s="141">
        <v>263.84660000000002</v>
      </c>
      <c r="I47" s="141">
        <v>263.82859999999999</v>
      </c>
      <c r="J47" s="141">
        <v>263.72609999999997</v>
      </c>
      <c r="K47" s="141">
        <v>263.72199999999998</v>
      </c>
      <c r="L47" s="141">
        <v>263.56760000000003</v>
      </c>
      <c r="M47" s="141">
        <v>263.64280000000002</v>
      </c>
      <c r="N47" s="141">
        <v>263.6789</v>
      </c>
      <c r="O47" s="141">
        <v>263.50799999999998</v>
      </c>
      <c r="P47" s="141">
        <v>263.12729999999999</v>
      </c>
      <c r="Q47" s="141">
        <v>263.63060000000002</v>
      </c>
      <c r="R47" s="141">
        <v>263.41480000000001</v>
      </c>
      <c r="S47" s="141">
        <v>263.38979999999998</v>
      </c>
      <c r="T47" s="153">
        <v>263.48849999999999</v>
      </c>
      <c r="U47" s="141"/>
      <c r="V47" s="141"/>
      <c r="W47" s="141"/>
      <c r="X47" s="108"/>
      <c r="Y47" s="141">
        <f t="shared" si="0"/>
        <v>263.65603888888893</v>
      </c>
      <c r="Z47" s="141">
        <f t="shared" si="7"/>
        <v>263.19002222222218</v>
      </c>
      <c r="AA47" s="159">
        <f t="shared" si="1"/>
        <v>-0.46601666666674646</v>
      </c>
      <c r="AB47" s="171">
        <v>86</v>
      </c>
      <c r="AC47" s="160">
        <f t="shared" si="2"/>
        <v>-200.38716666670098</v>
      </c>
      <c r="AD47" s="472"/>
    </row>
    <row r="48" spans="1:30" ht="14.25" x14ac:dyDescent="0.45">
      <c r="A48" s="600"/>
      <c r="B48" s="146">
        <v>10</v>
      </c>
      <c r="C48" s="153">
        <v>263.79340000000002</v>
      </c>
      <c r="D48" s="141">
        <v>263.76650000000001</v>
      </c>
      <c r="E48" s="141">
        <v>263.8297</v>
      </c>
      <c r="F48" s="141">
        <v>263.77679999999998</v>
      </c>
      <c r="G48" s="141">
        <v>263.70679999999999</v>
      </c>
      <c r="H48" s="141">
        <v>263.24549999999999</v>
      </c>
      <c r="I48" s="141">
        <v>263.21379999999999</v>
      </c>
      <c r="J48" s="141">
        <v>263.22840000000002</v>
      </c>
      <c r="K48" s="141">
        <v>263.25290000000001</v>
      </c>
      <c r="L48" s="141">
        <v>263.22039999999998</v>
      </c>
      <c r="M48" s="141">
        <v>263.48559999999998</v>
      </c>
      <c r="N48" s="141">
        <v>263.63729999999998</v>
      </c>
      <c r="O48" s="141">
        <v>263.37259999999998</v>
      </c>
      <c r="P48" s="141">
        <v>263.32530000000003</v>
      </c>
      <c r="Q48" s="141">
        <v>263.6146</v>
      </c>
      <c r="R48" s="141">
        <v>263.42290000000003</v>
      </c>
      <c r="S48" s="141">
        <v>263.38249999999999</v>
      </c>
      <c r="T48" s="153">
        <v>263.40350000000001</v>
      </c>
      <c r="U48" s="141"/>
      <c r="V48" s="141"/>
      <c r="W48" s="141"/>
      <c r="X48" s="108"/>
      <c r="Y48" s="141">
        <f t="shared" si="0"/>
        <v>263.48213888888887</v>
      </c>
      <c r="Z48" s="141">
        <f t="shared" si="7"/>
        <v>263.24002222222219</v>
      </c>
      <c r="AA48" s="159">
        <f t="shared" si="1"/>
        <v>-0.24211666666667497</v>
      </c>
      <c r="AB48" s="171">
        <v>86</v>
      </c>
      <c r="AC48" s="160">
        <f t="shared" si="2"/>
        <v>-104.11016666667024</v>
      </c>
      <c r="AD48" s="472"/>
    </row>
    <row r="49" spans="1:30" ht="14.25" x14ac:dyDescent="0.45">
      <c r="A49" s="600"/>
      <c r="B49" s="146">
        <v>15</v>
      </c>
      <c r="C49" s="153">
        <v>263.56610000000001</v>
      </c>
      <c r="D49" s="141">
        <v>263.7276</v>
      </c>
      <c r="E49" s="141">
        <v>263.39179999999999</v>
      </c>
      <c r="F49" s="141">
        <v>263.286</v>
      </c>
      <c r="G49" s="141">
        <v>263.75380000000001</v>
      </c>
      <c r="H49" s="141">
        <v>263.59210000000002</v>
      </c>
      <c r="I49" s="141">
        <v>263.49340000000001</v>
      </c>
      <c r="J49" s="141">
        <v>263.60640000000001</v>
      </c>
      <c r="K49" s="141">
        <v>263.57240000000002</v>
      </c>
      <c r="L49" s="141">
        <v>263.60919999999999</v>
      </c>
      <c r="M49" s="141">
        <v>263.42360000000002</v>
      </c>
      <c r="N49" s="141">
        <v>263.72719999999998</v>
      </c>
      <c r="O49" s="141">
        <v>263.16800000000001</v>
      </c>
      <c r="P49" s="141">
        <v>263.5421</v>
      </c>
      <c r="Q49" s="141">
        <v>263.55889999999999</v>
      </c>
      <c r="R49" s="141">
        <v>263.35980000000001</v>
      </c>
      <c r="S49" s="141">
        <v>263.34219999999999</v>
      </c>
      <c r="T49" s="153">
        <v>263.27</v>
      </c>
      <c r="U49" s="141"/>
      <c r="V49" s="141"/>
      <c r="W49" s="141"/>
      <c r="X49" s="108"/>
      <c r="Y49" s="141">
        <f t="shared" si="0"/>
        <v>263.49947777777771</v>
      </c>
      <c r="Z49" s="141">
        <f t="shared" si="7"/>
        <v>263.29002222222221</v>
      </c>
      <c r="AA49" s="159">
        <f t="shared" si="1"/>
        <v>-0.20945555555550754</v>
      </c>
      <c r="AB49" s="171">
        <v>86</v>
      </c>
      <c r="AC49" s="160">
        <f t="shared" si="2"/>
        <v>-90.065888888868244</v>
      </c>
      <c r="AD49" s="472"/>
    </row>
    <row r="50" spans="1:30" ht="14.25" x14ac:dyDescent="0.45">
      <c r="A50" s="600"/>
      <c r="B50" s="146">
        <v>20</v>
      </c>
      <c r="C50" s="153">
        <v>263.45960000000002</v>
      </c>
      <c r="D50" s="141">
        <v>263.53820000000002</v>
      </c>
      <c r="E50" s="141">
        <v>263.63220000000001</v>
      </c>
      <c r="F50" s="141">
        <v>263.61619999999999</v>
      </c>
      <c r="G50" s="141">
        <v>263.80369999999999</v>
      </c>
      <c r="H50" s="141">
        <v>263.68520000000001</v>
      </c>
      <c r="I50" s="141">
        <v>263.72489999999999</v>
      </c>
      <c r="J50" s="141">
        <v>263.78500000000003</v>
      </c>
      <c r="K50" s="141">
        <v>263.59910000000002</v>
      </c>
      <c r="L50" s="141">
        <v>263.39670000000001</v>
      </c>
      <c r="M50" s="141">
        <v>263.45940000000002</v>
      </c>
      <c r="N50" s="141">
        <v>263.28769999999997</v>
      </c>
      <c r="O50" s="141">
        <v>263.0213</v>
      </c>
      <c r="P50" s="141">
        <v>263.5197</v>
      </c>
      <c r="Q50" s="141">
        <v>263.23090000000002</v>
      </c>
      <c r="R50" s="141">
        <v>263.37849999999997</v>
      </c>
      <c r="S50" s="141">
        <v>263.19490000000002</v>
      </c>
      <c r="T50" s="153">
        <v>263.24029999999999</v>
      </c>
      <c r="U50" s="141"/>
      <c r="V50" s="141"/>
      <c r="W50" s="141"/>
      <c r="X50" s="108"/>
      <c r="Y50" s="141">
        <f t="shared" si="0"/>
        <v>263.4763055555556</v>
      </c>
      <c r="Z50" s="141">
        <f t="shared" si="7"/>
        <v>263.34002222222222</v>
      </c>
      <c r="AA50" s="159">
        <f t="shared" si="1"/>
        <v>-0.13628333333338105</v>
      </c>
      <c r="AB50" s="171">
        <v>86</v>
      </c>
      <c r="AC50" s="160">
        <f t="shared" si="2"/>
        <v>-58.601833333353852</v>
      </c>
      <c r="AD50" s="472"/>
    </row>
    <row r="51" spans="1:30" ht="14.25" x14ac:dyDescent="0.45">
      <c r="A51" s="600"/>
      <c r="B51" s="146">
        <v>25</v>
      </c>
      <c r="C51" s="153">
        <v>263.53949999999998</v>
      </c>
      <c r="D51" s="141">
        <v>263.55169999999998</v>
      </c>
      <c r="E51" s="141">
        <v>263.39550000000003</v>
      </c>
      <c r="F51" s="141">
        <v>263.65089999999998</v>
      </c>
      <c r="G51" s="141">
        <v>263.77539999999999</v>
      </c>
      <c r="H51" s="141">
        <v>263.60390000000001</v>
      </c>
      <c r="I51" s="141">
        <v>263.2731</v>
      </c>
      <c r="J51" s="141">
        <v>263.90379999999999</v>
      </c>
      <c r="K51" s="141">
        <v>263.36610000000002</v>
      </c>
      <c r="L51" s="141">
        <v>262.96870000000001</v>
      </c>
      <c r="M51" s="141">
        <v>263.37860000000001</v>
      </c>
      <c r="N51" s="141">
        <v>263.25700000000001</v>
      </c>
      <c r="O51" s="141">
        <v>263.28539999999998</v>
      </c>
      <c r="P51" s="141">
        <v>263.52879999999999</v>
      </c>
      <c r="Q51" s="141">
        <v>263.25459999999998</v>
      </c>
      <c r="R51" s="141">
        <v>263.45359999999999</v>
      </c>
      <c r="S51" s="141">
        <v>263.3193</v>
      </c>
      <c r="T51" s="153">
        <v>263.14850000000001</v>
      </c>
      <c r="U51" s="141"/>
      <c r="V51" s="141"/>
      <c r="W51" s="141"/>
      <c r="X51" s="108"/>
      <c r="Y51" s="141">
        <f t="shared" si="0"/>
        <v>263.42524444444444</v>
      </c>
      <c r="Z51" s="141">
        <f t="shared" si="7"/>
        <v>263.39002222222223</v>
      </c>
      <c r="AA51" s="159">
        <f t="shared" si="1"/>
        <v>-3.5222222222216715E-2</v>
      </c>
      <c r="AB51" s="171">
        <v>86</v>
      </c>
      <c r="AC51" s="160">
        <f t="shared" si="2"/>
        <v>-15.145555555553187</v>
      </c>
      <c r="AD51" s="472"/>
    </row>
    <row r="52" spans="1:30" ht="14.25" x14ac:dyDescent="0.45">
      <c r="A52" s="600"/>
      <c r="B52" s="146">
        <v>30</v>
      </c>
      <c r="C52" s="153">
        <v>263.20370000000003</v>
      </c>
      <c r="D52" s="141">
        <v>263.23590000000002</v>
      </c>
      <c r="E52" s="141">
        <v>263.17860000000002</v>
      </c>
      <c r="F52" s="141">
        <v>263.22710000000001</v>
      </c>
      <c r="G52" s="141">
        <v>263.37509999999997</v>
      </c>
      <c r="H52" s="141">
        <v>263.4375</v>
      </c>
      <c r="I52" s="141">
        <v>263.43189999999998</v>
      </c>
      <c r="J52" s="141">
        <v>263.52449999999999</v>
      </c>
      <c r="K52" s="141">
        <v>263.55529999999999</v>
      </c>
      <c r="L52" s="141">
        <v>263.56220000000002</v>
      </c>
      <c r="M52" s="141">
        <v>263.10789999999997</v>
      </c>
      <c r="N52" s="141">
        <v>263.4325</v>
      </c>
      <c r="O52" s="141">
        <v>263.43270000000001</v>
      </c>
      <c r="P52" s="141">
        <v>263.39690000000002</v>
      </c>
      <c r="Q52" s="141">
        <v>263.46499999999997</v>
      </c>
      <c r="R52" s="141">
        <v>263.34469999999999</v>
      </c>
      <c r="S52" s="141">
        <v>263.2373</v>
      </c>
      <c r="T52" s="153">
        <v>263.26089999999999</v>
      </c>
      <c r="U52" s="141"/>
      <c r="V52" s="141"/>
      <c r="W52" s="141"/>
      <c r="X52" s="108"/>
      <c r="Y52" s="141">
        <f t="shared" si="0"/>
        <v>263.35609444444447</v>
      </c>
      <c r="Z52" s="141">
        <f t="shared" si="7"/>
        <v>263.44002222222224</v>
      </c>
      <c r="AA52" s="159">
        <f t="shared" si="1"/>
        <v>8.3927777777773827E-2</v>
      </c>
      <c r="AB52" s="171">
        <v>86</v>
      </c>
      <c r="AC52" s="160">
        <f t="shared" si="2"/>
        <v>36.088944444442745</v>
      </c>
      <c r="AD52" s="472"/>
    </row>
    <row r="53" spans="1:30" ht="14.25" x14ac:dyDescent="0.45">
      <c r="A53" s="600"/>
      <c r="B53" s="146">
        <v>35</v>
      </c>
      <c r="C53" s="153">
        <v>263.20609999999999</v>
      </c>
      <c r="D53" s="141">
        <v>263.1696</v>
      </c>
      <c r="E53" s="141">
        <v>263.18169999999998</v>
      </c>
      <c r="F53" s="141">
        <v>263.08679999999998</v>
      </c>
      <c r="G53" s="141">
        <v>263.37450000000001</v>
      </c>
      <c r="H53" s="141">
        <v>263.32859999999999</v>
      </c>
      <c r="I53" s="141">
        <v>263.3621</v>
      </c>
      <c r="J53" s="141">
        <v>263.41180000000003</v>
      </c>
      <c r="K53" s="141">
        <v>263.45549999999997</v>
      </c>
      <c r="L53" s="141">
        <v>263.55189999999999</v>
      </c>
      <c r="M53" s="141">
        <v>263.1343</v>
      </c>
      <c r="N53" s="141">
        <v>263.49689999999998</v>
      </c>
      <c r="O53" s="141">
        <v>263.53190000000001</v>
      </c>
      <c r="P53" s="141">
        <v>263.50959999999998</v>
      </c>
      <c r="Q53" s="141">
        <v>263.46690000000001</v>
      </c>
      <c r="R53" s="141">
        <v>263.45330000000001</v>
      </c>
      <c r="S53" s="141">
        <v>263.31909999999999</v>
      </c>
      <c r="T53" s="153">
        <v>263.21019999999999</v>
      </c>
      <c r="U53" s="141"/>
      <c r="V53" s="141"/>
      <c r="W53" s="141"/>
      <c r="X53" s="108"/>
      <c r="Y53" s="141">
        <f t="shared" si="0"/>
        <v>263.34726666666666</v>
      </c>
      <c r="Z53" s="141">
        <f t="shared" si="7"/>
        <v>263.49002222222225</v>
      </c>
      <c r="AA53" s="159">
        <f t="shared" si="1"/>
        <v>0.14275555555559549</v>
      </c>
      <c r="AB53" s="171">
        <v>86</v>
      </c>
      <c r="AC53" s="160">
        <f t="shared" si="2"/>
        <v>61.384888888906062</v>
      </c>
      <c r="AD53" s="472"/>
    </row>
    <row r="54" spans="1:30" ht="14.25" x14ac:dyDescent="0.45">
      <c r="A54" s="600"/>
      <c r="B54" s="146">
        <v>40</v>
      </c>
      <c r="C54" s="153">
        <v>263.03809999999999</v>
      </c>
      <c r="D54" s="141">
        <v>263.06959999999998</v>
      </c>
      <c r="E54" s="141">
        <v>263.10770000000002</v>
      </c>
      <c r="F54" s="141">
        <v>263.0616</v>
      </c>
      <c r="G54" s="141">
        <v>263.30770000000001</v>
      </c>
      <c r="H54" s="141">
        <v>263.32589999999999</v>
      </c>
      <c r="I54" s="141">
        <v>263.23869999999999</v>
      </c>
      <c r="J54" s="141">
        <v>263.30630000000002</v>
      </c>
      <c r="K54" s="141">
        <v>263.36149999999998</v>
      </c>
      <c r="L54" s="141">
        <v>263.50799999999998</v>
      </c>
      <c r="M54" s="141">
        <v>262.98050000000001</v>
      </c>
      <c r="N54" s="141">
        <v>263.4203</v>
      </c>
      <c r="O54" s="141">
        <v>263.34969999999998</v>
      </c>
      <c r="P54" s="141">
        <v>263.4554</v>
      </c>
      <c r="Q54" s="141">
        <v>263.51319999999998</v>
      </c>
      <c r="R54" s="141">
        <v>263.4273</v>
      </c>
      <c r="S54" s="141">
        <v>263.38459999999998</v>
      </c>
      <c r="T54" s="153">
        <v>263.30470000000003</v>
      </c>
      <c r="U54" s="141"/>
      <c r="V54" s="141"/>
      <c r="W54" s="141"/>
      <c r="X54" s="108"/>
      <c r="Y54" s="141">
        <f t="shared" si="0"/>
        <v>263.28671111111112</v>
      </c>
      <c r="Z54" s="141">
        <f t="shared" si="7"/>
        <v>263.54002222222226</v>
      </c>
      <c r="AA54" s="159">
        <f t="shared" si="1"/>
        <v>0.25331111111114524</v>
      </c>
      <c r="AB54" s="171">
        <v>86</v>
      </c>
      <c r="AC54" s="160">
        <f t="shared" si="2"/>
        <v>108.92377777779245</v>
      </c>
      <c r="AD54" s="472"/>
    </row>
    <row r="55" spans="1:30" ht="14.25" x14ac:dyDescent="0.45">
      <c r="A55" s="600"/>
      <c r="B55" s="146">
        <v>45</v>
      </c>
      <c r="C55" s="153">
        <v>263.11989999999997</v>
      </c>
      <c r="D55" s="141">
        <v>263.10500000000002</v>
      </c>
      <c r="E55" s="141">
        <v>263.1234</v>
      </c>
      <c r="F55" s="141">
        <v>263.3954</v>
      </c>
      <c r="G55" s="141">
        <v>263.33260000000001</v>
      </c>
      <c r="H55" s="141">
        <v>263.2792</v>
      </c>
      <c r="I55" s="141">
        <v>263.2971</v>
      </c>
      <c r="J55" s="141">
        <v>263.21510000000001</v>
      </c>
      <c r="K55" s="141">
        <v>263.3</v>
      </c>
      <c r="L55" s="141">
        <v>263.32769999999999</v>
      </c>
      <c r="M55" s="141">
        <v>263.04570000000001</v>
      </c>
      <c r="N55" s="141">
        <v>263.14850000000001</v>
      </c>
      <c r="O55" s="141">
        <v>263.46460000000002</v>
      </c>
      <c r="P55" s="141">
        <v>263.4665</v>
      </c>
      <c r="Q55" s="141">
        <v>263.30270000000002</v>
      </c>
      <c r="R55" s="141">
        <v>263.39060000000001</v>
      </c>
      <c r="S55" s="141">
        <v>263.41640000000001</v>
      </c>
      <c r="T55" s="153">
        <v>263.1739</v>
      </c>
      <c r="U55" s="141"/>
      <c r="V55" s="141"/>
      <c r="W55" s="141"/>
      <c r="X55" s="108"/>
      <c r="Y55" s="141">
        <f t="shared" si="0"/>
        <v>263.27246111111111</v>
      </c>
      <c r="Z55" s="141">
        <f>Z56-5/100</f>
        <v>263.59002222222227</v>
      </c>
      <c r="AA55" s="159">
        <f t="shared" si="1"/>
        <v>0.3175611111111607</v>
      </c>
      <c r="AB55" s="171">
        <v>86</v>
      </c>
      <c r="AC55" s="160">
        <f t="shared" si="2"/>
        <v>136.5512777777991</v>
      </c>
      <c r="AD55" s="472"/>
    </row>
    <row r="56" spans="1:30" ht="14.25" x14ac:dyDescent="0.45">
      <c r="A56" s="600"/>
      <c r="B56" s="146">
        <v>50</v>
      </c>
      <c r="C56" s="153">
        <v>263.20499999999998</v>
      </c>
      <c r="D56" s="141">
        <v>263.14530000000002</v>
      </c>
      <c r="E56" s="141">
        <v>263.11279999999999</v>
      </c>
      <c r="F56" s="141">
        <v>263.21350000000001</v>
      </c>
      <c r="G56" s="141">
        <v>263.34960000000001</v>
      </c>
      <c r="H56" s="141">
        <v>263.32859999999999</v>
      </c>
      <c r="I56" s="141">
        <v>263.3492</v>
      </c>
      <c r="J56" s="141">
        <v>263.24459999999999</v>
      </c>
      <c r="K56" s="141">
        <v>263.30840000000001</v>
      </c>
      <c r="L56" s="141">
        <v>263.25389999999999</v>
      </c>
      <c r="M56" s="141">
        <v>263.07229999999998</v>
      </c>
      <c r="N56" s="141">
        <v>263.41789999999997</v>
      </c>
      <c r="O56" s="141">
        <v>263.48750000000001</v>
      </c>
      <c r="P56" s="141">
        <v>263.31760000000003</v>
      </c>
      <c r="Q56" s="141">
        <v>263.21280000000002</v>
      </c>
      <c r="R56" s="141">
        <v>263.20609999999999</v>
      </c>
      <c r="S56" s="141">
        <v>263.36799999999999</v>
      </c>
      <c r="T56" s="153">
        <v>263.15929999999997</v>
      </c>
      <c r="U56" s="141"/>
      <c r="V56" s="141"/>
      <c r="W56" s="141"/>
      <c r="X56" s="124"/>
      <c r="Y56" s="167">
        <f t="shared" si="0"/>
        <v>263.26402222222231</v>
      </c>
      <c r="Z56" s="167">
        <f>Y56+0.3+0.001+0.075</f>
        <v>263.64002222222229</v>
      </c>
      <c r="AA56" s="159">
        <f t="shared" si="1"/>
        <v>0.37599999999997635</v>
      </c>
      <c r="AB56" s="173">
        <v>86</v>
      </c>
      <c r="AC56" s="160">
        <f t="shared" si="2"/>
        <v>161.67999999998983</v>
      </c>
      <c r="AD56" s="472"/>
    </row>
    <row r="57" spans="1:30" ht="14.25" x14ac:dyDescent="0.45">
      <c r="A57" s="600"/>
      <c r="B57" s="146">
        <v>55</v>
      </c>
      <c r="C57" s="153">
        <v>263.1327</v>
      </c>
      <c r="D57" s="141">
        <v>263.13339999999999</v>
      </c>
      <c r="E57" s="141">
        <v>263.11700000000002</v>
      </c>
      <c r="F57" s="141">
        <v>263.05369999999999</v>
      </c>
      <c r="G57" s="141">
        <v>262.99439999999998</v>
      </c>
      <c r="H57" s="141">
        <v>263.02069999999998</v>
      </c>
      <c r="I57" s="141">
        <v>263.28660000000002</v>
      </c>
      <c r="J57" s="141">
        <v>263.15879999999999</v>
      </c>
      <c r="K57" s="141">
        <v>263.27449999999999</v>
      </c>
      <c r="L57" s="141">
        <v>263.03399999999999</v>
      </c>
      <c r="M57" s="141">
        <v>263.23039999999997</v>
      </c>
      <c r="N57" s="141">
        <v>263.32229999999998</v>
      </c>
      <c r="O57" s="141">
        <v>263.38409999999999</v>
      </c>
      <c r="P57" s="141">
        <v>263.37079999999997</v>
      </c>
      <c r="Q57" s="141">
        <v>263.28640000000001</v>
      </c>
      <c r="R57" s="141">
        <v>263.11470000000003</v>
      </c>
      <c r="S57" s="141">
        <v>263.25420000000003</v>
      </c>
      <c r="T57" s="153">
        <v>262.98719999999997</v>
      </c>
      <c r="U57" s="141"/>
      <c r="V57" s="141"/>
      <c r="W57" s="141"/>
      <c r="X57" s="108"/>
      <c r="Y57" s="141">
        <f t="shared" si="0"/>
        <v>263.17532777777774</v>
      </c>
      <c r="Z57" s="141">
        <f>Z56-5/100</f>
        <v>263.59002222222227</v>
      </c>
      <c r="AA57" s="159">
        <f t="shared" si="1"/>
        <v>0.41469444444453529</v>
      </c>
      <c r="AB57" s="171">
        <v>86</v>
      </c>
      <c r="AC57" s="160">
        <f t="shared" si="2"/>
        <v>178.31861111115018</v>
      </c>
      <c r="AD57" s="472"/>
    </row>
    <row r="58" spans="1:30" ht="14.25" x14ac:dyDescent="0.45">
      <c r="A58" s="600"/>
      <c r="B58" s="146">
        <v>60</v>
      </c>
      <c r="C58" s="153">
        <v>263.17180000000002</v>
      </c>
      <c r="D58" s="141">
        <v>263.13060000000002</v>
      </c>
      <c r="E58" s="141">
        <v>263.0446</v>
      </c>
      <c r="F58" s="141">
        <v>263.12830000000002</v>
      </c>
      <c r="G58" s="141">
        <v>263.1241</v>
      </c>
      <c r="H58" s="141">
        <v>263.02679999999998</v>
      </c>
      <c r="I58" s="141">
        <v>263.23259999999999</v>
      </c>
      <c r="J58" s="141">
        <v>263.19080000000002</v>
      </c>
      <c r="K58" s="141">
        <v>263.30869999999999</v>
      </c>
      <c r="L58" s="141">
        <v>262.94319999999999</v>
      </c>
      <c r="M58" s="141">
        <v>263.33780000000002</v>
      </c>
      <c r="N58" s="141">
        <v>263.32049999999998</v>
      </c>
      <c r="O58" s="141">
        <v>263.34469999999999</v>
      </c>
      <c r="P58" s="141">
        <v>263.2534</v>
      </c>
      <c r="Q58" s="141">
        <v>263.1551</v>
      </c>
      <c r="R58" s="141">
        <v>263.13249999999999</v>
      </c>
      <c r="S58" s="141">
        <v>262.96030000000002</v>
      </c>
      <c r="T58" s="153">
        <v>262.7595</v>
      </c>
      <c r="U58" s="141"/>
      <c r="V58" s="141"/>
      <c r="W58" s="141"/>
      <c r="X58" s="108"/>
      <c r="Y58" s="141">
        <f t="shared" si="0"/>
        <v>263.14251666666667</v>
      </c>
      <c r="Z58" s="141">
        <f t="shared" ref="Z58:Z66" si="8">Z57-5/100</f>
        <v>263.54002222222226</v>
      </c>
      <c r="AA58" s="159">
        <f t="shared" si="1"/>
        <v>0.39750555555559686</v>
      </c>
      <c r="AB58" s="171">
        <v>86</v>
      </c>
      <c r="AC58" s="160">
        <f t="shared" si="2"/>
        <v>170.92738888890665</v>
      </c>
      <c r="AD58" s="472"/>
    </row>
    <row r="59" spans="1:30" ht="14.25" x14ac:dyDescent="0.45">
      <c r="A59" s="600"/>
      <c r="B59" s="146">
        <v>65</v>
      </c>
      <c r="C59" s="153">
        <v>263.26479999999998</v>
      </c>
      <c r="D59" s="141">
        <v>263.18020000000001</v>
      </c>
      <c r="E59" s="141">
        <v>262.99189999999999</v>
      </c>
      <c r="F59" s="141">
        <v>263.1567</v>
      </c>
      <c r="G59" s="141">
        <v>263.06849999999997</v>
      </c>
      <c r="H59" s="141">
        <v>262.96370000000002</v>
      </c>
      <c r="I59" s="141">
        <v>263.20659999999998</v>
      </c>
      <c r="J59" s="141">
        <v>263.14159999999998</v>
      </c>
      <c r="K59" s="141">
        <v>263.23680000000002</v>
      </c>
      <c r="L59" s="141">
        <v>262.86540000000002</v>
      </c>
      <c r="M59" s="141">
        <v>263.33</v>
      </c>
      <c r="N59" s="141">
        <v>263.3032</v>
      </c>
      <c r="O59" s="141">
        <v>263.30650000000003</v>
      </c>
      <c r="P59" s="141">
        <v>263.19189999999998</v>
      </c>
      <c r="Q59" s="141">
        <v>262.93360000000001</v>
      </c>
      <c r="R59" s="141">
        <v>262.94400000000002</v>
      </c>
      <c r="S59" s="141">
        <v>262.8605</v>
      </c>
      <c r="T59" s="153">
        <v>262.94920000000002</v>
      </c>
      <c r="U59" s="141"/>
      <c r="V59" s="141"/>
      <c r="W59" s="141"/>
      <c r="X59" s="108"/>
      <c r="Y59" s="141">
        <f t="shared" si="0"/>
        <v>263.10528333333332</v>
      </c>
      <c r="Z59" s="141">
        <f t="shared" si="8"/>
        <v>263.49002222222225</v>
      </c>
      <c r="AA59" s="159">
        <f t="shared" si="1"/>
        <v>0.38473888888893271</v>
      </c>
      <c r="AB59" s="171">
        <v>86</v>
      </c>
      <c r="AC59" s="160">
        <f t="shared" si="2"/>
        <v>165.43772222224106</v>
      </c>
      <c r="AD59" s="472"/>
    </row>
    <row r="60" spans="1:30" ht="14.25" x14ac:dyDescent="0.45">
      <c r="A60" s="600"/>
      <c r="B60" s="146">
        <v>70</v>
      </c>
      <c r="C60" s="153">
        <v>263.23689999999999</v>
      </c>
      <c r="D60" s="141">
        <v>263.07029999999997</v>
      </c>
      <c r="E60" s="141">
        <v>262.9896</v>
      </c>
      <c r="F60" s="141">
        <v>263.0763</v>
      </c>
      <c r="G60" s="141">
        <v>263.03919999999999</v>
      </c>
      <c r="H60" s="141">
        <v>262.94200000000001</v>
      </c>
      <c r="I60" s="141">
        <v>263.15429999999998</v>
      </c>
      <c r="J60" s="141">
        <v>263.21409999999997</v>
      </c>
      <c r="K60" s="141">
        <v>263.20060000000001</v>
      </c>
      <c r="L60" s="141">
        <v>262.87670000000003</v>
      </c>
      <c r="M60" s="141">
        <v>263.3458</v>
      </c>
      <c r="N60" s="141">
        <v>263.32190000000003</v>
      </c>
      <c r="O60" s="141">
        <v>263.33359999999999</v>
      </c>
      <c r="P60" s="141">
        <v>263.14479999999998</v>
      </c>
      <c r="Q60" s="141">
        <v>263.1549</v>
      </c>
      <c r="R60" s="141">
        <v>263.02769999999998</v>
      </c>
      <c r="S60" s="141">
        <v>262.7593</v>
      </c>
      <c r="T60" s="153">
        <v>262.98129999999998</v>
      </c>
      <c r="U60" s="141"/>
      <c r="V60" s="141"/>
      <c r="W60" s="141"/>
      <c r="X60" s="108"/>
      <c r="Y60" s="141">
        <f t="shared" si="0"/>
        <v>263.10385000000002</v>
      </c>
      <c r="Z60" s="141">
        <f t="shared" si="8"/>
        <v>263.44002222222224</v>
      </c>
      <c r="AA60" s="159">
        <f t="shared" si="1"/>
        <v>0.33617222222221699</v>
      </c>
      <c r="AB60" s="171">
        <v>86</v>
      </c>
      <c r="AC60" s="160">
        <f t="shared" si="2"/>
        <v>144.5540555555533</v>
      </c>
      <c r="AD60" s="472"/>
    </row>
    <row r="61" spans="1:30" ht="14.25" x14ac:dyDescent="0.45">
      <c r="A61" s="600"/>
      <c r="B61" s="146">
        <v>75</v>
      </c>
      <c r="C61" s="153">
        <v>263.10500000000002</v>
      </c>
      <c r="D61" s="141">
        <v>263.05560000000003</v>
      </c>
      <c r="E61" s="141">
        <v>263.08890000000002</v>
      </c>
      <c r="F61" s="141">
        <v>263.05900000000003</v>
      </c>
      <c r="G61" s="141">
        <v>262.9579</v>
      </c>
      <c r="H61" s="141">
        <v>262.92950000000002</v>
      </c>
      <c r="I61" s="141">
        <v>263.17149999999998</v>
      </c>
      <c r="J61" s="141">
        <v>263.07330000000002</v>
      </c>
      <c r="K61" s="141">
        <v>263.15879999999999</v>
      </c>
      <c r="L61" s="141">
        <v>263.10750000000002</v>
      </c>
      <c r="M61" s="141">
        <v>263.25720000000001</v>
      </c>
      <c r="N61" s="141">
        <v>263.3091</v>
      </c>
      <c r="O61" s="141">
        <v>263.25549999999998</v>
      </c>
      <c r="P61" s="141">
        <v>263.18369999999999</v>
      </c>
      <c r="Q61" s="141">
        <v>263.18889999999999</v>
      </c>
      <c r="R61" s="141">
        <v>262.87169999999998</v>
      </c>
      <c r="S61" s="141">
        <v>262.87470000000002</v>
      </c>
      <c r="T61" s="153">
        <v>262.93380000000002</v>
      </c>
      <c r="U61" s="141"/>
      <c r="V61" s="141"/>
      <c r="W61" s="141"/>
      <c r="X61" s="108"/>
      <c r="Y61" s="141">
        <f t="shared" si="0"/>
        <v>263.08786666666668</v>
      </c>
      <c r="Z61" s="141">
        <f t="shared" si="8"/>
        <v>263.39002222222223</v>
      </c>
      <c r="AA61" s="159">
        <f t="shared" si="1"/>
        <v>0.30215555555554374</v>
      </c>
      <c r="AB61" s="171">
        <v>86</v>
      </c>
      <c r="AC61" s="160">
        <f t="shared" si="2"/>
        <v>129.92688888888381</v>
      </c>
      <c r="AD61" s="472"/>
    </row>
    <row r="62" spans="1:30" ht="14.25" x14ac:dyDescent="0.45">
      <c r="A62" s="600"/>
      <c r="B62" s="146">
        <v>80</v>
      </c>
      <c r="C62" s="153">
        <v>263.11829999999998</v>
      </c>
      <c r="D62" s="141">
        <v>263.14490000000001</v>
      </c>
      <c r="E62" s="141">
        <v>263.1123</v>
      </c>
      <c r="F62" s="141">
        <v>263.0643</v>
      </c>
      <c r="G62" s="141">
        <v>263.0224</v>
      </c>
      <c r="H62" s="141">
        <v>263.0437</v>
      </c>
      <c r="I62" s="141">
        <v>263.38580000000002</v>
      </c>
      <c r="J62" s="141">
        <v>263.38799999999998</v>
      </c>
      <c r="K62" s="141">
        <v>263.2627</v>
      </c>
      <c r="L62" s="141">
        <v>263.32580000000002</v>
      </c>
      <c r="M62" s="141">
        <v>263.26909999999998</v>
      </c>
      <c r="N62" s="141">
        <v>263.27339999999998</v>
      </c>
      <c r="O62" s="141">
        <v>263.13959999999997</v>
      </c>
      <c r="P62" s="141">
        <v>262.99189999999999</v>
      </c>
      <c r="Q62" s="141">
        <v>262.87349999999998</v>
      </c>
      <c r="R62" s="141">
        <v>262.94299999999998</v>
      </c>
      <c r="S62" s="141">
        <v>263.07069999999999</v>
      </c>
      <c r="T62" s="153">
        <v>263.06880000000001</v>
      </c>
      <c r="U62" s="141"/>
      <c r="V62" s="141"/>
      <c r="W62" s="141"/>
      <c r="X62" s="108"/>
      <c r="Y62" s="141">
        <f t="shared" si="0"/>
        <v>263.13878888888894</v>
      </c>
      <c r="Z62" s="141">
        <f t="shared" si="8"/>
        <v>263.34002222222222</v>
      </c>
      <c r="AA62" s="159">
        <f t="shared" si="1"/>
        <v>0.20123333333327764</v>
      </c>
      <c r="AB62" s="171">
        <v>86</v>
      </c>
      <c r="AC62" s="160">
        <f t="shared" si="2"/>
        <v>86.530333333309386</v>
      </c>
      <c r="AD62" s="472"/>
    </row>
    <row r="63" spans="1:30" ht="14.25" x14ac:dyDescent="0.45">
      <c r="A63" s="600"/>
      <c r="B63" s="146">
        <v>85</v>
      </c>
      <c r="C63" s="153">
        <v>263.0881</v>
      </c>
      <c r="D63" s="141">
        <v>263.09289999999999</v>
      </c>
      <c r="E63" s="141">
        <v>263.02</v>
      </c>
      <c r="F63" s="141">
        <v>263.0994</v>
      </c>
      <c r="G63" s="141">
        <v>263.35750000000002</v>
      </c>
      <c r="H63" s="141">
        <v>263.11450000000002</v>
      </c>
      <c r="I63" s="141">
        <v>263.13920000000002</v>
      </c>
      <c r="J63" s="141">
        <v>263.34550000000002</v>
      </c>
      <c r="K63" s="141">
        <v>263.19580000000002</v>
      </c>
      <c r="L63" s="141">
        <v>263.42469999999997</v>
      </c>
      <c r="M63" s="141">
        <v>263.3689</v>
      </c>
      <c r="N63" s="141">
        <v>263.2645</v>
      </c>
      <c r="O63" s="141">
        <v>263.24849999999998</v>
      </c>
      <c r="P63" s="141">
        <v>262.92399999999998</v>
      </c>
      <c r="Q63" s="141">
        <v>262.8897</v>
      </c>
      <c r="R63" s="141">
        <v>263.2568</v>
      </c>
      <c r="S63" s="141">
        <v>262.96140000000003</v>
      </c>
      <c r="T63" s="153">
        <v>263.05680000000001</v>
      </c>
      <c r="U63" s="141"/>
      <c r="V63" s="141"/>
      <c r="W63" s="141"/>
      <c r="X63" s="108"/>
      <c r="Y63" s="141">
        <f t="shared" si="0"/>
        <v>263.15823333333338</v>
      </c>
      <c r="Z63" s="141">
        <f t="shared" si="8"/>
        <v>263.29002222222221</v>
      </c>
      <c r="AA63" s="159">
        <f t="shared" si="1"/>
        <v>0.13178888888882057</v>
      </c>
      <c r="AB63" s="171">
        <v>86</v>
      </c>
      <c r="AC63" s="160">
        <f t="shared" si="2"/>
        <v>56.669222222192843</v>
      </c>
      <c r="AD63" s="472"/>
    </row>
    <row r="64" spans="1:30" ht="14.25" x14ac:dyDescent="0.45">
      <c r="A64" s="600"/>
      <c r="B64" s="146">
        <v>90</v>
      </c>
      <c r="C64" s="153">
        <v>263.06959999999998</v>
      </c>
      <c r="D64" s="141">
        <v>263.10860000000002</v>
      </c>
      <c r="E64" s="141">
        <v>263.05869999999999</v>
      </c>
      <c r="F64" s="141">
        <v>263.13099999999997</v>
      </c>
      <c r="G64" s="141">
        <v>263.1884</v>
      </c>
      <c r="H64" s="141">
        <v>263.14780000000002</v>
      </c>
      <c r="I64" s="141">
        <v>263.11610000000002</v>
      </c>
      <c r="J64" s="141">
        <v>263.12549999999999</v>
      </c>
      <c r="K64" s="141">
        <v>262.99470000000002</v>
      </c>
      <c r="L64" s="141">
        <v>263.44959999999998</v>
      </c>
      <c r="M64" s="141">
        <v>263.3236</v>
      </c>
      <c r="N64" s="141">
        <v>263.30470000000003</v>
      </c>
      <c r="O64" s="141">
        <v>263.14249999999998</v>
      </c>
      <c r="P64" s="141">
        <v>263.04109999999997</v>
      </c>
      <c r="Q64" s="141">
        <v>263.14839999999998</v>
      </c>
      <c r="R64" s="141">
        <v>263.13150000000002</v>
      </c>
      <c r="S64" s="141">
        <v>263.26440000000002</v>
      </c>
      <c r="T64" s="153">
        <v>263.18979999999999</v>
      </c>
      <c r="U64" s="141"/>
      <c r="V64" s="141"/>
      <c r="W64" s="141"/>
      <c r="X64" s="108"/>
      <c r="Y64" s="141">
        <f t="shared" si="0"/>
        <v>263.16311111111116</v>
      </c>
      <c r="Z64" s="141">
        <f t="shared" si="8"/>
        <v>263.24002222222219</v>
      </c>
      <c r="AA64" s="159">
        <f t="shared" si="1"/>
        <v>7.691111111103055E-2</v>
      </c>
      <c r="AB64" s="171">
        <v>86</v>
      </c>
      <c r="AC64" s="160">
        <f t="shared" si="2"/>
        <v>33.071777777743137</v>
      </c>
      <c r="AD64" s="472"/>
    </row>
    <row r="65" spans="1:30" ht="14.25" x14ac:dyDescent="0.45">
      <c r="A65" s="600"/>
      <c r="B65" s="146">
        <v>95</v>
      </c>
      <c r="C65" s="153">
        <v>263.15089999999998</v>
      </c>
      <c r="D65" s="141">
        <v>263.1816</v>
      </c>
      <c r="E65" s="141">
        <v>263.01049999999998</v>
      </c>
      <c r="F65" s="141">
        <v>263.21420000000001</v>
      </c>
      <c r="G65" s="141">
        <v>263.11419999999998</v>
      </c>
      <c r="H65" s="141">
        <v>263.1191</v>
      </c>
      <c r="I65" s="141">
        <v>263.16699999999997</v>
      </c>
      <c r="J65" s="141">
        <v>263.1721</v>
      </c>
      <c r="K65" s="141">
        <v>262.79059999999998</v>
      </c>
      <c r="L65" s="141">
        <v>263.43450000000001</v>
      </c>
      <c r="M65" s="141">
        <v>263.36070000000001</v>
      </c>
      <c r="N65" s="141">
        <v>263.39839999999998</v>
      </c>
      <c r="O65" s="141">
        <v>263.09949999999998</v>
      </c>
      <c r="P65" s="141">
        <v>263.1146</v>
      </c>
      <c r="Q65" s="141">
        <v>263.25279999999998</v>
      </c>
      <c r="R65" s="141">
        <v>263.34890000000001</v>
      </c>
      <c r="S65" s="141">
        <v>263.21699999999998</v>
      </c>
      <c r="T65" s="153">
        <v>263.2559</v>
      </c>
      <c r="U65" s="141"/>
      <c r="V65" s="141"/>
      <c r="W65" s="141"/>
      <c r="X65" s="108"/>
      <c r="Y65" s="141">
        <f t="shared" si="0"/>
        <v>263.18902777777771</v>
      </c>
      <c r="Z65" s="141">
        <f t="shared" si="8"/>
        <v>263.19002222222218</v>
      </c>
      <c r="AA65" s="159">
        <f t="shared" si="1"/>
        <v>9.9444444447271962E-4</v>
      </c>
      <c r="AB65" s="171">
        <v>86</v>
      </c>
      <c r="AC65" s="160">
        <f t="shared" si="2"/>
        <v>0.42761111112326944</v>
      </c>
      <c r="AD65" s="472"/>
    </row>
    <row r="66" spans="1:30" ht="14.25" x14ac:dyDescent="0.45">
      <c r="A66" s="601"/>
      <c r="B66" s="148">
        <v>100</v>
      </c>
      <c r="C66" s="154">
        <v>263.14089999999999</v>
      </c>
      <c r="D66" s="154">
        <v>262.88069999999999</v>
      </c>
      <c r="E66" s="154">
        <v>262.97449999999998</v>
      </c>
      <c r="F66" s="154">
        <v>263.07470000000001</v>
      </c>
      <c r="G66" s="154">
        <v>263.07339999999999</v>
      </c>
      <c r="H66" s="154">
        <v>263.19549999999998</v>
      </c>
      <c r="I66" s="154">
        <v>263.08089999999999</v>
      </c>
      <c r="J66" s="154">
        <v>263.18520000000001</v>
      </c>
      <c r="K66" s="154">
        <v>262.8854</v>
      </c>
      <c r="L66" s="154">
        <v>263.37130000000002</v>
      </c>
      <c r="M66" s="154">
        <v>263.28629999999998</v>
      </c>
      <c r="N66" s="154">
        <v>263.3895</v>
      </c>
      <c r="O66" s="154">
        <v>263.01850000000002</v>
      </c>
      <c r="P66" s="154">
        <v>263.25729999999999</v>
      </c>
      <c r="Q66" s="154">
        <v>263.18709999999999</v>
      </c>
      <c r="R66" s="154">
        <v>263.3526</v>
      </c>
      <c r="S66" s="154">
        <v>263.3571</v>
      </c>
      <c r="T66" s="154">
        <v>263.1189</v>
      </c>
      <c r="U66" s="142"/>
      <c r="V66" s="142"/>
      <c r="W66" s="142"/>
      <c r="X66" s="117"/>
      <c r="Y66" s="142">
        <f t="shared" si="0"/>
        <v>263.15721111111117</v>
      </c>
      <c r="Z66" s="142">
        <f t="shared" si="8"/>
        <v>263.14002222222217</v>
      </c>
      <c r="AA66" s="159">
        <f t="shared" si="1"/>
        <v>-1.718888888899528E-2</v>
      </c>
      <c r="AB66" s="174">
        <v>86</v>
      </c>
      <c r="AC66" s="162">
        <f t="shared" si="2"/>
        <v>-7.3912222222679702</v>
      </c>
      <c r="AD66" s="112">
        <f>SUM(AC46:AC66)</f>
        <v>767.49027777768674</v>
      </c>
    </row>
    <row r="67" spans="1:30" ht="14.25" x14ac:dyDescent="0.45">
      <c r="A67" s="599" t="s">
        <v>20</v>
      </c>
      <c r="B67" s="147">
        <v>0</v>
      </c>
      <c r="C67" s="151">
        <v>263.67160000000001</v>
      </c>
      <c r="D67" s="151">
        <v>263.73770000000002</v>
      </c>
      <c r="E67" s="151">
        <v>263.75369999999998</v>
      </c>
      <c r="F67" s="151">
        <v>263.476</v>
      </c>
      <c r="G67" s="151">
        <v>263.53590000000003</v>
      </c>
      <c r="H67" s="151">
        <v>263.52749999999997</v>
      </c>
      <c r="I67" s="151">
        <v>263.47649999999999</v>
      </c>
      <c r="J67" s="151">
        <v>263.42329999999998</v>
      </c>
      <c r="K67" s="151">
        <v>263.37369999999999</v>
      </c>
      <c r="L67" s="151">
        <v>263.34249999999997</v>
      </c>
      <c r="M67" s="151">
        <v>263.35109999999997</v>
      </c>
      <c r="N67" s="151">
        <v>263.36720000000003</v>
      </c>
      <c r="O67" s="151">
        <v>263.40589999999997</v>
      </c>
      <c r="P67" s="151">
        <v>263.40620000000001</v>
      </c>
      <c r="Q67" s="151">
        <v>263.50670000000002</v>
      </c>
      <c r="R67" s="151">
        <v>263.17180000000002</v>
      </c>
      <c r="S67" s="151">
        <v>263.61540000000002</v>
      </c>
      <c r="T67" s="151">
        <v>263.47059999999999</v>
      </c>
      <c r="U67" s="140"/>
      <c r="V67" s="140"/>
      <c r="W67" s="140"/>
      <c r="X67" s="116"/>
      <c r="Y67" s="140">
        <f t="shared" ref="Y67:Y130" si="9">AVERAGE(C67:X67)</f>
        <v>263.47851666666662</v>
      </c>
      <c r="Z67" s="140">
        <f t="shared" ref="Z67:Z72" si="10">Z68-5/100</f>
        <v>263.19006666666655</v>
      </c>
      <c r="AA67" s="159">
        <f t="shared" si="1"/>
        <v>-0.28845000000006848</v>
      </c>
      <c r="AB67" s="172">
        <v>86</v>
      </c>
      <c r="AC67" s="158">
        <f t="shared" si="2"/>
        <v>-124.03350000002945</v>
      </c>
      <c r="AD67" s="472"/>
    </row>
    <row r="68" spans="1:30" ht="14.25" x14ac:dyDescent="0.45">
      <c r="A68" s="600"/>
      <c r="B68" s="146">
        <v>5</v>
      </c>
      <c r="C68" s="153">
        <v>263.60379999999998</v>
      </c>
      <c r="D68" s="141">
        <v>263.52969999999999</v>
      </c>
      <c r="E68" s="141">
        <v>263.62290000000002</v>
      </c>
      <c r="F68" s="141">
        <v>263.59359999999998</v>
      </c>
      <c r="G68" s="141">
        <v>263.63479999999998</v>
      </c>
      <c r="H68" s="141">
        <v>263.75970000000001</v>
      </c>
      <c r="I68" s="141">
        <v>263.60399999999998</v>
      </c>
      <c r="J68" s="141">
        <v>263.55759999999998</v>
      </c>
      <c r="K68" s="141">
        <v>263.38010000000003</v>
      </c>
      <c r="L68" s="141">
        <v>263.38</v>
      </c>
      <c r="M68" s="141">
        <v>263.3537</v>
      </c>
      <c r="N68" s="141">
        <v>263.32569999999998</v>
      </c>
      <c r="O68" s="141">
        <v>263.39229999999998</v>
      </c>
      <c r="P68" s="141">
        <v>263.1936</v>
      </c>
      <c r="Q68" s="141">
        <v>263.26499999999999</v>
      </c>
      <c r="R68" s="141">
        <v>263.2647</v>
      </c>
      <c r="S68" s="141">
        <v>263.30919999999998</v>
      </c>
      <c r="T68" s="153">
        <v>263.17700000000002</v>
      </c>
      <c r="U68" s="141"/>
      <c r="V68" s="141"/>
      <c r="W68" s="141"/>
      <c r="X68" s="108"/>
      <c r="Y68" s="141">
        <f t="shared" si="9"/>
        <v>263.44152222222215</v>
      </c>
      <c r="Z68" s="141">
        <f t="shared" si="10"/>
        <v>263.24006666666656</v>
      </c>
      <c r="AA68" s="159">
        <f t="shared" ref="AA68:AA131" si="11">Z68-Y68</f>
        <v>-0.20145555555558303</v>
      </c>
      <c r="AB68" s="171">
        <v>86</v>
      </c>
      <c r="AC68" s="160">
        <f t="shared" ref="AC68:AC131" si="12">AB68*AA68*5</f>
        <v>-86.625888888900704</v>
      </c>
      <c r="AD68" s="472"/>
    </row>
    <row r="69" spans="1:30" ht="14.25" x14ac:dyDescent="0.45">
      <c r="A69" s="600"/>
      <c r="B69" s="146">
        <v>10</v>
      </c>
      <c r="C69" s="153">
        <v>263.50529999999998</v>
      </c>
      <c r="D69" s="141">
        <v>263.50310000000002</v>
      </c>
      <c r="E69" s="141">
        <v>263.41460000000001</v>
      </c>
      <c r="F69" s="141">
        <v>263.46559999999999</v>
      </c>
      <c r="G69" s="141">
        <v>263.42970000000003</v>
      </c>
      <c r="H69" s="141">
        <v>263.4513</v>
      </c>
      <c r="I69" s="141">
        <v>263.49759999999998</v>
      </c>
      <c r="J69" s="141">
        <v>263.61849999999998</v>
      </c>
      <c r="K69" s="141">
        <v>263.42610000000002</v>
      </c>
      <c r="L69" s="141">
        <v>263.56</v>
      </c>
      <c r="M69" s="141">
        <v>263.31580000000002</v>
      </c>
      <c r="N69" s="141">
        <v>263.63170000000002</v>
      </c>
      <c r="O69" s="141">
        <v>263.4726</v>
      </c>
      <c r="P69" s="141">
        <v>263.52879999999999</v>
      </c>
      <c r="Q69" s="141">
        <v>263.4785</v>
      </c>
      <c r="R69" s="141">
        <v>263.29050000000001</v>
      </c>
      <c r="S69" s="141">
        <v>263.22489999999999</v>
      </c>
      <c r="T69" s="153">
        <v>263.18990000000002</v>
      </c>
      <c r="U69" s="141"/>
      <c r="V69" s="141"/>
      <c r="W69" s="141"/>
      <c r="X69" s="108"/>
      <c r="Y69" s="141">
        <f t="shared" si="9"/>
        <v>263.44469444444445</v>
      </c>
      <c r="Z69" s="141">
        <f t="shared" si="10"/>
        <v>263.29006666666658</v>
      </c>
      <c r="AA69" s="159">
        <f t="shared" si="11"/>
        <v>-0.15462777777787551</v>
      </c>
      <c r="AB69" s="171">
        <v>86</v>
      </c>
      <c r="AC69" s="160">
        <f t="shared" si="12"/>
        <v>-66.489944444486468</v>
      </c>
      <c r="AD69" s="472"/>
    </row>
    <row r="70" spans="1:30" ht="14.25" x14ac:dyDescent="0.45">
      <c r="A70" s="600"/>
      <c r="B70" s="146">
        <v>15</v>
      </c>
      <c r="C70" s="153">
        <v>263.3578</v>
      </c>
      <c r="D70" s="141">
        <v>263.36169999999998</v>
      </c>
      <c r="E70" s="141">
        <v>263.4477</v>
      </c>
      <c r="F70" s="141">
        <v>263.47030000000001</v>
      </c>
      <c r="G70" s="141">
        <v>263.52890000000002</v>
      </c>
      <c r="H70" s="141">
        <v>263.29270000000002</v>
      </c>
      <c r="I70" s="141">
        <v>263.23430000000002</v>
      </c>
      <c r="J70" s="141">
        <v>263.24349999999998</v>
      </c>
      <c r="K70" s="141">
        <v>263.892</v>
      </c>
      <c r="L70" s="141">
        <v>263.58499999999998</v>
      </c>
      <c r="M70" s="141">
        <v>263.60950000000003</v>
      </c>
      <c r="N70" s="141">
        <v>263.64429999999999</v>
      </c>
      <c r="O70" s="141">
        <v>263.50959999999998</v>
      </c>
      <c r="P70" s="141">
        <v>263.47969999999998</v>
      </c>
      <c r="Q70" s="141">
        <v>263.35160000000002</v>
      </c>
      <c r="R70" s="141">
        <v>263.15190000000001</v>
      </c>
      <c r="S70" s="141">
        <v>263.14550000000003</v>
      </c>
      <c r="T70" s="153">
        <v>263.12869999999998</v>
      </c>
      <c r="U70" s="141"/>
      <c r="V70" s="141"/>
      <c r="W70" s="141"/>
      <c r="X70" s="108"/>
      <c r="Y70" s="141">
        <f t="shared" si="9"/>
        <v>263.41303888888882</v>
      </c>
      <c r="Z70" s="141">
        <f t="shared" si="10"/>
        <v>263.34006666666659</v>
      </c>
      <c r="AA70" s="159">
        <f t="shared" si="11"/>
        <v>-7.297222222223354E-2</v>
      </c>
      <c r="AB70" s="171">
        <v>86</v>
      </c>
      <c r="AC70" s="160">
        <f t="shared" si="12"/>
        <v>-31.378055555560422</v>
      </c>
      <c r="AD70" s="472"/>
    </row>
    <row r="71" spans="1:30" ht="14.25" x14ac:dyDescent="0.45">
      <c r="A71" s="600"/>
      <c r="B71" s="146">
        <v>20</v>
      </c>
      <c r="C71" s="153">
        <v>263.46929999999998</v>
      </c>
      <c r="D71" s="141">
        <v>263.36540000000002</v>
      </c>
      <c r="E71" s="141">
        <v>263.49599999999998</v>
      </c>
      <c r="F71" s="141">
        <v>263.39580000000001</v>
      </c>
      <c r="G71" s="141">
        <v>263.51569999999998</v>
      </c>
      <c r="H71" s="141">
        <v>263.14819999999997</v>
      </c>
      <c r="I71" s="141">
        <v>263.29239999999999</v>
      </c>
      <c r="J71" s="141">
        <v>263.47030000000001</v>
      </c>
      <c r="K71" s="141">
        <v>263.59530000000001</v>
      </c>
      <c r="L71" s="141">
        <v>263.58069999999998</v>
      </c>
      <c r="M71" s="141">
        <v>263.42759999999998</v>
      </c>
      <c r="N71" s="141">
        <v>263.4776</v>
      </c>
      <c r="O71" s="141">
        <v>263.39120000000003</v>
      </c>
      <c r="P71" s="141">
        <v>263.45519999999999</v>
      </c>
      <c r="Q71" s="141">
        <v>263.2867</v>
      </c>
      <c r="R71" s="141">
        <v>263.17739999999998</v>
      </c>
      <c r="S71" s="141">
        <v>263.20359999999999</v>
      </c>
      <c r="T71" s="153">
        <v>263.07920000000001</v>
      </c>
      <c r="U71" s="141"/>
      <c r="V71" s="141"/>
      <c r="W71" s="141"/>
      <c r="X71" s="108"/>
      <c r="Y71" s="141">
        <f t="shared" si="9"/>
        <v>263.37931111111106</v>
      </c>
      <c r="Z71" s="141">
        <f t="shared" si="10"/>
        <v>263.3900666666666</v>
      </c>
      <c r="AA71" s="159">
        <f t="shared" si="11"/>
        <v>1.0755555555533647E-2</v>
      </c>
      <c r="AB71" s="171">
        <v>86</v>
      </c>
      <c r="AC71" s="160">
        <f t="shared" si="12"/>
        <v>4.6248888888794681</v>
      </c>
      <c r="AD71" s="472"/>
    </row>
    <row r="72" spans="1:30" ht="14.25" x14ac:dyDescent="0.45">
      <c r="A72" s="600"/>
      <c r="B72" s="146">
        <v>25</v>
      </c>
      <c r="C72" s="153">
        <v>263.15350000000001</v>
      </c>
      <c r="D72" s="141">
        <v>263.34899999999999</v>
      </c>
      <c r="E72" s="141">
        <v>263.34879999999998</v>
      </c>
      <c r="F72" s="141">
        <v>263.16849999999999</v>
      </c>
      <c r="G72" s="141">
        <v>263.0598</v>
      </c>
      <c r="H72" s="141">
        <v>263.5686</v>
      </c>
      <c r="I72" s="141">
        <v>263.49310000000003</v>
      </c>
      <c r="J72" s="141">
        <v>263.39299999999997</v>
      </c>
      <c r="K72" s="141">
        <v>263.5933</v>
      </c>
      <c r="L72" s="141">
        <v>263.5188</v>
      </c>
      <c r="M72" s="141">
        <v>263.32060000000001</v>
      </c>
      <c r="N72" s="141">
        <v>263.40280000000001</v>
      </c>
      <c r="O72" s="141">
        <v>263.42200000000003</v>
      </c>
      <c r="P72" s="141">
        <v>263.53530000000001</v>
      </c>
      <c r="Q72" s="141">
        <v>263.22710000000001</v>
      </c>
      <c r="R72" s="141">
        <v>263.16250000000002</v>
      </c>
      <c r="S72" s="141">
        <v>263.20699999999999</v>
      </c>
      <c r="T72" s="153">
        <v>263.14109999999999</v>
      </c>
      <c r="U72" s="141"/>
      <c r="V72" s="141"/>
      <c r="W72" s="141"/>
      <c r="X72" s="108"/>
      <c r="Y72" s="141">
        <f t="shared" si="9"/>
        <v>263.33693333333332</v>
      </c>
      <c r="Z72" s="141">
        <f t="shared" si="10"/>
        <v>263.44006666666661</v>
      </c>
      <c r="AA72" s="159">
        <f t="shared" si="11"/>
        <v>0.10313333333328956</v>
      </c>
      <c r="AB72" s="171">
        <v>86</v>
      </c>
      <c r="AC72" s="160">
        <f t="shared" si="12"/>
        <v>44.347333333314509</v>
      </c>
      <c r="AD72" s="472"/>
    </row>
    <row r="73" spans="1:30" ht="14.25" x14ac:dyDescent="0.45">
      <c r="A73" s="600"/>
      <c r="B73" s="146">
        <v>30</v>
      </c>
      <c r="C73" s="153">
        <v>263.30200000000002</v>
      </c>
      <c r="D73" s="141">
        <v>262.9984</v>
      </c>
      <c r="E73" s="141">
        <v>263.1216</v>
      </c>
      <c r="F73" s="141">
        <v>263.41430000000003</v>
      </c>
      <c r="G73" s="141">
        <v>263.30950000000001</v>
      </c>
      <c r="H73" s="141">
        <v>263.3073</v>
      </c>
      <c r="I73" s="141">
        <v>263.47719999999998</v>
      </c>
      <c r="J73" s="141">
        <v>263.41649999999998</v>
      </c>
      <c r="K73" s="141">
        <v>263.4511</v>
      </c>
      <c r="L73" s="141">
        <v>263.4633</v>
      </c>
      <c r="M73" s="141">
        <v>263.4074</v>
      </c>
      <c r="N73" s="141">
        <v>263.36590000000001</v>
      </c>
      <c r="O73" s="141">
        <v>263.46730000000002</v>
      </c>
      <c r="P73" s="141">
        <v>263.32580000000002</v>
      </c>
      <c r="Q73" s="141">
        <v>263.07100000000003</v>
      </c>
      <c r="R73" s="141">
        <v>263.13339999999999</v>
      </c>
      <c r="S73" s="141">
        <v>263.21069999999997</v>
      </c>
      <c r="T73" s="153">
        <v>263.15339999999998</v>
      </c>
      <c r="U73" s="141"/>
      <c r="V73" s="141"/>
      <c r="W73" s="141"/>
      <c r="X73" s="108"/>
      <c r="Y73" s="141">
        <f t="shared" si="9"/>
        <v>263.29978333333332</v>
      </c>
      <c r="Z73" s="141">
        <f>Z74-5/100</f>
        <v>263.49006666666662</v>
      </c>
      <c r="AA73" s="159">
        <f t="shared" si="11"/>
        <v>0.19028333333329783</v>
      </c>
      <c r="AB73" s="171">
        <v>86</v>
      </c>
      <c r="AC73" s="160">
        <f t="shared" si="12"/>
        <v>81.821833333318068</v>
      </c>
      <c r="AD73" s="472"/>
    </row>
    <row r="74" spans="1:30" ht="14.25" x14ac:dyDescent="0.45">
      <c r="A74" s="600"/>
      <c r="B74" s="146">
        <v>35</v>
      </c>
      <c r="C74" s="153">
        <v>263.55529999999999</v>
      </c>
      <c r="D74" s="141">
        <v>263.51429999999999</v>
      </c>
      <c r="E74" s="141">
        <v>263.49310000000003</v>
      </c>
      <c r="F74" s="141">
        <v>263.4615</v>
      </c>
      <c r="G74" s="141">
        <v>263.0188</v>
      </c>
      <c r="H74" s="141">
        <v>263.2079</v>
      </c>
      <c r="I74" s="141">
        <v>263.49299999999999</v>
      </c>
      <c r="J74" s="141">
        <v>263.49040000000002</v>
      </c>
      <c r="K74" s="141">
        <v>263.32089999999999</v>
      </c>
      <c r="L74" s="141">
        <v>263.35449999999997</v>
      </c>
      <c r="M74" s="141">
        <v>263.3929</v>
      </c>
      <c r="N74" s="141">
        <v>263.34460000000001</v>
      </c>
      <c r="O74" s="141">
        <v>263.3365</v>
      </c>
      <c r="P74" s="141">
        <v>263.24349999999998</v>
      </c>
      <c r="Q74" s="141">
        <v>263.01069999999999</v>
      </c>
      <c r="R74" s="141">
        <v>263.08920000000001</v>
      </c>
      <c r="S74" s="141">
        <v>263.19529999999997</v>
      </c>
      <c r="T74" s="153">
        <v>263.14879999999999</v>
      </c>
      <c r="U74" s="141"/>
      <c r="V74" s="141"/>
      <c r="W74" s="141"/>
      <c r="X74" s="108"/>
      <c r="Y74" s="167">
        <f t="shared" si="9"/>
        <v>263.31506666666667</v>
      </c>
      <c r="Z74" s="167">
        <f>Y74+0.15+0.075</f>
        <v>263.54006666666663</v>
      </c>
      <c r="AA74" s="159">
        <f t="shared" si="11"/>
        <v>0.22499999999996589</v>
      </c>
      <c r="AB74" s="173">
        <v>86</v>
      </c>
      <c r="AC74" s="160">
        <f t="shared" si="12"/>
        <v>96.749999999985334</v>
      </c>
      <c r="AD74" s="472"/>
    </row>
    <row r="75" spans="1:30" ht="14.25" x14ac:dyDescent="0.45">
      <c r="A75" s="600"/>
      <c r="B75" s="146">
        <v>40</v>
      </c>
      <c r="C75" s="153">
        <v>263.74169999999998</v>
      </c>
      <c r="D75" s="141">
        <v>263.6737</v>
      </c>
      <c r="E75" s="141">
        <v>263.65429999999998</v>
      </c>
      <c r="F75" s="141">
        <v>263.51909999999998</v>
      </c>
      <c r="G75" s="141">
        <v>263.3664</v>
      </c>
      <c r="H75" s="141">
        <v>263.18689999999998</v>
      </c>
      <c r="I75" s="141">
        <v>263.43419999999998</v>
      </c>
      <c r="J75" s="141">
        <v>263.52339999999998</v>
      </c>
      <c r="K75" s="141">
        <v>263.35640000000001</v>
      </c>
      <c r="L75" s="141">
        <v>263.34559999999999</v>
      </c>
      <c r="M75" s="141">
        <v>263.3553</v>
      </c>
      <c r="N75" s="141">
        <v>263.34230000000002</v>
      </c>
      <c r="O75" s="141">
        <v>263.4631</v>
      </c>
      <c r="P75" s="141">
        <v>263.29880000000003</v>
      </c>
      <c r="Q75" s="141">
        <v>263.19080000000002</v>
      </c>
      <c r="R75" s="141">
        <v>263.09809999999999</v>
      </c>
      <c r="S75" s="141">
        <v>263.16770000000002</v>
      </c>
      <c r="T75" s="153">
        <v>263.1207</v>
      </c>
      <c r="U75" s="141"/>
      <c r="V75" s="141"/>
      <c r="W75" s="141"/>
      <c r="X75" s="124"/>
      <c r="Y75" s="141">
        <f t="shared" si="9"/>
        <v>263.3799166666667</v>
      </c>
      <c r="Z75" s="141">
        <f>Z74-5/100</f>
        <v>263.49006666666662</v>
      </c>
      <c r="AA75" s="159">
        <f t="shared" si="11"/>
        <v>0.11014999999991915</v>
      </c>
      <c r="AB75" s="171">
        <v>86</v>
      </c>
      <c r="AC75" s="160">
        <f t="shared" si="12"/>
        <v>47.364499999965233</v>
      </c>
      <c r="AD75" s="472"/>
    </row>
    <row r="76" spans="1:30" ht="14.25" x14ac:dyDescent="0.45">
      <c r="A76" s="600"/>
      <c r="B76" s="146">
        <v>45</v>
      </c>
      <c r="C76" s="153">
        <v>263.75689999999997</v>
      </c>
      <c r="D76" s="141">
        <v>263.66399999999999</v>
      </c>
      <c r="E76" s="141">
        <v>263.6447</v>
      </c>
      <c r="F76" s="141">
        <v>263.39519999999999</v>
      </c>
      <c r="G76" s="141">
        <v>263.43079999999998</v>
      </c>
      <c r="H76" s="141">
        <v>263.33330000000001</v>
      </c>
      <c r="I76" s="141">
        <v>263.3938</v>
      </c>
      <c r="J76" s="141">
        <v>263.48419999999999</v>
      </c>
      <c r="K76" s="141">
        <v>263.37630000000001</v>
      </c>
      <c r="L76" s="141">
        <v>263.41210000000001</v>
      </c>
      <c r="M76" s="141">
        <v>263.4051</v>
      </c>
      <c r="N76" s="141">
        <v>263.39019999999999</v>
      </c>
      <c r="O76" s="141">
        <v>263.34750000000003</v>
      </c>
      <c r="P76" s="141">
        <v>263.07670000000002</v>
      </c>
      <c r="Q76" s="141">
        <v>263.08580000000001</v>
      </c>
      <c r="R76" s="141">
        <v>263.01569999999998</v>
      </c>
      <c r="S76" s="141">
        <v>263.11130000000003</v>
      </c>
      <c r="T76" s="153">
        <v>263.12790000000001</v>
      </c>
      <c r="U76" s="141"/>
      <c r="V76" s="141"/>
      <c r="W76" s="141"/>
      <c r="X76" s="108"/>
      <c r="Y76" s="141">
        <f t="shared" si="9"/>
        <v>263.3584166666667</v>
      </c>
      <c r="Z76" s="141">
        <f t="shared" ref="Z76:Z82" si="13">Z75-5/100</f>
        <v>263.44006666666661</v>
      </c>
      <c r="AA76" s="159">
        <f t="shared" si="11"/>
        <v>8.164999999991096E-2</v>
      </c>
      <c r="AB76" s="171">
        <v>86</v>
      </c>
      <c r="AC76" s="160">
        <f t="shared" si="12"/>
        <v>35.109499999961713</v>
      </c>
      <c r="AD76" s="472"/>
    </row>
    <row r="77" spans="1:30" ht="14.25" x14ac:dyDescent="0.45">
      <c r="A77" s="600"/>
      <c r="B77" s="146">
        <v>50</v>
      </c>
      <c r="C77" s="153">
        <v>263.52659999999997</v>
      </c>
      <c r="D77" s="141">
        <v>263.5675</v>
      </c>
      <c r="E77" s="141">
        <v>263.58550000000002</v>
      </c>
      <c r="F77" s="141">
        <v>263.50630000000001</v>
      </c>
      <c r="G77" s="141">
        <v>263.46570000000003</v>
      </c>
      <c r="H77" s="141">
        <v>263.25799999999998</v>
      </c>
      <c r="I77" s="141">
        <v>263.30189999999999</v>
      </c>
      <c r="J77" s="141">
        <v>263.35930000000002</v>
      </c>
      <c r="K77" s="141">
        <v>263.41329999999999</v>
      </c>
      <c r="L77" s="141">
        <v>263.33089999999999</v>
      </c>
      <c r="M77" s="141">
        <v>263.2783</v>
      </c>
      <c r="N77" s="141">
        <v>263.19639999999998</v>
      </c>
      <c r="O77" s="141">
        <v>263.3716</v>
      </c>
      <c r="P77" s="141">
        <v>263.06540000000001</v>
      </c>
      <c r="Q77" s="141">
        <v>262.88440000000003</v>
      </c>
      <c r="R77" s="141">
        <v>262.97840000000002</v>
      </c>
      <c r="S77" s="141">
        <v>263.029</v>
      </c>
      <c r="T77" s="153">
        <v>263.00580000000002</v>
      </c>
      <c r="U77" s="141"/>
      <c r="V77" s="141"/>
      <c r="W77" s="141"/>
      <c r="X77" s="108"/>
      <c r="Y77" s="141">
        <f t="shared" si="9"/>
        <v>263.28468333333336</v>
      </c>
      <c r="Z77" s="141">
        <f t="shared" si="13"/>
        <v>263.3900666666666</v>
      </c>
      <c r="AA77" s="159">
        <f t="shared" si="11"/>
        <v>0.10538333333323635</v>
      </c>
      <c r="AB77" s="171">
        <v>86</v>
      </c>
      <c r="AC77" s="160">
        <f t="shared" si="12"/>
        <v>45.314833333291631</v>
      </c>
      <c r="AD77" s="472"/>
    </row>
    <row r="78" spans="1:30" ht="14.25" x14ac:dyDescent="0.45">
      <c r="A78" s="600"/>
      <c r="B78" s="146">
        <v>55</v>
      </c>
      <c r="C78" s="153">
        <v>263.4547</v>
      </c>
      <c r="D78" s="141">
        <v>263.673</v>
      </c>
      <c r="E78" s="141">
        <v>263.5942</v>
      </c>
      <c r="F78" s="141">
        <v>263.3374</v>
      </c>
      <c r="G78" s="141">
        <v>263.29930000000002</v>
      </c>
      <c r="H78" s="141">
        <v>263.35309999999998</v>
      </c>
      <c r="I78" s="141">
        <v>263.37479999999999</v>
      </c>
      <c r="J78" s="141">
        <v>263.36219999999997</v>
      </c>
      <c r="K78" s="141">
        <v>263.30169999999998</v>
      </c>
      <c r="L78" s="141">
        <v>263.28649999999999</v>
      </c>
      <c r="M78" s="141">
        <v>263.34059999999999</v>
      </c>
      <c r="N78" s="141">
        <v>263.32589999999999</v>
      </c>
      <c r="O78" s="141">
        <v>263.32400000000001</v>
      </c>
      <c r="P78" s="141">
        <v>263.24250000000001</v>
      </c>
      <c r="Q78" s="141">
        <v>263.00790000000001</v>
      </c>
      <c r="R78" s="141">
        <v>263.02910000000003</v>
      </c>
      <c r="S78" s="141">
        <v>263.09019999999998</v>
      </c>
      <c r="T78" s="153">
        <v>263.15339999999998</v>
      </c>
      <c r="U78" s="141"/>
      <c r="V78" s="141"/>
      <c r="W78" s="141"/>
      <c r="X78" s="108"/>
      <c r="Y78" s="141">
        <f t="shared" si="9"/>
        <v>263.30836111111108</v>
      </c>
      <c r="Z78" s="141">
        <f t="shared" si="13"/>
        <v>263.34006666666659</v>
      </c>
      <c r="AA78" s="159">
        <f t="shared" si="11"/>
        <v>3.1705555555504361E-2</v>
      </c>
      <c r="AB78" s="171">
        <v>86</v>
      </c>
      <c r="AC78" s="160">
        <f t="shared" si="12"/>
        <v>13.633388888866875</v>
      </c>
      <c r="AD78" s="472"/>
    </row>
    <row r="79" spans="1:30" ht="14.25" x14ac:dyDescent="0.45">
      <c r="A79" s="600"/>
      <c r="B79" s="146">
        <v>60</v>
      </c>
      <c r="C79" s="153">
        <v>263.61559999999997</v>
      </c>
      <c r="D79" s="141">
        <v>263.63600000000002</v>
      </c>
      <c r="E79" s="141">
        <v>263.58920000000001</v>
      </c>
      <c r="F79" s="141">
        <v>263.31729999999999</v>
      </c>
      <c r="G79" s="141">
        <v>263.28500000000003</v>
      </c>
      <c r="H79" s="141">
        <v>263.31740000000002</v>
      </c>
      <c r="I79" s="141">
        <v>263.32530000000003</v>
      </c>
      <c r="J79" s="141">
        <v>263.32889999999998</v>
      </c>
      <c r="K79" s="141">
        <v>263.21660000000003</v>
      </c>
      <c r="L79" s="141">
        <v>263.49579999999997</v>
      </c>
      <c r="M79" s="141">
        <v>263.31939999999997</v>
      </c>
      <c r="N79" s="141">
        <v>263.17399999999998</v>
      </c>
      <c r="O79" s="141">
        <v>263.28019999999998</v>
      </c>
      <c r="P79" s="141">
        <v>263.1891</v>
      </c>
      <c r="Q79" s="141">
        <v>263.15159999999997</v>
      </c>
      <c r="R79" s="141">
        <v>263.21640000000002</v>
      </c>
      <c r="S79" s="141">
        <v>263.07260000000002</v>
      </c>
      <c r="T79" s="153">
        <v>263.15140000000002</v>
      </c>
      <c r="U79" s="141"/>
      <c r="V79" s="141"/>
      <c r="W79" s="141"/>
      <c r="X79" s="108"/>
      <c r="Y79" s="141">
        <f t="shared" si="9"/>
        <v>263.31565555555562</v>
      </c>
      <c r="Z79" s="141">
        <f t="shared" si="13"/>
        <v>263.29006666666658</v>
      </c>
      <c r="AA79" s="159">
        <f t="shared" si="11"/>
        <v>-2.5588888889046757E-2</v>
      </c>
      <c r="AB79" s="171">
        <v>86</v>
      </c>
      <c r="AC79" s="160">
        <f t="shared" si="12"/>
        <v>-11.003222222290105</v>
      </c>
      <c r="AD79" s="472"/>
    </row>
    <row r="80" spans="1:30" ht="14.25" x14ac:dyDescent="0.45">
      <c r="A80" s="600"/>
      <c r="B80" s="146">
        <v>65</v>
      </c>
      <c r="C80" s="153">
        <v>263.64249999999998</v>
      </c>
      <c r="D80" s="141">
        <v>263.6653</v>
      </c>
      <c r="E80" s="141">
        <v>263.62279999999998</v>
      </c>
      <c r="F80" s="141">
        <v>263.30070000000001</v>
      </c>
      <c r="G80" s="141">
        <v>263.21440000000001</v>
      </c>
      <c r="H80" s="141">
        <v>263.04320000000001</v>
      </c>
      <c r="I80" s="141">
        <v>263.20119999999997</v>
      </c>
      <c r="J80" s="141">
        <v>263.20549999999997</v>
      </c>
      <c r="K80" s="141">
        <v>263.04910000000001</v>
      </c>
      <c r="L80" s="141">
        <v>263.08010000000002</v>
      </c>
      <c r="M80" s="141">
        <v>263.23750000000001</v>
      </c>
      <c r="N80" s="141">
        <v>263.23899999999998</v>
      </c>
      <c r="O80" s="141">
        <v>263.15679999999998</v>
      </c>
      <c r="P80" s="141">
        <v>263.17149999999998</v>
      </c>
      <c r="Q80" s="141">
        <v>263.10250000000002</v>
      </c>
      <c r="R80" s="141">
        <v>263.1918</v>
      </c>
      <c r="S80" s="141">
        <v>263.24860000000001</v>
      </c>
      <c r="T80" s="153">
        <v>263.09460000000001</v>
      </c>
      <c r="U80" s="141"/>
      <c r="V80" s="141"/>
      <c r="W80" s="141"/>
      <c r="X80" s="108"/>
      <c r="Y80" s="141">
        <f t="shared" si="9"/>
        <v>263.24817222222225</v>
      </c>
      <c r="Z80" s="141">
        <f t="shared" si="13"/>
        <v>263.24006666666656</v>
      </c>
      <c r="AA80" s="159">
        <f t="shared" si="11"/>
        <v>-8.1055555556872605E-3</v>
      </c>
      <c r="AB80" s="171">
        <v>86</v>
      </c>
      <c r="AC80" s="160">
        <f t="shared" si="12"/>
        <v>-3.485388888945522</v>
      </c>
      <c r="AD80" s="472"/>
    </row>
    <row r="81" spans="1:30" ht="14.25" x14ac:dyDescent="0.45">
      <c r="A81" s="600"/>
      <c r="B81" s="146">
        <v>70</v>
      </c>
      <c r="C81" s="153">
        <v>263.64069999999998</v>
      </c>
      <c r="D81" s="141">
        <v>263.57170000000002</v>
      </c>
      <c r="E81" s="141">
        <v>263.6114</v>
      </c>
      <c r="F81" s="141">
        <v>263.17759999999998</v>
      </c>
      <c r="G81" s="141">
        <v>263.06319999999999</v>
      </c>
      <c r="H81" s="141">
        <v>263.04739999999998</v>
      </c>
      <c r="I81" s="141">
        <v>263.19779999999997</v>
      </c>
      <c r="J81" s="141">
        <v>263.14330000000001</v>
      </c>
      <c r="K81" s="141">
        <v>263.08049999999997</v>
      </c>
      <c r="L81" s="141">
        <v>263.34350000000001</v>
      </c>
      <c r="M81" s="141">
        <v>263.23399999999998</v>
      </c>
      <c r="N81" s="141">
        <v>263.23480000000001</v>
      </c>
      <c r="O81" s="141">
        <v>263.1189</v>
      </c>
      <c r="P81" s="141">
        <v>263.10590000000002</v>
      </c>
      <c r="Q81" s="141">
        <v>263.12110000000001</v>
      </c>
      <c r="R81" s="141">
        <v>263.14400000000001</v>
      </c>
      <c r="S81" s="141">
        <v>263.05739999999997</v>
      </c>
      <c r="T81" s="153">
        <v>263.10129999999998</v>
      </c>
      <c r="U81" s="141"/>
      <c r="V81" s="141"/>
      <c r="W81" s="141"/>
      <c r="X81" s="108"/>
      <c r="Y81" s="141">
        <f t="shared" si="9"/>
        <v>263.22191666666663</v>
      </c>
      <c r="Z81" s="141">
        <f t="shared" si="13"/>
        <v>263.19006666666655</v>
      </c>
      <c r="AA81" s="159">
        <f t="shared" si="11"/>
        <v>-3.1850000000076761E-2</v>
      </c>
      <c r="AB81" s="171">
        <v>86</v>
      </c>
      <c r="AC81" s="160">
        <f t="shared" si="12"/>
        <v>-13.695500000033007</v>
      </c>
      <c r="AD81" s="472"/>
    </row>
    <row r="82" spans="1:30" ht="14.25" x14ac:dyDescent="0.45">
      <c r="A82" s="600"/>
      <c r="B82" s="146">
        <v>75</v>
      </c>
      <c r="C82" s="153">
        <v>263.47820000000002</v>
      </c>
      <c r="D82" s="153">
        <v>263.53809999999999</v>
      </c>
      <c r="E82" s="153">
        <v>263.4135</v>
      </c>
      <c r="F82" s="153">
        <v>262.95859999999999</v>
      </c>
      <c r="G82" s="153">
        <v>263.09219999999999</v>
      </c>
      <c r="H82" s="153">
        <v>263.26889999999997</v>
      </c>
      <c r="I82" s="153">
        <v>263.26100000000002</v>
      </c>
      <c r="J82" s="153">
        <v>263.15230000000003</v>
      </c>
      <c r="K82" s="153">
        <v>263.1422</v>
      </c>
      <c r="L82" s="153">
        <v>263.20179999999999</v>
      </c>
      <c r="M82" s="153">
        <v>263.178</v>
      </c>
      <c r="N82" s="153">
        <v>263.15589999999997</v>
      </c>
      <c r="O82" s="153">
        <v>263.11380000000003</v>
      </c>
      <c r="P82" s="153">
        <v>263.05950000000001</v>
      </c>
      <c r="Q82" s="153">
        <v>263.07839999999999</v>
      </c>
      <c r="R82" s="153">
        <v>263.10329999999999</v>
      </c>
      <c r="S82" s="153">
        <v>263.0899</v>
      </c>
      <c r="T82" s="153">
        <v>263.01889999999997</v>
      </c>
      <c r="U82" s="141"/>
      <c r="V82" s="141"/>
      <c r="W82" s="141"/>
      <c r="X82" s="108"/>
      <c r="Y82" s="141">
        <f t="shared" si="9"/>
        <v>263.18358333333327</v>
      </c>
      <c r="Z82" s="141">
        <f t="shared" si="13"/>
        <v>263.14006666666654</v>
      </c>
      <c r="AA82" s="159">
        <f t="shared" si="11"/>
        <v>-4.3516666666732817E-2</v>
      </c>
      <c r="AB82" s="171">
        <v>86</v>
      </c>
      <c r="AC82" s="160">
        <f t="shared" si="12"/>
        <v>-18.712166666695111</v>
      </c>
      <c r="AD82" s="112">
        <f>SUM(AC67:AC82)</f>
        <v>13.542611110642042</v>
      </c>
    </row>
    <row r="83" spans="1:30" ht="14.25" x14ac:dyDescent="0.45">
      <c r="A83" s="599" t="s">
        <v>22</v>
      </c>
      <c r="B83" s="147">
        <v>0</v>
      </c>
      <c r="C83" s="140"/>
      <c r="D83" s="140"/>
      <c r="E83" s="140"/>
      <c r="F83" s="140"/>
      <c r="G83" s="140"/>
      <c r="H83" s="140"/>
      <c r="I83" s="140"/>
      <c r="J83" s="140"/>
      <c r="K83" s="140"/>
      <c r="L83" s="140"/>
      <c r="M83" s="151">
        <v>264.3349</v>
      </c>
      <c r="N83" s="151">
        <v>264.17169999999999</v>
      </c>
      <c r="O83" s="151">
        <v>263.69569999999999</v>
      </c>
      <c r="P83" s="151">
        <v>263.80790000000002</v>
      </c>
      <c r="Q83" s="151">
        <v>263.72710000000001</v>
      </c>
      <c r="R83" s="151">
        <v>263.69290000000001</v>
      </c>
      <c r="S83" s="151">
        <v>263.726</v>
      </c>
      <c r="T83" s="151">
        <v>263.70979999999997</v>
      </c>
      <c r="U83" s="140"/>
      <c r="V83" s="140"/>
      <c r="W83" s="140"/>
      <c r="X83" s="116"/>
      <c r="Y83" s="140">
        <f t="shared" si="9"/>
        <v>263.85825</v>
      </c>
      <c r="Z83" s="140">
        <f t="shared" ref="Z83:Z90" si="14">Z84-5/100</f>
        <v>263.2752999999999</v>
      </c>
      <c r="AA83" s="159">
        <f t="shared" si="11"/>
        <v>-0.58295000000009622</v>
      </c>
      <c r="AB83" s="172">
        <v>38</v>
      </c>
      <c r="AC83" s="158">
        <f t="shared" si="12"/>
        <v>-110.76050000001828</v>
      </c>
      <c r="AD83" s="472"/>
    </row>
    <row r="84" spans="1:30" ht="14.25" x14ac:dyDescent="0.45">
      <c r="A84" s="600"/>
      <c r="B84" s="146">
        <v>5</v>
      </c>
      <c r="C84" s="141"/>
      <c r="D84" s="141"/>
      <c r="E84" s="141"/>
      <c r="F84" s="141"/>
      <c r="G84" s="141"/>
      <c r="H84" s="141"/>
      <c r="I84" s="141"/>
      <c r="J84" s="141"/>
      <c r="K84" s="141"/>
      <c r="L84" s="141"/>
      <c r="M84" s="153">
        <v>264.14999999999998</v>
      </c>
      <c r="N84" s="141">
        <v>263.66570000000002</v>
      </c>
      <c r="O84" s="141">
        <v>263.80220000000003</v>
      </c>
      <c r="P84" s="141">
        <v>263.68220000000002</v>
      </c>
      <c r="Q84" s="141">
        <v>263.7022</v>
      </c>
      <c r="R84" s="141">
        <v>263.64330000000001</v>
      </c>
      <c r="S84" s="141">
        <v>263.7165</v>
      </c>
      <c r="T84" s="153">
        <v>263.64690000000002</v>
      </c>
      <c r="U84" s="141"/>
      <c r="V84" s="141"/>
      <c r="W84" s="141"/>
      <c r="X84" s="108"/>
      <c r="Y84" s="141">
        <f t="shared" si="9"/>
        <v>263.751125</v>
      </c>
      <c r="Z84" s="141">
        <f t="shared" si="14"/>
        <v>263.32529999999991</v>
      </c>
      <c r="AA84" s="159">
        <f t="shared" si="11"/>
        <v>-0.42582500000008849</v>
      </c>
      <c r="AB84" s="171">
        <v>38</v>
      </c>
      <c r="AC84" s="160">
        <f t="shared" si="12"/>
        <v>-80.906750000016814</v>
      </c>
      <c r="AD84" s="472"/>
    </row>
    <row r="85" spans="1:30" ht="14.25" x14ac:dyDescent="0.45">
      <c r="A85" s="600"/>
      <c r="B85" s="146">
        <v>10</v>
      </c>
      <c r="C85" s="141"/>
      <c r="D85" s="141"/>
      <c r="E85" s="141"/>
      <c r="F85" s="141"/>
      <c r="G85" s="141"/>
      <c r="H85" s="141"/>
      <c r="I85" s="141"/>
      <c r="J85" s="141"/>
      <c r="K85" s="141"/>
      <c r="L85" s="141"/>
      <c r="M85" s="153">
        <v>263.56810000000002</v>
      </c>
      <c r="N85" s="141">
        <v>263.82459999999998</v>
      </c>
      <c r="O85" s="141">
        <v>263.73660000000001</v>
      </c>
      <c r="P85" s="141">
        <v>263.69880000000001</v>
      </c>
      <c r="Q85" s="141">
        <v>263.5403</v>
      </c>
      <c r="R85" s="141">
        <v>263.55189999999999</v>
      </c>
      <c r="S85" s="141">
        <v>263.65609999999998</v>
      </c>
      <c r="T85" s="153">
        <v>263.64600000000002</v>
      </c>
      <c r="U85" s="141"/>
      <c r="V85" s="141"/>
      <c r="W85" s="141"/>
      <c r="X85" s="108"/>
      <c r="Y85" s="141">
        <f t="shared" si="9"/>
        <v>263.65280000000001</v>
      </c>
      <c r="Z85" s="141">
        <f t="shared" si="14"/>
        <v>263.37529999999992</v>
      </c>
      <c r="AA85" s="159">
        <f t="shared" si="11"/>
        <v>-0.27750000000008868</v>
      </c>
      <c r="AB85" s="171">
        <v>38</v>
      </c>
      <c r="AC85" s="160">
        <f t="shared" si="12"/>
        <v>-52.725000000016848</v>
      </c>
      <c r="AD85" s="472"/>
    </row>
    <row r="86" spans="1:30" ht="14.25" x14ac:dyDescent="0.45">
      <c r="A86" s="600"/>
      <c r="B86" s="146">
        <v>15</v>
      </c>
      <c r="C86" s="141"/>
      <c r="D86" s="141"/>
      <c r="E86" s="141"/>
      <c r="F86" s="141"/>
      <c r="G86" s="141"/>
      <c r="H86" s="141"/>
      <c r="I86" s="141"/>
      <c r="J86" s="141"/>
      <c r="K86" s="141"/>
      <c r="L86" s="141"/>
      <c r="M86" s="153">
        <v>263.96109999999999</v>
      </c>
      <c r="N86" s="141">
        <v>263.84690000000001</v>
      </c>
      <c r="O86" s="141">
        <v>263.74950000000001</v>
      </c>
      <c r="P86" s="141">
        <v>263.72000000000003</v>
      </c>
      <c r="Q86" s="141">
        <v>263.43720000000002</v>
      </c>
      <c r="R86" s="141">
        <v>263.47989999999999</v>
      </c>
      <c r="S86" s="141">
        <v>263.56709999999998</v>
      </c>
      <c r="T86" s="153">
        <v>263.52170000000001</v>
      </c>
      <c r="U86" s="141"/>
      <c r="V86" s="141"/>
      <c r="W86" s="141"/>
      <c r="X86" s="108"/>
      <c r="Y86" s="141">
        <f t="shared" si="9"/>
        <v>263.66042500000003</v>
      </c>
      <c r="Z86" s="141">
        <f t="shared" si="14"/>
        <v>263.42529999999994</v>
      </c>
      <c r="AA86" s="159">
        <f t="shared" si="11"/>
        <v>-0.23512500000009595</v>
      </c>
      <c r="AB86" s="171">
        <v>38</v>
      </c>
      <c r="AC86" s="160">
        <f t="shared" si="12"/>
        <v>-44.673750000018231</v>
      </c>
      <c r="AD86" s="472"/>
    </row>
    <row r="87" spans="1:30" ht="14.25" x14ac:dyDescent="0.45">
      <c r="A87" s="600"/>
      <c r="B87" s="146">
        <v>20</v>
      </c>
      <c r="C87" s="141"/>
      <c r="D87" s="141"/>
      <c r="E87" s="141"/>
      <c r="F87" s="141"/>
      <c r="G87" s="141"/>
      <c r="H87" s="141"/>
      <c r="I87" s="141"/>
      <c r="J87" s="141"/>
      <c r="K87" s="141"/>
      <c r="L87" s="141"/>
      <c r="M87" s="153">
        <v>263.98820000000001</v>
      </c>
      <c r="N87" s="141">
        <v>263.79199999999997</v>
      </c>
      <c r="O87" s="141">
        <v>263.65550000000002</v>
      </c>
      <c r="P87" s="141">
        <v>263.61939999999998</v>
      </c>
      <c r="Q87" s="141">
        <v>263.4443</v>
      </c>
      <c r="R87" s="141">
        <v>263.42489999999998</v>
      </c>
      <c r="S87" s="141">
        <v>263.48140000000001</v>
      </c>
      <c r="T87" s="153">
        <v>263.65820000000002</v>
      </c>
      <c r="U87" s="141"/>
      <c r="V87" s="141"/>
      <c r="W87" s="141"/>
      <c r="X87" s="108"/>
      <c r="Y87" s="141">
        <f t="shared" si="9"/>
        <v>263.63298750000001</v>
      </c>
      <c r="Z87" s="141">
        <f t="shared" si="14"/>
        <v>263.47529999999995</v>
      </c>
      <c r="AA87" s="159">
        <f t="shared" si="11"/>
        <v>-0.15768750000006548</v>
      </c>
      <c r="AB87" s="171">
        <v>38</v>
      </c>
      <c r="AC87" s="160">
        <f t="shared" si="12"/>
        <v>-29.960625000012442</v>
      </c>
      <c r="AD87" s="472"/>
    </row>
    <row r="88" spans="1:30" ht="14.25" x14ac:dyDescent="0.45">
      <c r="A88" s="600"/>
      <c r="B88" s="146">
        <v>25</v>
      </c>
      <c r="C88" s="153">
        <v>263.84140000000002</v>
      </c>
      <c r="D88" s="153">
        <v>263.79689999999999</v>
      </c>
      <c r="E88" s="153">
        <v>263.57420000000002</v>
      </c>
      <c r="F88" s="153">
        <v>263.83569999999997</v>
      </c>
      <c r="G88" s="153">
        <v>263.69510000000002</v>
      </c>
      <c r="H88" s="153">
        <v>263.66210000000001</v>
      </c>
      <c r="I88" s="153">
        <v>263.84870000000001</v>
      </c>
      <c r="J88" s="153">
        <v>263.96850000000001</v>
      </c>
      <c r="K88" s="153">
        <v>263.76960000000003</v>
      </c>
      <c r="L88" s="153">
        <v>263.71370000000002</v>
      </c>
      <c r="M88" s="153">
        <v>263.75510000000003</v>
      </c>
      <c r="N88" s="141">
        <v>263.6995</v>
      </c>
      <c r="O88" s="141">
        <v>263.65940000000001</v>
      </c>
      <c r="P88" s="141">
        <v>263.71080000000001</v>
      </c>
      <c r="Q88" s="141">
        <v>263.62479999999999</v>
      </c>
      <c r="R88" s="141">
        <v>263.60559999999998</v>
      </c>
      <c r="S88" s="141">
        <v>263.5496</v>
      </c>
      <c r="T88" s="153">
        <v>263.54230000000001</v>
      </c>
      <c r="U88" s="141"/>
      <c r="V88" s="141"/>
      <c r="W88" s="141"/>
      <c r="X88" s="108"/>
      <c r="Y88" s="141">
        <f t="shared" si="9"/>
        <v>263.71405555555555</v>
      </c>
      <c r="Z88" s="141">
        <f t="shared" si="14"/>
        <v>263.52529999999996</v>
      </c>
      <c r="AA88" s="159">
        <f t="shared" si="11"/>
        <v>-0.18875555555558776</v>
      </c>
      <c r="AB88" s="171">
        <v>86</v>
      </c>
      <c r="AC88" s="160">
        <f t="shared" si="12"/>
        <v>-81.164888888902738</v>
      </c>
      <c r="AD88" s="472"/>
    </row>
    <row r="89" spans="1:30" ht="14.25" x14ac:dyDescent="0.45">
      <c r="A89" s="600"/>
      <c r="B89" s="146">
        <v>30</v>
      </c>
      <c r="C89" s="153">
        <v>263.9735</v>
      </c>
      <c r="D89" s="141">
        <v>263.96559999999999</v>
      </c>
      <c r="E89" s="141">
        <v>263.91449999999998</v>
      </c>
      <c r="F89" s="141">
        <v>263.88810000000001</v>
      </c>
      <c r="G89" s="141">
        <v>263.95080000000002</v>
      </c>
      <c r="H89" s="141">
        <v>263.91480000000001</v>
      </c>
      <c r="I89" s="141">
        <v>263.94119999999998</v>
      </c>
      <c r="J89" s="141">
        <v>263.82139999999998</v>
      </c>
      <c r="K89" s="141">
        <v>263.7097</v>
      </c>
      <c r="L89" s="141">
        <v>263.7133</v>
      </c>
      <c r="M89" s="141">
        <v>263.58339999999998</v>
      </c>
      <c r="N89" s="141">
        <v>263.697</v>
      </c>
      <c r="O89" s="141">
        <v>263.61779999999999</v>
      </c>
      <c r="P89" s="141">
        <v>263.76749999999998</v>
      </c>
      <c r="Q89" s="141">
        <v>263.8057</v>
      </c>
      <c r="R89" s="141">
        <v>263.48860000000002</v>
      </c>
      <c r="S89" s="141">
        <v>263.57810000000001</v>
      </c>
      <c r="T89" s="153">
        <v>263.45650000000001</v>
      </c>
      <c r="U89" s="141"/>
      <c r="V89" s="141"/>
      <c r="W89" s="141"/>
      <c r="X89" s="108"/>
      <c r="Y89" s="141">
        <f t="shared" si="9"/>
        <v>263.76597222222222</v>
      </c>
      <c r="Z89" s="141">
        <f t="shared" si="14"/>
        <v>263.57529999999997</v>
      </c>
      <c r="AA89" s="159">
        <f t="shared" si="11"/>
        <v>-0.190672222222247</v>
      </c>
      <c r="AB89" s="171">
        <v>86</v>
      </c>
      <c r="AC89" s="160">
        <f t="shared" si="12"/>
        <v>-81.98905555556621</v>
      </c>
      <c r="AD89" s="472"/>
    </row>
    <row r="90" spans="1:30" ht="14.25" x14ac:dyDescent="0.45">
      <c r="A90" s="600"/>
      <c r="B90" s="146">
        <v>35</v>
      </c>
      <c r="C90" s="153">
        <v>263.84660000000002</v>
      </c>
      <c r="D90" s="141">
        <v>263.81970000000001</v>
      </c>
      <c r="E90" s="141">
        <v>263.63760000000002</v>
      </c>
      <c r="F90" s="141">
        <v>263.67090000000002</v>
      </c>
      <c r="G90" s="141">
        <v>263.82389999999998</v>
      </c>
      <c r="H90" s="141">
        <v>263.91950000000003</v>
      </c>
      <c r="I90" s="141">
        <v>263.78230000000002</v>
      </c>
      <c r="J90" s="141">
        <v>263.72089999999997</v>
      </c>
      <c r="K90" s="141">
        <v>263.65260000000001</v>
      </c>
      <c r="L90" s="141">
        <v>263.62200000000001</v>
      </c>
      <c r="M90" s="141">
        <v>263.49700000000001</v>
      </c>
      <c r="N90" s="141">
        <v>263.62810000000002</v>
      </c>
      <c r="O90" s="141">
        <v>263.51639999999998</v>
      </c>
      <c r="P90" s="141">
        <v>263.50540000000001</v>
      </c>
      <c r="Q90" s="141">
        <v>263.66300000000001</v>
      </c>
      <c r="R90" s="141">
        <v>263.7457</v>
      </c>
      <c r="S90" s="141">
        <v>263.71120000000002</v>
      </c>
      <c r="T90" s="153">
        <v>263.63099999999997</v>
      </c>
      <c r="U90" s="141"/>
      <c r="V90" s="141"/>
      <c r="W90" s="141"/>
      <c r="X90" s="108"/>
      <c r="Y90" s="141">
        <f t="shared" si="9"/>
        <v>263.68854444444446</v>
      </c>
      <c r="Z90" s="141">
        <f t="shared" si="14"/>
        <v>263.62529999999998</v>
      </c>
      <c r="AA90" s="159">
        <f t="shared" si="11"/>
        <v>-6.3244444444478631E-2</v>
      </c>
      <c r="AB90" s="171">
        <v>86</v>
      </c>
      <c r="AC90" s="160">
        <f t="shared" si="12"/>
        <v>-27.195111111125811</v>
      </c>
      <c r="AD90" s="472"/>
    </row>
    <row r="91" spans="1:30" ht="14.25" x14ac:dyDescent="0.45">
      <c r="A91" s="600"/>
      <c r="B91" s="146">
        <v>40</v>
      </c>
      <c r="C91" s="153">
        <v>263.81020000000001</v>
      </c>
      <c r="D91" s="141">
        <v>263.66919999999999</v>
      </c>
      <c r="E91" s="141">
        <v>263.59249999999997</v>
      </c>
      <c r="F91" s="141">
        <v>263.71850000000001</v>
      </c>
      <c r="G91" s="141">
        <v>263.56920000000002</v>
      </c>
      <c r="H91" s="141">
        <v>263.58120000000002</v>
      </c>
      <c r="I91" s="141">
        <v>263.73230000000001</v>
      </c>
      <c r="J91" s="141">
        <v>263.52190000000002</v>
      </c>
      <c r="K91" s="141">
        <v>263.49270000000001</v>
      </c>
      <c r="L91" s="141">
        <v>263.49169999999998</v>
      </c>
      <c r="M91" s="141">
        <v>263.44510000000002</v>
      </c>
      <c r="N91" s="141">
        <v>263.5034</v>
      </c>
      <c r="O91" s="141">
        <v>263.51859999999999</v>
      </c>
      <c r="P91" s="141">
        <v>263.5532</v>
      </c>
      <c r="Q91" s="141">
        <v>263.62909999999999</v>
      </c>
      <c r="R91" s="141">
        <v>263.49470000000002</v>
      </c>
      <c r="S91" s="141">
        <v>263.48480000000001</v>
      </c>
      <c r="T91" s="153">
        <v>263.44690000000003</v>
      </c>
      <c r="U91" s="141"/>
      <c r="V91" s="141"/>
      <c r="W91" s="141"/>
      <c r="X91" s="124"/>
      <c r="Y91" s="141">
        <f t="shared" si="9"/>
        <v>263.56973333333337</v>
      </c>
      <c r="Z91" s="141">
        <f>Z92-5/100</f>
        <v>263.67529999999999</v>
      </c>
      <c r="AA91" s="159">
        <f t="shared" si="11"/>
        <v>0.1055666666666184</v>
      </c>
      <c r="AB91" s="171">
        <v>86</v>
      </c>
      <c r="AC91" s="160">
        <f t="shared" si="12"/>
        <v>45.393666666645913</v>
      </c>
      <c r="AD91" s="472"/>
    </row>
    <row r="92" spans="1:30" ht="14.25" x14ac:dyDescent="0.45">
      <c r="A92" s="600"/>
      <c r="B92" s="146">
        <v>45</v>
      </c>
      <c r="C92" s="153">
        <v>263.83690000000001</v>
      </c>
      <c r="D92" s="141">
        <v>263.649</v>
      </c>
      <c r="E92" s="141">
        <v>263.5575</v>
      </c>
      <c r="F92" s="141">
        <v>263.50299999999999</v>
      </c>
      <c r="G92" s="141">
        <v>263.53989999999999</v>
      </c>
      <c r="H92" s="141">
        <v>263.58370000000002</v>
      </c>
      <c r="I92" s="141">
        <v>263.56599999999997</v>
      </c>
      <c r="J92" s="141">
        <v>263.59679999999997</v>
      </c>
      <c r="K92" s="141">
        <v>263.57229999999998</v>
      </c>
      <c r="L92" s="141">
        <v>263.447</v>
      </c>
      <c r="M92" s="141">
        <v>263.39350000000002</v>
      </c>
      <c r="N92" s="141">
        <v>263.54129999999998</v>
      </c>
      <c r="O92" s="141">
        <v>263.30630000000002</v>
      </c>
      <c r="P92" s="141">
        <v>263.57409999999999</v>
      </c>
      <c r="Q92" s="141">
        <v>263.65350000000001</v>
      </c>
      <c r="R92" s="141">
        <v>263.4579</v>
      </c>
      <c r="S92" s="141">
        <v>263.6062</v>
      </c>
      <c r="T92" s="153">
        <v>263.5385</v>
      </c>
      <c r="U92" s="141"/>
      <c r="V92" s="141"/>
      <c r="W92" s="141"/>
      <c r="X92" s="108"/>
      <c r="Y92" s="166">
        <f t="shared" si="9"/>
        <v>263.55129999999997</v>
      </c>
      <c r="Z92" s="166">
        <f>Y92+0.1-0.001+0.075</f>
        <v>263.7253</v>
      </c>
      <c r="AA92" s="159">
        <f t="shared" si="11"/>
        <v>0.17400000000003502</v>
      </c>
      <c r="AB92" s="171">
        <v>86</v>
      </c>
      <c r="AC92" s="160">
        <f t="shared" si="12"/>
        <v>74.820000000015057</v>
      </c>
      <c r="AD92" s="472"/>
    </row>
    <row r="93" spans="1:30" ht="14.25" x14ac:dyDescent="0.45">
      <c r="A93" s="600"/>
      <c r="B93" s="146">
        <v>50</v>
      </c>
      <c r="C93" s="153">
        <v>263.5351</v>
      </c>
      <c r="D93" s="141">
        <v>263.56150000000002</v>
      </c>
      <c r="E93" s="141">
        <v>263.38850000000002</v>
      </c>
      <c r="F93" s="141">
        <v>263.45960000000002</v>
      </c>
      <c r="G93" s="141">
        <v>263.53230000000002</v>
      </c>
      <c r="H93" s="141">
        <v>263.46289999999999</v>
      </c>
      <c r="I93" s="141">
        <v>263.66090000000003</v>
      </c>
      <c r="J93" s="141">
        <v>263.6336</v>
      </c>
      <c r="K93" s="141">
        <v>263.42489999999998</v>
      </c>
      <c r="L93" s="141">
        <v>263.45679999999999</v>
      </c>
      <c r="M93" s="141">
        <v>263.58800000000002</v>
      </c>
      <c r="N93" s="141">
        <v>263.43970000000002</v>
      </c>
      <c r="O93" s="141">
        <v>263.27</v>
      </c>
      <c r="P93" s="141">
        <v>263.31610000000001</v>
      </c>
      <c r="Q93" s="141">
        <v>263.33730000000003</v>
      </c>
      <c r="R93" s="141">
        <v>263.30200000000002</v>
      </c>
      <c r="S93" s="141">
        <v>263.30220000000003</v>
      </c>
      <c r="T93" s="153">
        <v>263.10590000000002</v>
      </c>
      <c r="U93" s="141"/>
      <c r="V93" s="141"/>
      <c r="W93" s="141"/>
      <c r="X93" s="108"/>
      <c r="Y93" s="141">
        <f t="shared" si="9"/>
        <v>263.43207222222219</v>
      </c>
      <c r="Z93" s="141">
        <f>Z92-5/100</f>
        <v>263.67529999999999</v>
      </c>
      <c r="AA93" s="159">
        <f t="shared" si="11"/>
        <v>0.24322777777780402</v>
      </c>
      <c r="AB93" s="171">
        <v>86</v>
      </c>
      <c r="AC93" s="160">
        <f t="shared" si="12"/>
        <v>104.58794444445573</v>
      </c>
      <c r="AD93" s="472"/>
    </row>
    <row r="94" spans="1:30" ht="14.25" x14ac:dyDescent="0.45">
      <c r="A94" s="600"/>
      <c r="B94" s="146">
        <v>55</v>
      </c>
      <c r="C94" s="153">
        <v>263.47859999999997</v>
      </c>
      <c r="D94" s="141">
        <v>263.35599999999999</v>
      </c>
      <c r="E94" s="141">
        <v>263.42259999999999</v>
      </c>
      <c r="F94" s="141">
        <v>263.33800000000002</v>
      </c>
      <c r="G94" s="141">
        <v>263.4957</v>
      </c>
      <c r="H94" s="141">
        <v>263.30590000000001</v>
      </c>
      <c r="I94" s="141">
        <v>263.63069999999999</v>
      </c>
      <c r="J94" s="141">
        <v>263.44060000000002</v>
      </c>
      <c r="K94" s="141">
        <v>263.48599999999999</v>
      </c>
      <c r="L94" s="141">
        <v>263.60090000000002</v>
      </c>
      <c r="M94" s="141">
        <v>263.67880000000002</v>
      </c>
      <c r="N94" s="141">
        <v>263.36739999999998</v>
      </c>
      <c r="O94" s="141">
        <v>263.4631</v>
      </c>
      <c r="P94" s="141">
        <v>263.4701</v>
      </c>
      <c r="Q94" s="141">
        <v>263.29070000000002</v>
      </c>
      <c r="R94" s="141">
        <v>263.13720000000001</v>
      </c>
      <c r="S94" s="141">
        <v>263.58479999999997</v>
      </c>
      <c r="T94" s="153">
        <v>263.71510000000001</v>
      </c>
      <c r="U94" s="141"/>
      <c r="V94" s="141"/>
      <c r="W94" s="141"/>
      <c r="X94" s="108"/>
      <c r="Y94" s="141">
        <f t="shared" si="9"/>
        <v>263.45901111111112</v>
      </c>
      <c r="Z94" s="141">
        <f t="shared" ref="Z94:Z100" si="15">Z93-5/100</f>
        <v>263.62529999999998</v>
      </c>
      <c r="AA94" s="159">
        <f t="shared" si="11"/>
        <v>0.1662888888888574</v>
      </c>
      <c r="AB94" s="171">
        <v>86</v>
      </c>
      <c r="AC94" s="160">
        <f t="shared" si="12"/>
        <v>71.504222222208682</v>
      </c>
      <c r="AD94" s="472"/>
    </row>
    <row r="95" spans="1:30" ht="14.25" x14ac:dyDescent="0.45">
      <c r="A95" s="600"/>
      <c r="B95" s="146">
        <v>60</v>
      </c>
      <c r="C95" s="153">
        <v>263.47239999999999</v>
      </c>
      <c r="D95" s="141">
        <v>263.44540000000001</v>
      </c>
      <c r="E95" s="141">
        <v>263.48939999999999</v>
      </c>
      <c r="F95" s="141">
        <v>263.5496</v>
      </c>
      <c r="G95" s="141">
        <v>263.66309999999999</v>
      </c>
      <c r="H95" s="141">
        <v>263.58390000000003</v>
      </c>
      <c r="I95" s="141">
        <v>263.52710000000002</v>
      </c>
      <c r="J95" s="141">
        <v>263.726</v>
      </c>
      <c r="K95" s="141">
        <v>263.59910000000002</v>
      </c>
      <c r="L95" s="141">
        <v>263.66550000000001</v>
      </c>
      <c r="M95" s="141">
        <v>263.5847</v>
      </c>
      <c r="N95" s="141">
        <v>263.43599999999998</v>
      </c>
      <c r="O95" s="141">
        <v>263.29790000000003</v>
      </c>
      <c r="P95" s="141">
        <v>263.29759999999999</v>
      </c>
      <c r="Q95" s="141">
        <v>263.64210000000003</v>
      </c>
      <c r="R95" s="141">
        <v>263.67899999999997</v>
      </c>
      <c r="S95" s="141">
        <v>263.54950000000002</v>
      </c>
      <c r="T95" s="153">
        <v>263.67649999999998</v>
      </c>
      <c r="U95" s="141"/>
      <c r="V95" s="141"/>
      <c r="W95" s="141"/>
      <c r="X95" s="108"/>
      <c r="Y95" s="141">
        <f t="shared" si="9"/>
        <v>263.54915555555556</v>
      </c>
      <c r="Z95" s="141">
        <f t="shared" si="15"/>
        <v>263.57529999999997</v>
      </c>
      <c r="AA95" s="159">
        <f t="shared" si="11"/>
        <v>2.6144444444412329E-2</v>
      </c>
      <c r="AB95" s="171">
        <v>86</v>
      </c>
      <c r="AC95" s="160">
        <f t="shared" si="12"/>
        <v>11.242111111097302</v>
      </c>
      <c r="AD95" s="472"/>
    </row>
    <row r="96" spans="1:30" ht="14.25" x14ac:dyDescent="0.45">
      <c r="A96" s="600"/>
      <c r="B96" s="146">
        <v>65</v>
      </c>
      <c r="C96" s="153">
        <v>263.47789999999998</v>
      </c>
      <c r="D96" s="141">
        <v>263.36439999999999</v>
      </c>
      <c r="E96" s="141">
        <v>263.45729999999998</v>
      </c>
      <c r="F96" s="141">
        <v>263.42720000000003</v>
      </c>
      <c r="G96" s="141">
        <v>263.65210000000002</v>
      </c>
      <c r="H96" s="141">
        <v>263.6266</v>
      </c>
      <c r="I96" s="141">
        <v>263.6275</v>
      </c>
      <c r="J96" s="141">
        <v>263.66910000000001</v>
      </c>
      <c r="K96" s="141">
        <v>263.6275</v>
      </c>
      <c r="L96" s="141">
        <v>263.57830000000001</v>
      </c>
      <c r="M96" s="141">
        <v>263.16489999999999</v>
      </c>
      <c r="N96" s="141">
        <v>263.25080000000003</v>
      </c>
      <c r="O96" s="141">
        <v>263.51119999999997</v>
      </c>
      <c r="P96" s="141">
        <v>263.71980000000002</v>
      </c>
      <c r="Q96" s="141">
        <v>263.72919999999999</v>
      </c>
      <c r="R96" s="141">
        <v>263.61309999999997</v>
      </c>
      <c r="S96" s="141">
        <v>263.5822</v>
      </c>
      <c r="T96" s="153">
        <v>263.60469999999998</v>
      </c>
      <c r="U96" s="141"/>
      <c r="V96" s="141"/>
      <c r="W96" s="141"/>
      <c r="X96" s="108"/>
      <c r="Y96" s="141">
        <f t="shared" si="9"/>
        <v>263.53798888888883</v>
      </c>
      <c r="Z96" s="141">
        <f t="shared" si="15"/>
        <v>263.52529999999996</v>
      </c>
      <c r="AA96" s="159">
        <f t="shared" si="11"/>
        <v>-1.2688888888874317E-2</v>
      </c>
      <c r="AB96" s="171">
        <v>86</v>
      </c>
      <c r="AC96" s="160">
        <f t="shared" si="12"/>
        <v>-5.4562222222159562</v>
      </c>
      <c r="AD96" s="472"/>
    </row>
    <row r="97" spans="1:30" ht="14.25" x14ac:dyDescent="0.45">
      <c r="A97" s="600"/>
      <c r="B97" s="146">
        <v>70</v>
      </c>
      <c r="C97" s="153">
        <v>263.6028</v>
      </c>
      <c r="D97" s="141">
        <v>263.52429999999998</v>
      </c>
      <c r="E97" s="141">
        <v>263.75229999999999</v>
      </c>
      <c r="F97" s="141">
        <v>263.40190000000001</v>
      </c>
      <c r="G97" s="141">
        <v>263.73630000000003</v>
      </c>
      <c r="H97" s="141">
        <v>263.73939999999999</v>
      </c>
      <c r="I97" s="141">
        <v>263.74979999999999</v>
      </c>
      <c r="J97" s="141">
        <v>263.48540000000003</v>
      </c>
      <c r="K97" s="141">
        <v>263.06889999999999</v>
      </c>
      <c r="L97" s="141">
        <v>263.4511</v>
      </c>
      <c r="M97" s="141">
        <v>263.53820000000002</v>
      </c>
      <c r="N97" s="141">
        <v>263.5052</v>
      </c>
      <c r="O97" s="141">
        <v>263.49680000000001</v>
      </c>
      <c r="P97" s="141">
        <v>263.69049999999999</v>
      </c>
      <c r="Q97" s="141">
        <v>263.59809999999999</v>
      </c>
      <c r="R97" s="141">
        <v>263.55220000000003</v>
      </c>
      <c r="S97" s="141">
        <v>263.47469999999998</v>
      </c>
      <c r="T97" s="153">
        <v>263.51400000000001</v>
      </c>
      <c r="U97" s="141"/>
      <c r="V97" s="141"/>
      <c r="W97" s="141"/>
      <c r="X97" s="108"/>
      <c r="Y97" s="141">
        <f t="shared" si="9"/>
        <v>263.54899444444447</v>
      </c>
      <c r="Z97" s="141">
        <f t="shared" si="15"/>
        <v>263.47529999999995</v>
      </c>
      <c r="AA97" s="159">
        <f t="shared" si="11"/>
        <v>-7.3694444444527107E-2</v>
      </c>
      <c r="AB97" s="171">
        <v>86</v>
      </c>
      <c r="AC97" s="160">
        <f t="shared" si="12"/>
        <v>-31.688611111146656</v>
      </c>
      <c r="AD97" s="472"/>
    </row>
    <row r="98" spans="1:30" ht="14.25" x14ac:dyDescent="0.45">
      <c r="A98" s="600"/>
      <c r="B98" s="146">
        <v>75</v>
      </c>
      <c r="C98" s="153">
        <v>263.49329999999998</v>
      </c>
      <c r="D98" s="141">
        <v>263.51519999999999</v>
      </c>
      <c r="E98" s="141">
        <v>263.84480000000002</v>
      </c>
      <c r="F98" s="141">
        <v>263.7792</v>
      </c>
      <c r="G98" s="141">
        <v>263.68959999999998</v>
      </c>
      <c r="H98" s="141">
        <v>263.42770000000002</v>
      </c>
      <c r="I98" s="141">
        <v>263.6352</v>
      </c>
      <c r="J98" s="141">
        <v>263.58780000000002</v>
      </c>
      <c r="K98" s="141">
        <v>263.65949999999998</v>
      </c>
      <c r="L98" s="141">
        <v>263.62189999999998</v>
      </c>
      <c r="M98" s="141">
        <v>263.5215</v>
      </c>
      <c r="N98" s="141">
        <v>263.64269999999999</v>
      </c>
      <c r="O98" s="141">
        <v>263.6782</v>
      </c>
      <c r="P98" s="141">
        <v>263.68689999999998</v>
      </c>
      <c r="Q98" s="141">
        <v>263.66770000000002</v>
      </c>
      <c r="R98" s="141">
        <v>263.52339999999998</v>
      </c>
      <c r="S98" s="141">
        <v>263.565</v>
      </c>
      <c r="T98" s="153">
        <v>263.59100000000001</v>
      </c>
      <c r="U98" s="141"/>
      <c r="V98" s="141"/>
      <c r="W98" s="141"/>
      <c r="X98" s="108"/>
      <c r="Y98" s="141">
        <f t="shared" si="9"/>
        <v>263.61836666666659</v>
      </c>
      <c r="Z98" s="141">
        <f t="shared" si="15"/>
        <v>263.42529999999994</v>
      </c>
      <c r="AA98" s="159">
        <f t="shared" si="11"/>
        <v>-0.19306666666665251</v>
      </c>
      <c r="AB98" s="171">
        <v>86</v>
      </c>
      <c r="AC98" s="160">
        <f t="shared" si="12"/>
        <v>-83.018666666660579</v>
      </c>
      <c r="AD98" s="472"/>
    </row>
    <row r="99" spans="1:30" ht="14.25" x14ac:dyDescent="0.45">
      <c r="A99" s="600"/>
      <c r="B99" s="146">
        <v>80</v>
      </c>
      <c r="C99" s="153">
        <v>263.74099999999999</v>
      </c>
      <c r="D99" s="141">
        <v>263.62830000000002</v>
      </c>
      <c r="E99" s="141">
        <v>263.73939999999999</v>
      </c>
      <c r="F99" s="141">
        <v>263.59039999999999</v>
      </c>
      <c r="G99" s="141">
        <v>263.59890000000001</v>
      </c>
      <c r="H99" s="141">
        <v>263.69260000000003</v>
      </c>
      <c r="I99" s="141">
        <v>263.67320000000001</v>
      </c>
      <c r="J99" s="141">
        <v>263.67169999999999</v>
      </c>
      <c r="K99" s="141">
        <v>263.59539999999998</v>
      </c>
      <c r="L99" s="141">
        <v>263.52260000000001</v>
      </c>
      <c r="M99" s="141">
        <v>263.57429999999999</v>
      </c>
      <c r="N99" s="141">
        <v>263.5222</v>
      </c>
      <c r="O99" s="141">
        <v>263.6318</v>
      </c>
      <c r="P99" s="141">
        <v>263.6626</v>
      </c>
      <c r="Q99" s="141">
        <v>263.75459999999998</v>
      </c>
      <c r="R99" s="141">
        <v>263.68549999999999</v>
      </c>
      <c r="S99" s="141">
        <v>263.66820000000001</v>
      </c>
      <c r="T99" s="153">
        <v>263.5532</v>
      </c>
      <c r="U99" s="141"/>
      <c r="V99" s="141"/>
      <c r="W99" s="141"/>
      <c r="X99" s="108"/>
      <c r="Y99" s="141">
        <f t="shared" si="9"/>
        <v>263.6392166666667</v>
      </c>
      <c r="Z99" s="141">
        <f t="shared" si="15"/>
        <v>263.37529999999992</v>
      </c>
      <c r="AA99" s="159">
        <f t="shared" si="11"/>
        <v>-0.26391666666677338</v>
      </c>
      <c r="AB99" s="171">
        <v>86</v>
      </c>
      <c r="AC99" s="160">
        <f t="shared" si="12"/>
        <v>-113.48416666671255</v>
      </c>
      <c r="AD99" s="472"/>
    </row>
    <row r="100" spans="1:30" ht="14.25" x14ac:dyDescent="0.45">
      <c r="A100" s="601"/>
      <c r="B100" s="148">
        <v>85</v>
      </c>
      <c r="C100" s="154">
        <v>263.62709999999998</v>
      </c>
      <c r="D100" s="154">
        <v>263.3623</v>
      </c>
      <c r="E100" s="154">
        <v>263.52199999999999</v>
      </c>
      <c r="F100" s="154">
        <v>263.70569999999998</v>
      </c>
      <c r="G100" s="154">
        <v>263.73849999999999</v>
      </c>
      <c r="H100" s="154">
        <v>263.63959999999997</v>
      </c>
      <c r="I100" s="154">
        <v>263.62310000000002</v>
      </c>
      <c r="J100" s="154">
        <v>263.5333</v>
      </c>
      <c r="K100" s="154">
        <v>263.54070000000002</v>
      </c>
      <c r="L100" s="154">
        <v>263.52620000000002</v>
      </c>
      <c r="M100" s="154">
        <v>263.60750000000002</v>
      </c>
      <c r="N100" s="154">
        <v>263.56900000000002</v>
      </c>
      <c r="O100" s="154">
        <v>263.61709999999999</v>
      </c>
      <c r="P100" s="154">
        <v>263.68009999999998</v>
      </c>
      <c r="Q100" s="154">
        <v>263.6977</v>
      </c>
      <c r="R100" s="154">
        <v>263.64550000000003</v>
      </c>
      <c r="S100" s="154">
        <v>263.62110000000001</v>
      </c>
      <c r="T100" s="154">
        <v>263.48329999999999</v>
      </c>
      <c r="U100" s="142"/>
      <c r="V100" s="142"/>
      <c r="W100" s="142"/>
      <c r="X100" s="117"/>
      <c r="Y100" s="142">
        <f t="shared" si="9"/>
        <v>263.59665555555551</v>
      </c>
      <c r="Z100" s="142">
        <f t="shared" si="15"/>
        <v>263.32529999999991</v>
      </c>
      <c r="AA100" s="159">
        <f t="shared" si="11"/>
        <v>-0.27135555555560131</v>
      </c>
      <c r="AB100" s="174">
        <v>86</v>
      </c>
      <c r="AC100" s="162">
        <f t="shared" si="12"/>
        <v>-116.68288888890856</v>
      </c>
      <c r="AD100" s="112">
        <f>SUM(AC83:AC100)</f>
        <v>-552.158291666899</v>
      </c>
    </row>
    <row r="101" spans="1:30" ht="14.25" x14ac:dyDescent="0.45">
      <c r="A101" s="599" t="s">
        <v>24</v>
      </c>
      <c r="B101" s="147">
        <v>0</v>
      </c>
      <c r="C101" s="151">
        <v>264.41730000000001</v>
      </c>
      <c r="D101" s="151">
        <v>264.22559999999999</v>
      </c>
      <c r="E101" s="151">
        <v>264.34679999999997</v>
      </c>
      <c r="F101" s="151">
        <v>264.41269999999997</v>
      </c>
      <c r="G101" s="151">
        <v>264.37360000000001</v>
      </c>
      <c r="H101" s="151">
        <v>264.39769999999999</v>
      </c>
      <c r="I101" s="151">
        <v>264.43130000000002</v>
      </c>
      <c r="J101" s="151">
        <v>264.33530000000002</v>
      </c>
      <c r="K101" s="151">
        <v>264.18740000000003</v>
      </c>
      <c r="L101" s="151">
        <v>264.1472</v>
      </c>
      <c r="M101" s="151">
        <v>264.06549999999999</v>
      </c>
      <c r="N101" s="151">
        <v>264.01780000000002</v>
      </c>
      <c r="O101" s="151">
        <v>264.02820000000003</v>
      </c>
      <c r="P101" s="151">
        <v>264.0788</v>
      </c>
      <c r="Q101" s="151">
        <v>263.94549999999998</v>
      </c>
      <c r="R101" s="151">
        <v>263.863</v>
      </c>
      <c r="S101" s="151">
        <v>263.97710000000001</v>
      </c>
      <c r="T101" s="151">
        <v>263.97239999999999</v>
      </c>
      <c r="U101" s="151">
        <v>263.84359999999998</v>
      </c>
      <c r="V101" s="151">
        <v>263.79790000000003</v>
      </c>
      <c r="W101" s="140"/>
      <c r="X101" s="116"/>
      <c r="Y101" s="140">
        <f t="shared" si="9"/>
        <v>264.143235</v>
      </c>
      <c r="Z101" s="140">
        <f t="shared" ref="Z101:Z106" si="16">Z102-5/100</f>
        <v>263.57483999999988</v>
      </c>
      <c r="AA101" s="159">
        <f t="shared" si="11"/>
        <v>-0.56839500000012322</v>
      </c>
      <c r="AB101" s="172">
        <v>94</v>
      </c>
      <c r="AC101" s="158">
        <f>AB101*AA101*5</f>
        <v>-267.14565000005791</v>
      </c>
      <c r="AD101" s="472"/>
    </row>
    <row r="102" spans="1:30" ht="14.25" x14ac:dyDescent="0.45">
      <c r="A102" s="600"/>
      <c r="B102" s="146">
        <v>5</v>
      </c>
      <c r="C102" s="153">
        <v>264.9588</v>
      </c>
      <c r="D102" s="141">
        <v>264.3417</v>
      </c>
      <c r="E102" s="141">
        <v>264.40899999999999</v>
      </c>
      <c r="F102" s="141">
        <v>264.30970000000002</v>
      </c>
      <c r="G102" s="141">
        <v>264.471</v>
      </c>
      <c r="H102" s="141">
        <v>264.35820000000001</v>
      </c>
      <c r="I102" s="141">
        <v>264.38470000000001</v>
      </c>
      <c r="J102" s="141">
        <v>264.23899999999998</v>
      </c>
      <c r="K102" s="141">
        <v>264.24439999999998</v>
      </c>
      <c r="L102" s="141">
        <v>264.22820000000002</v>
      </c>
      <c r="M102" s="141">
        <v>264.12479999999999</v>
      </c>
      <c r="N102" s="141">
        <v>264.00830000000002</v>
      </c>
      <c r="O102" s="141">
        <v>264.00380000000001</v>
      </c>
      <c r="P102" s="141">
        <v>263.86489999999998</v>
      </c>
      <c r="Q102" s="141">
        <v>263.77019999999999</v>
      </c>
      <c r="R102" s="141">
        <v>263.8261</v>
      </c>
      <c r="S102" s="141">
        <v>263.90839999999997</v>
      </c>
      <c r="T102" s="141">
        <v>263.87299999999999</v>
      </c>
      <c r="U102" s="141">
        <v>263.93049999999999</v>
      </c>
      <c r="V102" s="153">
        <v>263.81490000000002</v>
      </c>
      <c r="W102" s="141"/>
      <c r="X102" s="108"/>
      <c r="Y102" s="141">
        <f t="shared" si="9"/>
        <v>264.15348000000006</v>
      </c>
      <c r="Z102" s="141">
        <f t="shared" si="16"/>
        <v>263.62483999999989</v>
      </c>
      <c r="AA102" s="159">
        <f t="shared" si="11"/>
        <v>-0.52864000000016631</v>
      </c>
      <c r="AB102" s="171">
        <v>94</v>
      </c>
      <c r="AC102" s="160">
        <f t="shared" si="12"/>
        <v>-248.46080000007817</v>
      </c>
      <c r="AD102" s="472"/>
    </row>
    <row r="103" spans="1:30" ht="14.25" x14ac:dyDescent="0.45">
      <c r="A103" s="600"/>
      <c r="B103" s="146">
        <v>10</v>
      </c>
      <c r="C103" s="153">
        <v>264.72210000000001</v>
      </c>
      <c r="D103" s="141">
        <v>264.34010000000001</v>
      </c>
      <c r="E103" s="141">
        <v>264.2978</v>
      </c>
      <c r="F103" s="141">
        <v>264.27699999999999</v>
      </c>
      <c r="G103" s="141">
        <v>264.27539999999999</v>
      </c>
      <c r="H103" s="141">
        <v>264.33359999999999</v>
      </c>
      <c r="I103" s="141">
        <v>264.12479999999999</v>
      </c>
      <c r="J103" s="141">
        <v>264.03989999999999</v>
      </c>
      <c r="K103" s="141">
        <v>264.07040000000001</v>
      </c>
      <c r="L103" s="141">
        <v>263.96660000000003</v>
      </c>
      <c r="M103" s="141">
        <v>264.04570000000001</v>
      </c>
      <c r="N103" s="141">
        <v>263.92829999999998</v>
      </c>
      <c r="O103" s="141">
        <v>263.84050000000002</v>
      </c>
      <c r="P103" s="141">
        <v>263.827</v>
      </c>
      <c r="Q103" s="141">
        <v>263.89330000000001</v>
      </c>
      <c r="R103" s="141">
        <v>263.86450000000002</v>
      </c>
      <c r="S103" s="141">
        <v>263.92950000000002</v>
      </c>
      <c r="T103" s="141">
        <v>263.84960000000001</v>
      </c>
      <c r="U103" s="141">
        <v>263.8501</v>
      </c>
      <c r="V103" s="153">
        <v>263.77730000000003</v>
      </c>
      <c r="W103" s="141"/>
      <c r="X103" s="108"/>
      <c r="Y103" s="141">
        <f t="shared" si="9"/>
        <v>264.06267500000001</v>
      </c>
      <c r="Z103" s="141">
        <f t="shared" si="16"/>
        <v>263.6748399999999</v>
      </c>
      <c r="AA103" s="159">
        <f t="shared" si="11"/>
        <v>-0.38783500000010918</v>
      </c>
      <c r="AB103" s="171">
        <v>94</v>
      </c>
      <c r="AC103" s="160">
        <f t="shared" si="12"/>
        <v>-182.28245000005131</v>
      </c>
      <c r="AD103" s="472"/>
    </row>
    <row r="104" spans="1:30" ht="14.25" x14ac:dyDescent="0.45">
      <c r="A104" s="600"/>
      <c r="B104" s="146">
        <v>15</v>
      </c>
      <c r="C104" s="153">
        <v>264.63040000000001</v>
      </c>
      <c r="D104" s="141">
        <v>264.26420000000002</v>
      </c>
      <c r="E104" s="141">
        <v>264.24400000000003</v>
      </c>
      <c r="F104" s="141">
        <v>264.32080000000002</v>
      </c>
      <c r="G104" s="141">
        <v>264.2373</v>
      </c>
      <c r="H104" s="141">
        <v>264.37290000000002</v>
      </c>
      <c r="I104" s="141">
        <v>264.15539999999999</v>
      </c>
      <c r="J104" s="141">
        <v>263.98610000000002</v>
      </c>
      <c r="K104" s="141">
        <v>263.93459999999999</v>
      </c>
      <c r="L104" s="141">
        <v>263.95569999999998</v>
      </c>
      <c r="M104" s="141">
        <v>264.00020000000001</v>
      </c>
      <c r="N104" s="141">
        <v>263.98070000000001</v>
      </c>
      <c r="O104" s="141">
        <v>263.83749999999998</v>
      </c>
      <c r="P104" s="141">
        <v>263.87939999999998</v>
      </c>
      <c r="Q104" s="141">
        <v>263.834</v>
      </c>
      <c r="R104" s="141">
        <v>263.7405</v>
      </c>
      <c r="S104" s="141">
        <v>263.7593</v>
      </c>
      <c r="T104" s="141">
        <v>263.721</v>
      </c>
      <c r="U104" s="141">
        <v>263.83969999999999</v>
      </c>
      <c r="V104" s="153">
        <v>263.9119</v>
      </c>
      <c r="W104" s="141"/>
      <c r="X104" s="108"/>
      <c r="Y104" s="141">
        <f t="shared" si="9"/>
        <v>264.03028</v>
      </c>
      <c r="Z104" s="141">
        <f t="shared" si="16"/>
        <v>263.72483999999992</v>
      </c>
      <c r="AA104" s="159">
        <f t="shared" si="11"/>
        <v>-0.30544000000008964</v>
      </c>
      <c r="AB104" s="171">
        <v>94</v>
      </c>
      <c r="AC104" s="160">
        <f t="shared" si="12"/>
        <v>-143.55680000004213</v>
      </c>
      <c r="AD104" s="472"/>
    </row>
    <row r="105" spans="1:30" ht="14.25" x14ac:dyDescent="0.45">
      <c r="A105" s="600"/>
      <c r="B105" s="146">
        <v>20</v>
      </c>
      <c r="C105" s="153">
        <v>264.27730000000003</v>
      </c>
      <c r="D105" s="141">
        <v>264.05610000000001</v>
      </c>
      <c r="E105" s="141">
        <v>263.96510000000001</v>
      </c>
      <c r="F105" s="141">
        <v>263.9194</v>
      </c>
      <c r="G105" s="141">
        <v>263.8845</v>
      </c>
      <c r="H105" s="141">
        <v>263.94639999999998</v>
      </c>
      <c r="I105" s="141">
        <v>263.85599999999999</v>
      </c>
      <c r="J105" s="141">
        <v>263.86939999999998</v>
      </c>
      <c r="K105" s="141">
        <v>263.89010000000002</v>
      </c>
      <c r="L105" s="141">
        <v>263.93009999999998</v>
      </c>
      <c r="M105" s="141">
        <v>263.81670000000003</v>
      </c>
      <c r="N105" s="141">
        <v>263.81630000000001</v>
      </c>
      <c r="O105" s="141">
        <v>263.84390000000002</v>
      </c>
      <c r="P105" s="141">
        <v>263.96420000000001</v>
      </c>
      <c r="Q105" s="141">
        <v>263.935</v>
      </c>
      <c r="R105" s="141">
        <v>263.83850000000001</v>
      </c>
      <c r="S105" s="141">
        <v>264.01350000000002</v>
      </c>
      <c r="T105" s="141">
        <v>263.94670000000002</v>
      </c>
      <c r="U105" s="141">
        <v>263.89980000000003</v>
      </c>
      <c r="V105" s="153">
        <v>263.99259999999998</v>
      </c>
      <c r="W105" s="141"/>
      <c r="X105" s="108"/>
      <c r="Y105" s="141">
        <f t="shared" si="9"/>
        <v>263.93308000000002</v>
      </c>
      <c r="Z105" s="141">
        <f t="shared" si="16"/>
        <v>263.77483999999993</v>
      </c>
      <c r="AA105" s="159">
        <f t="shared" si="11"/>
        <v>-0.15824000000009164</v>
      </c>
      <c r="AB105" s="171">
        <v>94</v>
      </c>
      <c r="AC105" s="160">
        <f t="shared" si="12"/>
        <v>-74.372800000043071</v>
      </c>
      <c r="AD105" s="472"/>
    </row>
    <row r="106" spans="1:30" ht="14.25" x14ac:dyDescent="0.45">
      <c r="A106" s="600"/>
      <c r="B106" s="146">
        <v>25</v>
      </c>
      <c r="C106" s="153">
        <v>264.03309999999999</v>
      </c>
      <c r="D106" s="141">
        <v>263.87299999999999</v>
      </c>
      <c r="E106" s="141">
        <v>264.15030000000002</v>
      </c>
      <c r="F106" s="141">
        <v>264.10449999999997</v>
      </c>
      <c r="G106" s="141">
        <v>264.15769999999998</v>
      </c>
      <c r="H106" s="141">
        <v>264.1309</v>
      </c>
      <c r="I106" s="141">
        <v>263.98250000000002</v>
      </c>
      <c r="J106" s="141">
        <v>264.00479999999999</v>
      </c>
      <c r="K106" s="141">
        <v>264.10019999999997</v>
      </c>
      <c r="L106" s="141">
        <v>263.97770000000003</v>
      </c>
      <c r="M106" s="141">
        <v>264.01209999999998</v>
      </c>
      <c r="N106" s="141">
        <v>263.92009999999999</v>
      </c>
      <c r="O106" s="141">
        <v>263.88189999999997</v>
      </c>
      <c r="P106" s="141">
        <v>263.83760000000001</v>
      </c>
      <c r="Q106" s="141">
        <v>263.85329999999999</v>
      </c>
      <c r="R106" s="141">
        <v>263.83330000000001</v>
      </c>
      <c r="S106" s="141">
        <v>264.04640000000001</v>
      </c>
      <c r="T106" s="141">
        <v>263.83280000000002</v>
      </c>
      <c r="U106" s="141">
        <v>263.83690000000001</v>
      </c>
      <c r="V106" s="153">
        <v>263.82060000000001</v>
      </c>
      <c r="W106" s="141"/>
      <c r="X106" s="108"/>
      <c r="Y106" s="141">
        <f t="shared" si="9"/>
        <v>263.96948499999996</v>
      </c>
      <c r="Z106" s="141">
        <f t="shared" si="16"/>
        <v>263.82483999999994</v>
      </c>
      <c r="AA106" s="159">
        <f t="shared" si="11"/>
        <v>-0.14464500000002545</v>
      </c>
      <c r="AB106" s="171">
        <v>94</v>
      </c>
      <c r="AC106" s="160">
        <f t="shared" si="12"/>
        <v>-67.98315000001196</v>
      </c>
      <c r="AD106" s="472"/>
    </row>
    <row r="107" spans="1:30" ht="14.25" x14ac:dyDescent="0.45">
      <c r="A107" s="600"/>
      <c r="B107" s="146">
        <v>30</v>
      </c>
      <c r="C107" s="153">
        <v>264.20600000000002</v>
      </c>
      <c r="D107" s="141">
        <v>263.9248</v>
      </c>
      <c r="E107" s="141">
        <v>264.07170000000002</v>
      </c>
      <c r="F107" s="141">
        <v>264.14429999999999</v>
      </c>
      <c r="G107" s="141">
        <v>264.14269999999999</v>
      </c>
      <c r="H107" s="141">
        <v>264.14940000000001</v>
      </c>
      <c r="I107" s="141">
        <v>264.08409999999998</v>
      </c>
      <c r="J107" s="141">
        <v>264.12049999999999</v>
      </c>
      <c r="K107" s="141">
        <v>264.19499999999999</v>
      </c>
      <c r="L107" s="141">
        <v>264.0532</v>
      </c>
      <c r="M107" s="141">
        <v>263.96089999999998</v>
      </c>
      <c r="N107" s="141">
        <v>263.93200000000002</v>
      </c>
      <c r="O107" s="141">
        <v>263.93700000000001</v>
      </c>
      <c r="P107" s="141">
        <v>263.8777</v>
      </c>
      <c r="Q107" s="141">
        <v>263.89690000000002</v>
      </c>
      <c r="R107" s="141">
        <v>264.0222</v>
      </c>
      <c r="S107" s="141">
        <v>264.00349999999997</v>
      </c>
      <c r="T107" s="141">
        <v>263.94670000000002</v>
      </c>
      <c r="U107" s="141">
        <v>263.73829999999998</v>
      </c>
      <c r="V107" s="153">
        <v>263.75450000000001</v>
      </c>
      <c r="W107" s="141"/>
      <c r="X107" s="108"/>
      <c r="Y107" s="141">
        <f t="shared" si="9"/>
        <v>264.00806999999998</v>
      </c>
      <c r="Z107" s="141">
        <f>Z108-5/100</f>
        <v>263.87483999999995</v>
      </c>
      <c r="AA107" s="159">
        <f t="shared" si="11"/>
        <v>-0.13323000000002594</v>
      </c>
      <c r="AB107" s="171">
        <v>94</v>
      </c>
      <c r="AC107" s="160">
        <f t="shared" si="12"/>
        <v>-62.618100000012191</v>
      </c>
      <c r="AD107" s="472"/>
    </row>
    <row r="108" spans="1:30" ht="14.25" x14ac:dyDescent="0.45">
      <c r="A108" s="600"/>
      <c r="B108" s="146">
        <v>35</v>
      </c>
      <c r="C108" s="153">
        <v>264.13850000000002</v>
      </c>
      <c r="D108" s="141">
        <v>264.05790000000002</v>
      </c>
      <c r="E108" s="141">
        <v>264.11239999999998</v>
      </c>
      <c r="F108" s="141">
        <v>264.04050000000001</v>
      </c>
      <c r="G108" s="141">
        <v>264.0299</v>
      </c>
      <c r="H108" s="141">
        <v>263.98489999999998</v>
      </c>
      <c r="I108" s="141">
        <v>263.86759999999998</v>
      </c>
      <c r="J108" s="141">
        <v>264.0258</v>
      </c>
      <c r="K108" s="141">
        <v>264.166</v>
      </c>
      <c r="L108" s="141">
        <v>263.95699999999999</v>
      </c>
      <c r="M108" s="141">
        <v>263.9434</v>
      </c>
      <c r="N108" s="141">
        <v>263.93540000000002</v>
      </c>
      <c r="O108" s="141">
        <v>264.02629999999999</v>
      </c>
      <c r="P108" s="141">
        <v>263.87029999999999</v>
      </c>
      <c r="Q108" s="141">
        <v>263.80770000000001</v>
      </c>
      <c r="R108" s="141">
        <v>263.80399999999997</v>
      </c>
      <c r="S108" s="141">
        <v>263.98129999999998</v>
      </c>
      <c r="T108" s="141">
        <v>263.88479999999998</v>
      </c>
      <c r="U108" s="141">
        <v>263.72070000000002</v>
      </c>
      <c r="V108" s="153">
        <v>263.64240000000001</v>
      </c>
      <c r="W108" s="141"/>
      <c r="X108" s="124"/>
      <c r="Y108" s="167">
        <f t="shared" si="9"/>
        <v>263.94983999999999</v>
      </c>
      <c r="Z108" s="167">
        <f>Y108-0.1+0.075</f>
        <v>263.92483999999996</v>
      </c>
      <c r="AA108" s="159">
        <f t="shared" si="11"/>
        <v>-2.5000000000034106E-2</v>
      </c>
      <c r="AB108" s="173">
        <v>94</v>
      </c>
      <c r="AC108" s="160">
        <f t="shared" si="12"/>
        <v>-11.75000000001603</v>
      </c>
      <c r="AD108" s="472"/>
    </row>
    <row r="109" spans="1:30" ht="14.25" x14ac:dyDescent="0.45">
      <c r="A109" s="600"/>
      <c r="B109" s="146">
        <v>40</v>
      </c>
      <c r="C109" s="153">
        <v>264.1071</v>
      </c>
      <c r="D109" s="141">
        <v>264.03960000000001</v>
      </c>
      <c r="E109" s="141">
        <v>264.17340000000002</v>
      </c>
      <c r="F109" s="141">
        <v>263.99639999999999</v>
      </c>
      <c r="G109" s="141">
        <v>264.01440000000002</v>
      </c>
      <c r="H109" s="141">
        <v>263.9556</v>
      </c>
      <c r="I109" s="141">
        <v>263.92840000000001</v>
      </c>
      <c r="J109" s="141">
        <v>263.93150000000003</v>
      </c>
      <c r="K109" s="141">
        <v>264.21510000000001</v>
      </c>
      <c r="L109" s="141">
        <v>263.8374</v>
      </c>
      <c r="M109" s="141">
        <v>263.97140000000002</v>
      </c>
      <c r="N109" s="141">
        <v>263.99529999999999</v>
      </c>
      <c r="O109" s="141">
        <v>263.95780000000002</v>
      </c>
      <c r="P109" s="141">
        <v>263.82029999999997</v>
      </c>
      <c r="Q109" s="141">
        <v>263.79770000000002</v>
      </c>
      <c r="R109" s="141">
        <v>263.6567</v>
      </c>
      <c r="S109" s="141">
        <v>263.81040000000002</v>
      </c>
      <c r="T109" s="141">
        <v>263.89139999999998</v>
      </c>
      <c r="U109" s="141">
        <v>263.8775</v>
      </c>
      <c r="V109" s="153">
        <v>263.70890000000003</v>
      </c>
      <c r="W109" s="141"/>
      <c r="X109" s="108"/>
      <c r="Y109" s="141">
        <f t="shared" si="9"/>
        <v>263.93431500000003</v>
      </c>
      <c r="Z109" s="141">
        <f>Z108-5/100</f>
        <v>263.87483999999995</v>
      </c>
      <c r="AA109" s="159">
        <f t="shared" si="11"/>
        <v>-5.9475000000077216E-2</v>
      </c>
      <c r="AB109" s="171">
        <v>94</v>
      </c>
      <c r="AC109" s="160">
        <f t="shared" si="12"/>
        <v>-27.953250000036292</v>
      </c>
      <c r="AD109" s="472"/>
    </row>
    <row r="110" spans="1:30" ht="14.25" x14ac:dyDescent="0.45">
      <c r="A110" s="600"/>
      <c r="B110" s="146">
        <v>45</v>
      </c>
      <c r="C110" s="153">
        <v>264.09879999999998</v>
      </c>
      <c r="D110" s="141">
        <v>264.12790000000001</v>
      </c>
      <c r="E110" s="141">
        <v>264.1277</v>
      </c>
      <c r="F110" s="141">
        <v>264.08589999999998</v>
      </c>
      <c r="G110" s="141">
        <v>263.94110000000001</v>
      </c>
      <c r="H110" s="141">
        <v>263.91399999999999</v>
      </c>
      <c r="I110" s="141">
        <v>263.89319999999998</v>
      </c>
      <c r="J110" s="141">
        <v>263.92450000000002</v>
      </c>
      <c r="K110" s="141">
        <v>264.13200000000001</v>
      </c>
      <c r="L110" s="141">
        <v>263.98790000000002</v>
      </c>
      <c r="M110" s="141">
        <v>263.9307</v>
      </c>
      <c r="N110" s="141">
        <v>263.86869999999999</v>
      </c>
      <c r="O110" s="141">
        <v>263.77170000000001</v>
      </c>
      <c r="P110" s="141">
        <v>263.80739999999997</v>
      </c>
      <c r="Q110" s="141">
        <v>263.96620000000001</v>
      </c>
      <c r="R110" s="141">
        <v>263.71890000000002</v>
      </c>
      <c r="S110" s="141">
        <v>263.72480000000002</v>
      </c>
      <c r="T110" s="141">
        <v>263.82850000000002</v>
      </c>
      <c r="U110" s="141">
        <v>263.73689999999999</v>
      </c>
      <c r="V110" s="153">
        <v>263.48379999999997</v>
      </c>
      <c r="W110" s="141"/>
      <c r="X110" s="108"/>
      <c r="Y110" s="141">
        <f t="shared" si="9"/>
        <v>263.90352999999999</v>
      </c>
      <c r="Z110" s="141">
        <f t="shared" ref="Z110:Z115" si="17">Z109-5/100</f>
        <v>263.82483999999994</v>
      </c>
      <c r="AA110" s="159">
        <f t="shared" si="11"/>
        <v>-7.8690000000051441E-2</v>
      </c>
      <c r="AB110" s="171">
        <v>94</v>
      </c>
      <c r="AC110" s="160">
        <f t="shared" si="12"/>
        <v>-36.984300000024177</v>
      </c>
      <c r="AD110" s="472"/>
    </row>
    <row r="111" spans="1:30" ht="14.25" x14ac:dyDescent="0.45">
      <c r="A111" s="600"/>
      <c r="B111" s="146">
        <v>50</v>
      </c>
      <c r="C111" s="153">
        <v>263.80669999999998</v>
      </c>
      <c r="D111" s="141">
        <v>263.89769999999999</v>
      </c>
      <c r="E111" s="141">
        <v>263.96539999999999</v>
      </c>
      <c r="F111" s="141">
        <v>264.04750000000001</v>
      </c>
      <c r="G111" s="141">
        <v>264.0204</v>
      </c>
      <c r="H111" s="141">
        <v>263.7432</v>
      </c>
      <c r="I111" s="141">
        <v>263.80709999999999</v>
      </c>
      <c r="J111" s="141">
        <v>263.80290000000002</v>
      </c>
      <c r="K111" s="141">
        <v>263.95960000000002</v>
      </c>
      <c r="L111" s="141">
        <v>263.899</v>
      </c>
      <c r="M111" s="141">
        <v>264.01260000000002</v>
      </c>
      <c r="N111" s="141">
        <v>263.90210000000002</v>
      </c>
      <c r="O111" s="141">
        <v>264.03870000000001</v>
      </c>
      <c r="P111" s="141">
        <v>263.75990000000002</v>
      </c>
      <c r="Q111" s="141">
        <v>263.78609999999998</v>
      </c>
      <c r="R111" s="141">
        <v>263.82690000000002</v>
      </c>
      <c r="S111" s="141">
        <v>263.61919999999998</v>
      </c>
      <c r="T111" s="141">
        <v>263.53160000000003</v>
      </c>
      <c r="U111" s="141">
        <v>263.99810000000002</v>
      </c>
      <c r="V111" s="153">
        <v>263.53109999999998</v>
      </c>
      <c r="W111" s="141"/>
      <c r="X111" s="108"/>
      <c r="Y111" s="141">
        <f t="shared" si="9"/>
        <v>263.84778999999997</v>
      </c>
      <c r="Z111" s="141">
        <f t="shared" si="17"/>
        <v>263.77483999999993</v>
      </c>
      <c r="AA111" s="159">
        <f t="shared" si="11"/>
        <v>-7.2950000000048476E-2</v>
      </c>
      <c r="AB111" s="171">
        <v>94</v>
      </c>
      <c r="AC111" s="160">
        <f t="shared" si="12"/>
        <v>-34.286500000022784</v>
      </c>
      <c r="AD111" s="472"/>
    </row>
    <row r="112" spans="1:30" ht="14.25" x14ac:dyDescent="0.45">
      <c r="A112" s="600"/>
      <c r="B112" s="146">
        <v>55</v>
      </c>
      <c r="C112" s="153">
        <v>263.80709999999999</v>
      </c>
      <c r="D112" s="141">
        <v>264</v>
      </c>
      <c r="E112" s="141">
        <v>264.02629999999999</v>
      </c>
      <c r="F112" s="141">
        <v>264.02170000000001</v>
      </c>
      <c r="G112" s="141">
        <v>263.96030000000002</v>
      </c>
      <c r="H112" s="141">
        <v>263.91030000000001</v>
      </c>
      <c r="I112" s="141">
        <v>263.88279999999997</v>
      </c>
      <c r="J112" s="141">
        <v>263.97019999999998</v>
      </c>
      <c r="K112" s="141">
        <v>264.01519999999999</v>
      </c>
      <c r="L112" s="141">
        <v>263.95490000000001</v>
      </c>
      <c r="M112" s="141">
        <v>263.71449999999999</v>
      </c>
      <c r="N112" s="141">
        <v>263.77269999999999</v>
      </c>
      <c r="O112" s="141">
        <v>263.76100000000002</v>
      </c>
      <c r="P112" s="141">
        <v>263.78469999999999</v>
      </c>
      <c r="Q112" s="141">
        <v>263.76479999999998</v>
      </c>
      <c r="R112" s="141">
        <v>263.6687</v>
      </c>
      <c r="S112" s="141">
        <v>263.67919999999998</v>
      </c>
      <c r="T112" s="141">
        <v>263.80149999999998</v>
      </c>
      <c r="U112" s="141">
        <v>263.69439999999997</v>
      </c>
      <c r="V112" s="153">
        <v>263.541</v>
      </c>
      <c r="W112" s="141"/>
      <c r="X112" s="108"/>
      <c r="Y112" s="141">
        <f t="shared" si="9"/>
        <v>263.83656499999995</v>
      </c>
      <c r="Z112" s="141">
        <f t="shared" si="17"/>
        <v>263.72483999999992</v>
      </c>
      <c r="AA112" s="159">
        <f t="shared" si="11"/>
        <v>-0.11172500000003538</v>
      </c>
      <c r="AB112" s="171">
        <v>94</v>
      </c>
      <c r="AC112" s="160">
        <f t="shared" si="12"/>
        <v>-52.510750000016628</v>
      </c>
      <c r="AD112" s="472"/>
    </row>
    <row r="113" spans="1:30" ht="14.25" x14ac:dyDescent="0.45">
      <c r="A113" s="600"/>
      <c r="B113" s="146">
        <v>60</v>
      </c>
      <c r="C113" s="153">
        <v>264.0813</v>
      </c>
      <c r="D113" s="141">
        <v>264.08510000000001</v>
      </c>
      <c r="E113" s="141">
        <v>264.07549999999998</v>
      </c>
      <c r="F113" s="141">
        <v>264.03230000000002</v>
      </c>
      <c r="G113" s="141">
        <v>263.9307</v>
      </c>
      <c r="H113" s="141">
        <v>263.91030000000001</v>
      </c>
      <c r="I113" s="141">
        <v>263.88240000000002</v>
      </c>
      <c r="J113" s="141">
        <v>263.96609999999998</v>
      </c>
      <c r="K113" s="141">
        <v>263.90249999999997</v>
      </c>
      <c r="L113" s="141">
        <v>263.9622</v>
      </c>
      <c r="M113" s="141">
        <v>263.84690000000001</v>
      </c>
      <c r="N113" s="141">
        <v>263.8399</v>
      </c>
      <c r="O113" s="141">
        <v>263.77519999999998</v>
      </c>
      <c r="P113" s="141">
        <v>263.80990000000003</v>
      </c>
      <c r="Q113" s="141">
        <v>263.661</v>
      </c>
      <c r="R113" s="141">
        <v>263.63780000000003</v>
      </c>
      <c r="S113" s="141">
        <v>263.5772</v>
      </c>
      <c r="T113" s="141">
        <v>263.71179999999998</v>
      </c>
      <c r="U113" s="141">
        <v>263.63909999999998</v>
      </c>
      <c r="V113" s="153">
        <v>263.54250000000002</v>
      </c>
      <c r="W113" s="141"/>
      <c r="X113" s="108"/>
      <c r="Y113" s="141">
        <f t="shared" si="9"/>
        <v>263.84348500000004</v>
      </c>
      <c r="Z113" s="141">
        <f t="shared" si="17"/>
        <v>263.6748399999999</v>
      </c>
      <c r="AA113" s="159">
        <f t="shared" si="11"/>
        <v>-0.16864500000014004</v>
      </c>
      <c r="AB113" s="171">
        <v>94</v>
      </c>
      <c r="AC113" s="160">
        <f t="shared" si="12"/>
        <v>-79.263150000065821</v>
      </c>
      <c r="AD113" s="472"/>
    </row>
    <row r="114" spans="1:30" ht="14.25" x14ac:dyDescent="0.45">
      <c r="A114" s="600"/>
      <c r="B114" s="146">
        <v>65</v>
      </c>
      <c r="C114" s="153">
        <v>264.16370000000001</v>
      </c>
      <c r="D114" s="141">
        <v>264.09550000000002</v>
      </c>
      <c r="E114" s="141">
        <v>264.05669999999998</v>
      </c>
      <c r="F114" s="141">
        <v>263.94</v>
      </c>
      <c r="G114" s="141">
        <v>263.88220000000001</v>
      </c>
      <c r="H114" s="141">
        <v>263.89980000000003</v>
      </c>
      <c r="I114" s="141">
        <v>263.9658</v>
      </c>
      <c r="J114" s="141">
        <v>263.95819999999998</v>
      </c>
      <c r="K114" s="141">
        <v>263.91090000000003</v>
      </c>
      <c r="L114" s="141">
        <v>263.98880000000003</v>
      </c>
      <c r="M114" s="141">
        <v>263.83749999999998</v>
      </c>
      <c r="N114" s="141">
        <v>263.87970000000001</v>
      </c>
      <c r="O114" s="141">
        <v>263.79849999999999</v>
      </c>
      <c r="P114" s="141">
        <v>263.73939999999999</v>
      </c>
      <c r="Q114" s="141">
        <v>263.75330000000002</v>
      </c>
      <c r="R114" s="141">
        <v>263.69979999999998</v>
      </c>
      <c r="S114" s="141">
        <v>263.86110000000002</v>
      </c>
      <c r="T114" s="141">
        <v>263.82310000000001</v>
      </c>
      <c r="U114" s="141">
        <v>263.83789999999999</v>
      </c>
      <c r="V114" s="153">
        <v>263.88929999999999</v>
      </c>
      <c r="W114" s="141"/>
      <c r="X114" s="108"/>
      <c r="Y114" s="141">
        <f t="shared" si="9"/>
        <v>263.89905999999996</v>
      </c>
      <c r="Z114" s="141">
        <f t="shared" si="17"/>
        <v>263.62483999999989</v>
      </c>
      <c r="AA114" s="159">
        <f t="shared" si="11"/>
        <v>-0.27422000000007074</v>
      </c>
      <c r="AB114" s="171">
        <v>94</v>
      </c>
      <c r="AC114" s="160">
        <f t="shared" si="12"/>
        <v>-128.88340000003325</v>
      </c>
      <c r="AD114" s="472"/>
    </row>
    <row r="115" spans="1:30" ht="14.25" x14ac:dyDescent="0.45">
      <c r="A115" s="602"/>
      <c r="B115" s="149">
        <v>70</v>
      </c>
      <c r="C115" s="155">
        <v>264.22980000000001</v>
      </c>
      <c r="D115" s="155">
        <v>264.1112</v>
      </c>
      <c r="E115" s="155">
        <v>264.1146</v>
      </c>
      <c r="F115" s="155">
        <v>263.96190000000001</v>
      </c>
      <c r="G115" s="155">
        <v>263.8929</v>
      </c>
      <c r="H115" s="155">
        <v>263.94549999999998</v>
      </c>
      <c r="I115" s="155">
        <v>263.95670000000001</v>
      </c>
      <c r="J115" s="155">
        <v>263.88569999999999</v>
      </c>
      <c r="K115" s="155">
        <v>263.97199999999998</v>
      </c>
      <c r="L115" s="155">
        <v>263.9633</v>
      </c>
      <c r="M115" s="155">
        <v>263.79129999999998</v>
      </c>
      <c r="N115" s="155">
        <v>263.77980000000002</v>
      </c>
      <c r="O115" s="155">
        <v>263.76940000000002</v>
      </c>
      <c r="P115" s="155">
        <v>263.67039999999997</v>
      </c>
      <c r="Q115" s="155">
        <v>263.62619999999998</v>
      </c>
      <c r="R115" s="155">
        <v>263.9153</v>
      </c>
      <c r="S115" s="155">
        <v>263.93040000000002</v>
      </c>
      <c r="T115" s="155">
        <v>263.97629999999998</v>
      </c>
      <c r="U115" s="155">
        <v>263.99560000000002</v>
      </c>
      <c r="V115" s="155">
        <v>263.77080000000001</v>
      </c>
      <c r="W115" s="145"/>
      <c r="X115" s="111"/>
      <c r="Y115" s="145">
        <f t="shared" si="9"/>
        <v>263.91295500000007</v>
      </c>
      <c r="Z115" s="145">
        <f t="shared" si="17"/>
        <v>263.57483999999988</v>
      </c>
      <c r="AA115" s="159">
        <f t="shared" si="11"/>
        <v>-0.33811500000018668</v>
      </c>
      <c r="AB115" s="175">
        <v>94</v>
      </c>
      <c r="AC115" s="163">
        <f t="shared" si="12"/>
        <v>-158.91405000008774</v>
      </c>
      <c r="AD115" s="112">
        <f>SUM(AC101:AC115)</f>
        <v>-1576.9651500005998</v>
      </c>
    </row>
    <row r="116" spans="1:30" ht="14.25" x14ac:dyDescent="0.45">
      <c r="A116" s="599" t="s">
        <v>27</v>
      </c>
      <c r="B116" s="147">
        <v>0</v>
      </c>
      <c r="C116" s="151">
        <v>263.12529999999998</v>
      </c>
      <c r="D116" s="151">
        <v>263.16359999999997</v>
      </c>
      <c r="E116" s="151">
        <v>263.14440000000002</v>
      </c>
      <c r="F116" s="151">
        <v>263.17430000000002</v>
      </c>
      <c r="G116" s="151">
        <v>263.10320000000002</v>
      </c>
      <c r="H116" s="151">
        <v>263.10649999999998</v>
      </c>
      <c r="I116" s="151">
        <v>263.03140000000002</v>
      </c>
      <c r="J116" s="151">
        <v>263.08699999999999</v>
      </c>
      <c r="K116" s="151">
        <v>263.09899999999999</v>
      </c>
      <c r="L116" s="151">
        <v>263.09190000000001</v>
      </c>
      <c r="M116" s="151">
        <v>263.17469999999997</v>
      </c>
      <c r="N116" s="151">
        <v>263.05239999999998</v>
      </c>
      <c r="O116" s="151">
        <v>263.09249999999997</v>
      </c>
      <c r="P116" s="151">
        <v>263.12310000000002</v>
      </c>
      <c r="Q116" s="151">
        <v>263.07040000000001</v>
      </c>
      <c r="R116" s="151">
        <v>263.04719999999998</v>
      </c>
      <c r="S116" s="151">
        <v>263.02929999999998</v>
      </c>
      <c r="T116" s="151">
        <v>263.06369999999998</v>
      </c>
      <c r="U116" s="151">
        <v>262.77440000000001</v>
      </c>
      <c r="V116" s="151">
        <v>263.38209999999998</v>
      </c>
      <c r="W116" s="151">
        <v>263.5025</v>
      </c>
      <c r="X116" s="116"/>
      <c r="Y116" s="140">
        <f t="shared" si="9"/>
        <v>263.11613809523811</v>
      </c>
      <c r="Z116" s="140">
        <f t="shared" ref="Z116:Z124" si="18">Z117-5/100</f>
        <v>263.14016666666652</v>
      </c>
      <c r="AA116" s="159">
        <f t="shared" si="11"/>
        <v>2.4028571428402756E-2</v>
      </c>
      <c r="AB116" s="172">
        <v>102</v>
      </c>
      <c r="AC116" s="158">
        <f t="shared" si="12"/>
        <v>12.254571428485406</v>
      </c>
      <c r="AD116" s="472"/>
    </row>
    <row r="117" spans="1:30" ht="14.25" x14ac:dyDescent="0.45">
      <c r="A117" s="600"/>
      <c r="B117" s="146">
        <v>5</v>
      </c>
      <c r="C117" s="153">
        <v>263.084</v>
      </c>
      <c r="D117" s="141">
        <v>263.06540000000001</v>
      </c>
      <c r="E117" s="141">
        <v>263.11090000000002</v>
      </c>
      <c r="F117" s="141">
        <v>263.13589999999999</v>
      </c>
      <c r="G117" s="141">
        <v>263.08519999999999</v>
      </c>
      <c r="H117" s="141">
        <v>263.09870000000001</v>
      </c>
      <c r="I117" s="141">
        <v>263.09530000000001</v>
      </c>
      <c r="J117" s="141">
        <v>263.05950000000001</v>
      </c>
      <c r="K117" s="141">
        <v>263.09370000000001</v>
      </c>
      <c r="L117" s="141">
        <v>263.12279999999998</v>
      </c>
      <c r="M117" s="141">
        <v>263.05529999999999</v>
      </c>
      <c r="N117" s="141">
        <v>263.06610000000001</v>
      </c>
      <c r="O117" s="141">
        <v>263.0634</v>
      </c>
      <c r="P117" s="141">
        <v>263.0378</v>
      </c>
      <c r="Q117" s="141">
        <v>263.04230000000001</v>
      </c>
      <c r="R117" s="141">
        <v>263.00689999999997</v>
      </c>
      <c r="S117" s="141">
        <v>263.14080000000001</v>
      </c>
      <c r="T117" s="141">
        <v>262.87310000000002</v>
      </c>
      <c r="U117" s="141">
        <v>262.7998</v>
      </c>
      <c r="V117" s="141">
        <v>263.1567</v>
      </c>
      <c r="W117" s="153">
        <v>263.20870000000002</v>
      </c>
      <c r="X117" s="108"/>
      <c r="Y117" s="141">
        <f t="shared" si="9"/>
        <v>263.06677619047622</v>
      </c>
      <c r="Z117" s="141">
        <f t="shared" si="18"/>
        <v>263.19016666666653</v>
      </c>
      <c r="AA117" s="159">
        <f t="shared" si="11"/>
        <v>0.12339047619030907</v>
      </c>
      <c r="AB117" s="171">
        <v>102</v>
      </c>
      <c r="AC117" s="160">
        <f t="shared" si="12"/>
        <v>62.929142857057627</v>
      </c>
      <c r="AD117" s="472"/>
    </row>
    <row r="118" spans="1:30" ht="14.25" x14ac:dyDescent="0.45">
      <c r="A118" s="600"/>
      <c r="B118" s="146">
        <v>10</v>
      </c>
      <c r="C118" s="153">
        <v>263.10789999999997</v>
      </c>
      <c r="D118" s="141">
        <v>263.2072</v>
      </c>
      <c r="E118" s="141">
        <v>263.20260000000002</v>
      </c>
      <c r="F118" s="141">
        <v>263.15609999999998</v>
      </c>
      <c r="G118" s="141">
        <v>263.12970000000001</v>
      </c>
      <c r="H118" s="141">
        <v>263.13929999999999</v>
      </c>
      <c r="I118" s="141">
        <v>263.12819999999999</v>
      </c>
      <c r="J118" s="141">
        <v>263.11759999999998</v>
      </c>
      <c r="K118" s="141">
        <v>263.16489999999999</v>
      </c>
      <c r="L118" s="141">
        <v>263.27890000000002</v>
      </c>
      <c r="M118" s="141">
        <v>263.19209999999998</v>
      </c>
      <c r="N118" s="141">
        <v>263.20620000000002</v>
      </c>
      <c r="O118" s="141">
        <v>263.0729</v>
      </c>
      <c r="P118" s="141">
        <v>263.03629999999998</v>
      </c>
      <c r="Q118" s="141">
        <v>263.07369999999997</v>
      </c>
      <c r="R118" s="141">
        <v>263.08479999999997</v>
      </c>
      <c r="S118" s="141">
        <v>262.84410000000003</v>
      </c>
      <c r="T118" s="141">
        <v>262.95819999999998</v>
      </c>
      <c r="U118" s="141">
        <v>262.83589999999998</v>
      </c>
      <c r="V118" s="141">
        <v>263.06349999999998</v>
      </c>
      <c r="W118" s="153">
        <v>263.238</v>
      </c>
      <c r="X118" s="108"/>
      <c r="Y118" s="141">
        <f t="shared" si="9"/>
        <v>263.10657619047623</v>
      </c>
      <c r="Z118" s="141">
        <f t="shared" si="18"/>
        <v>263.24016666666654</v>
      </c>
      <c r="AA118" s="159">
        <f t="shared" si="11"/>
        <v>0.13359047619030662</v>
      </c>
      <c r="AB118" s="171">
        <v>102</v>
      </c>
      <c r="AC118" s="160">
        <f t="shared" si="12"/>
        <v>68.131142857056375</v>
      </c>
      <c r="AD118" s="472"/>
    </row>
    <row r="119" spans="1:30" ht="14.25" x14ac:dyDescent="0.45">
      <c r="A119" s="600"/>
      <c r="B119" s="146">
        <v>15</v>
      </c>
      <c r="C119" s="153">
        <v>263.1302</v>
      </c>
      <c r="D119" s="141">
        <v>263.19810000000001</v>
      </c>
      <c r="E119" s="141">
        <v>263.29000000000002</v>
      </c>
      <c r="F119" s="141">
        <v>263.30200000000002</v>
      </c>
      <c r="G119" s="141">
        <v>263.2765</v>
      </c>
      <c r="H119" s="141">
        <v>263.27210000000002</v>
      </c>
      <c r="I119" s="141">
        <v>263.22919999999999</v>
      </c>
      <c r="J119" s="141">
        <v>263.25900000000001</v>
      </c>
      <c r="K119" s="141">
        <v>263.13260000000002</v>
      </c>
      <c r="L119" s="141">
        <v>263.31959999999998</v>
      </c>
      <c r="M119" s="141">
        <v>263.47489999999999</v>
      </c>
      <c r="N119" s="141">
        <v>263.44900000000001</v>
      </c>
      <c r="O119" s="141">
        <v>263.315</v>
      </c>
      <c r="P119" s="141">
        <v>263.4898</v>
      </c>
      <c r="Q119" s="141">
        <v>263.23439999999999</v>
      </c>
      <c r="R119" s="141">
        <v>262.89440000000002</v>
      </c>
      <c r="S119" s="141">
        <v>263.02140000000003</v>
      </c>
      <c r="T119" s="141">
        <v>263.05329999999998</v>
      </c>
      <c r="U119" s="141">
        <v>263.07100000000003</v>
      </c>
      <c r="V119" s="141">
        <v>263.53160000000003</v>
      </c>
      <c r="W119" s="153">
        <v>263.54489999999998</v>
      </c>
      <c r="X119" s="108"/>
      <c r="Y119" s="141">
        <f t="shared" si="9"/>
        <v>263.26138095238093</v>
      </c>
      <c r="Z119" s="141">
        <f t="shared" si="18"/>
        <v>263.29016666666655</v>
      </c>
      <c r="AA119" s="159">
        <f t="shared" si="11"/>
        <v>2.8785714285618269E-2</v>
      </c>
      <c r="AB119" s="171">
        <v>102</v>
      </c>
      <c r="AC119" s="160">
        <f t="shared" si="12"/>
        <v>14.680714285665317</v>
      </c>
      <c r="AD119" s="472"/>
    </row>
    <row r="120" spans="1:30" ht="14.25" x14ac:dyDescent="0.45">
      <c r="A120" s="600"/>
      <c r="B120" s="146">
        <v>20</v>
      </c>
      <c r="C120" s="153">
        <v>263.35520000000002</v>
      </c>
      <c r="D120" s="141">
        <v>263.56529999999998</v>
      </c>
      <c r="E120" s="141">
        <v>263.52659999999997</v>
      </c>
      <c r="F120" s="141">
        <v>263.45519999999999</v>
      </c>
      <c r="G120" s="141">
        <v>263.54349999999999</v>
      </c>
      <c r="H120" s="141">
        <v>263.53739999999999</v>
      </c>
      <c r="I120" s="141">
        <v>263.66370000000001</v>
      </c>
      <c r="J120" s="141">
        <v>263.43439999999998</v>
      </c>
      <c r="K120" s="141">
        <v>263.46820000000002</v>
      </c>
      <c r="L120" s="141">
        <v>263.57150000000001</v>
      </c>
      <c r="M120" s="141">
        <v>263.4359</v>
      </c>
      <c r="N120" s="141">
        <v>263.29480000000001</v>
      </c>
      <c r="O120" s="141">
        <v>263.38510000000002</v>
      </c>
      <c r="P120" s="141">
        <v>263.40100000000001</v>
      </c>
      <c r="Q120" s="141">
        <v>263.31020000000001</v>
      </c>
      <c r="R120" s="141">
        <v>263.38200000000001</v>
      </c>
      <c r="S120" s="141">
        <v>263.14490000000001</v>
      </c>
      <c r="T120" s="141">
        <v>263.15039999999999</v>
      </c>
      <c r="U120" s="141">
        <v>263.16669999999999</v>
      </c>
      <c r="V120" s="141">
        <v>263.18180000000001</v>
      </c>
      <c r="W120" s="153">
        <v>263.43729999999999</v>
      </c>
      <c r="X120" s="108"/>
      <c r="Y120" s="141">
        <f t="shared" si="9"/>
        <v>263.40052857142854</v>
      </c>
      <c r="Z120" s="141">
        <f t="shared" si="18"/>
        <v>263.34016666666656</v>
      </c>
      <c r="AA120" s="159">
        <f t="shared" si="11"/>
        <v>-6.0361904761975893E-2</v>
      </c>
      <c r="AB120" s="171">
        <v>102</v>
      </c>
      <c r="AC120" s="160">
        <f t="shared" si="12"/>
        <v>-30.784571428607705</v>
      </c>
      <c r="AD120" s="472"/>
    </row>
    <row r="121" spans="1:30" ht="14.25" x14ac:dyDescent="0.45">
      <c r="A121" s="600"/>
      <c r="B121" s="146">
        <v>25</v>
      </c>
      <c r="C121" s="153">
        <v>263.3159</v>
      </c>
      <c r="D121" s="141">
        <v>263.36149999999998</v>
      </c>
      <c r="E121" s="141">
        <v>263.4547</v>
      </c>
      <c r="F121" s="141">
        <v>263.31150000000002</v>
      </c>
      <c r="G121" s="141">
        <v>263.40030000000002</v>
      </c>
      <c r="H121" s="141">
        <v>263.25450000000001</v>
      </c>
      <c r="I121" s="141">
        <v>263.24160000000001</v>
      </c>
      <c r="J121" s="141">
        <v>263.43380000000002</v>
      </c>
      <c r="K121" s="141">
        <v>263.45299999999997</v>
      </c>
      <c r="L121" s="141">
        <v>263.34379999999999</v>
      </c>
      <c r="M121" s="141">
        <v>263.28489999999999</v>
      </c>
      <c r="N121" s="141">
        <v>263.27100000000002</v>
      </c>
      <c r="O121" s="141">
        <v>263.3374</v>
      </c>
      <c r="P121" s="141">
        <v>263.4323</v>
      </c>
      <c r="Q121" s="141">
        <v>263.4658</v>
      </c>
      <c r="R121" s="141">
        <v>263.31470000000002</v>
      </c>
      <c r="S121" s="141">
        <v>263.22000000000003</v>
      </c>
      <c r="T121" s="141">
        <v>263.46359999999999</v>
      </c>
      <c r="U121" s="141">
        <v>263.20650000000001</v>
      </c>
      <c r="V121" s="141">
        <v>263.33730000000003</v>
      </c>
      <c r="W121" s="153">
        <v>263.23430000000002</v>
      </c>
      <c r="X121" s="108"/>
      <c r="Y121" s="141">
        <f t="shared" si="9"/>
        <v>263.33992380952384</v>
      </c>
      <c r="Z121" s="141">
        <f t="shared" si="18"/>
        <v>263.39016666666657</v>
      </c>
      <c r="AA121" s="159">
        <f t="shared" si="11"/>
        <v>5.0242857142734465E-2</v>
      </c>
      <c r="AB121" s="171">
        <v>102</v>
      </c>
      <c r="AC121" s="160">
        <f t="shared" si="12"/>
        <v>25.623857142794577</v>
      </c>
      <c r="AD121" s="472"/>
    </row>
    <row r="122" spans="1:30" ht="14.25" x14ac:dyDescent="0.45">
      <c r="A122" s="600"/>
      <c r="B122" s="146">
        <v>30</v>
      </c>
      <c r="C122" s="153">
        <v>263.29790000000003</v>
      </c>
      <c r="D122" s="141">
        <v>263.30799999999999</v>
      </c>
      <c r="E122" s="141">
        <v>263.20139999999998</v>
      </c>
      <c r="F122" s="141">
        <v>263.28570000000002</v>
      </c>
      <c r="G122" s="141">
        <v>263.21249999999998</v>
      </c>
      <c r="H122" s="141">
        <v>263.37950000000001</v>
      </c>
      <c r="I122" s="141">
        <v>263.2894</v>
      </c>
      <c r="J122" s="141">
        <v>263.19580000000002</v>
      </c>
      <c r="K122" s="141">
        <v>263.45229999999998</v>
      </c>
      <c r="L122" s="141">
        <v>263.2704</v>
      </c>
      <c r="M122" s="141">
        <v>263.19630000000001</v>
      </c>
      <c r="N122" s="141">
        <v>263.13619999999997</v>
      </c>
      <c r="O122" s="141">
        <v>263.10879999999997</v>
      </c>
      <c r="P122" s="141">
        <v>263.38040000000001</v>
      </c>
      <c r="Q122" s="141">
        <v>263.15929999999997</v>
      </c>
      <c r="R122" s="141">
        <v>263.161</v>
      </c>
      <c r="S122" s="141">
        <v>263.15949999999998</v>
      </c>
      <c r="T122" s="141">
        <v>263.20499999999998</v>
      </c>
      <c r="U122" s="141">
        <v>263.15949999999998</v>
      </c>
      <c r="V122" s="141">
        <v>262.66640000000001</v>
      </c>
      <c r="W122" s="153">
        <v>262.94729999999998</v>
      </c>
      <c r="X122" s="108"/>
      <c r="Y122" s="141">
        <f t="shared" si="9"/>
        <v>263.19869523809518</v>
      </c>
      <c r="Z122" s="141">
        <f t="shared" si="18"/>
        <v>263.44016666666658</v>
      </c>
      <c r="AA122" s="159">
        <f t="shared" si="11"/>
        <v>0.24147142857140125</v>
      </c>
      <c r="AB122" s="171">
        <v>102</v>
      </c>
      <c r="AC122" s="160">
        <f t="shared" si="12"/>
        <v>123.15042857141464</v>
      </c>
      <c r="AD122" s="472"/>
    </row>
    <row r="123" spans="1:30" ht="14.25" x14ac:dyDescent="0.45">
      <c r="A123" s="600"/>
      <c r="B123" s="146">
        <v>35</v>
      </c>
      <c r="C123" s="153">
        <v>263.23899999999998</v>
      </c>
      <c r="D123" s="141">
        <v>263.1619</v>
      </c>
      <c r="E123" s="141">
        <v>263.47410000000002</v>
      </c>
      <c r="F123" s="141">
        <v>263.21199999999999</v>
      </c>
      <c r="G123" s="141">
        <v>263.16989999999998</v>
      </c>
      <c r="H123" s="141">
        <v>263.25850000000003</v>
      </c>
      <c r="I123" s="141">
        <v>263.12169999999998</v>
      </c>
      <c r="J123" s="141">
        <v>263.19959999999998</v>
      </c>
      <c r="K123" s="141">
        <v>263.21809999999999</v>
      </c>
      <c r="L123" s="141">
        <v>263.21949999999998</v>
      </c>
      <c r="M123" s="141">
        <v>263.04090000000002</v>
      </c>
      <c r="N123" s="141">
        <v>263.06459999999998</v>
      </c>
      <c r="O123" s="141">
        <v>263.06200000000001</v>
      </c>
      <c r="P123" s="141">
        <v>263.20119999999997</v>
      </c>
      <c r="Q123" s="141">
        <v>263.15890000000002</v>
      </c>
      <c r="R123" s="141">
        <v>263.13010000000003</v>
      </c>
      <c r="S123" s="141">
        <v>263.2176</v>
      </c>
      <c r="T123" s="141">
        <v>263.25729999999999</v>
      </c>
      <c r="U123" s="141">
        <v>263.18650000000002</v>
      </c>
      <c r="V123" s="141">
        <v>262.7201</v>
      </c>
      <c r="W123" s="153">
        <v>262.87400000000002</v>
      </c>
      <c r="X123" s="108"/>
      <c r="Y123" s="141">
        <f t="shared" si="9"/>
        <v>263.15178571428572</v>
      </c>
      <c r="Z123" s="141">
        <f t="shared" si="18"/>
        <v>263.4901666666666</v>
      </c>
      <c r="AA123" s="159">
        <f t="shared" si="11"/>
        <v>0.33838095238087362</v>
      </c>
      <c r="AB123" s="171">
        <v>102</v>
      </c>
      <c r="AC123" s="160">
        <f t="shared" si="12"/>
        <v>172.57428571424555</v>
      </c>
      <c r="AD123" s="472"/>
    </row>
    <row r="124" spans="1:30" ht="14.25" x14ac:dyDescent="0.45">
      <c r="A124" s="600"/>
      <c r="B124" s="146">
        <v>40</v>
      </c>
      <c r="C124" s="153">
        <v>263.31099999999998</v>
      </c>
      <c r="D124" s="141">
        <v>263.40550000000002</v>
      </c>
      <c r="E124" s="141">
        <v>263.32560000000001</v>
      </c>
      <c r="F124" s="141">
        <v>263.25389999999999</v>
      </c>
      <c r="G124" s="141">
        <v>263.26830000000001</v>
      </c>
      <c r="H124" s="141">
        <v>263.27109999999999</v>
      </c>
      <c r="I124" s="141">
        <v>263.1019</v>
      </c>
      <c r="J124" s="141">
        <v>263.15019999999998</v>
      </c>
      <c r="K124" s="141">
        <v>263.24430000000001</v>
      </c>
      <c r="L124" s="141">
        <v>263.14100000000002</v>
      </c>
      <c r="M124" s="141">
        <v>263.10550000000001</v>
      </c>
      <c r="N124" s="141">
        <v>263.13260000000002</v>
      </c>
      <c r="O124" s="141">
        <v>263.11419999999998</v>
      </c>
      <c r="P124" s="141">
        <v>263.21480000000003</v>
      </c>
      <c r="Q124" s="141">
        <v>263.21710000000002</v>
      </c>
      <c r="R124" s="141">
        <v>263.30509999999998</v>
      </c>
      <c r="S124" s="141">
        <v>262.9778</v>
      </c>
      <c r="T124" s="141">
        <v>262.94490000000002</v>
      </c>
      <c r="U124" s="141">
        <v>263.1696</v>
      </c>
      <c r="V124" s="141">
        <v>263.12990000000002</v>
      </c>
      <c r="W124" s="153">
        <v>263.01920000000001</v>
      </c>
      <c r="X124" s="108"/>
      <c r="Y124" s="141">
        <f t="shared" si="9"/>
        <v>263.18111904761906</v>
      </c>
      <c r="Z124" s="141">
        <f t="shared" si="18"/>
        <v>263.54016666666661</v>
      </c>
      <c r="AA124" s="159">
        <f t="shared" si="11"/>
        <v>0.35904761904754423</v>
      </c>
      <c r="AB124" s="171">
        <v>102</v>
      </c>
      <c r="AC124" s="160">
        <f t="shared" si="12"/>
        <v>183.11428571424756</v>
      </c>
      <c r="AD124" s="472"/>
    </row>
    <row r="125" spans="1:30" ht="14.25" x14ac:dyDescent="0.45">
      <c r="A125" s="600"/>
      <c r="B125" s="146">
        <v>45</v>
      </c>
      <c r="C125" s="153">
        <v>263.16550000000001</v>
      </c>
      <c r="D125" s="141">
        <v>263.42169999999999</v>
      </c>
      <c r="E125" s="141">
        <v>263.3492</v>
      </c>
      <c r="F125" s="141">
        <v>263.22050000000002</v>
      </c>
      <c r="G125" s="141">
        <v>263.31729999999999</v>
      </c>
      <c r="H125" s="141">
        <v>263.28899999999999</v>
      </c>
      <c r="I125" s="141">
        <v>263.18259999999998</v>
      </c>
      <c r="J125" s="141">
        <v>263.20159999999998</v>
      </c>
      <c r="K125" s="141">
        <v>263.19909999999999</v>
      </c>
      <c r="L125" s="141">
        <v>263.1123</v>
      </c>
      <c r="M125" s="141">
        <v>263.06830000000002</v>
      </c>
      <c r="N125" s="141">
        <v>263.12</v>
      </c>
      <c r="O125" s="141">
        <v>263.16269999999997</v>
      </c>
      <c r="P125" s="141">
        <v>263.12490000000003</v>
      </c>
      <c r="Q125" s="141">
        <v>262.8954</v>
      </c>
      <c r="R125" s="141">
        <v>262.95589999999999</v>
      </c>
      <c r="S125" s="141">
        <v>263.01519999999999</v>
      </c>
      <c r="T125" s="141">
        <v>263.13260000000002</v>
      </c>
      <c r="U125" s="141">
        <v>263.16030000000001</v>
      </c>
      <c r="V125" s="141">
        <v>263.1619</v>
      </c>
      <c r="W125" s="153">
        <v>263.05779999999999</v>
      </c>
      <c r="X125" s="108"/>
      <c r="Y125" s="141">
        <f t="shared" si="9"/>
        <v>263.1577999999999</v>
      </c>
      <c r="Z125" s="141">
        <f>Z126-5/100</f>
        <v>263.59016666666662</v>
      </c>
      <c r="AA125" s="159">
        <f t="shared" si="11"/>
        <v>0.43236666666672363</v>
      </c>
      <c r="AB125" s="171">
        <v>102</v>
      </c>
      <c r="AC125" s="160">
        <f t="shared" si="12"/>
        <v>220.50700000002905</v>
      </c>
      <c r="AD125" s="472"/>
    </row>
    <row r="126" spans="1:30" ht="14.25" x14ac:dyDescent="0.45">
      <c r="A126" s="600"/>
      <c r="B126" s="146">
        <v>50</v>
      </c>
      <c r="C126" s="153">
        <v>263.26979999999998</v>
      </c>
      <c r="D126" s="141">
        <v>263.32650000000001</v>
      </c>
      <c r="E126" s="141">
        <v>263.30450000000002</v>
      </c>
      <c r="F126" s="141">
        <v>263.30829999999997</v>
      </c>
      <c r="G126" s="141">
        <v>263.18669999999997</v>
      </c>
      <c r="H126" s="141">
        <v>263.12950000000001</v>
      </c>
      <c r="I126" s="141">
        <v>263.09449999999998</v>
      </c>
      <c r="J126" s="141">
        <v>263.25510000000003</v>
      </c>
      <c r="K126" s="141">
        <v>263.15320000000003</v>
      </c>
      <c r="L126" s="141">
        <v>263.09100000000001</v>
      </c>
      <c r="M126" s="141">
        <v>263.11419999999998</v>
      </c>
      <c r="N126" s="141">
        <v>263.11660000000001</v>
      </c>
      <c r="O126" s="141">
        <v>262.88380000000001</v>
      </c>
      <c r="P126" s="141">
        <v>262.96269999999998</v>
      </c>
      <c r="Q126" s="141">
        <v>263.1472</v>
      </c>
      <c r="R126" s="141">
        <v>263.1465</v>
      </c>
      <c r="S126" s="141">
        <v>263.04399999999998</v>
      </c>
      <c r="T126" s="141">
        <v>263.11860000000001</v>
      </c>
      <c r="U126" s="141">
        <v>263.10430000000002</v>
      </c>
      <c r="V126" s="141">
        <v>263.26089999999999</v>
      </c>
      <c r="W126" s="153">
        <v>263.40859999999998</v>
      </c>
      <c r="X126" s="124"/>
      <c r="Y126" s="167">
        <f t="shared" si="9"/>
        <v>263.16316666666665</v>
      </c>
      <c r="Z126" s="167">
        <f>Y126+0.4+0.002+0.075</f>
        <v>263.64016666666663</v>
      </c>
      <c r="AA126" s="159">
        <f t="shared" si="11"/>
        <v>0.47699999999997544</v>
      </c>
      <c r="AB126" s="173">
        <v>102</v>
      </c>
      <c r="AC126" s="160">
        <f t="shared" si="12"/>
        <v>243.26999999998748</v>
      </c>
      <c r="AD126" s="472"/>
    </row>
    <row r="127" spans="1:30" ht="14.25" x14ac:dyDescent="0.45">
      <c r="A127" s="600"/>
      <c r="B127" s="146">
        <v>55</v>
      </c>
      <c r="C127" s="153">
        <v>263.24759999999998</v>
      </c>
      <c r="D127" s="141">
        <v>263.29039999999998</v>
      </c>
      <c r="E127" s="141">
        <v>263.23779999999999</v>
      </c>
      <c r="F127" s="141">
        <v>263.18819999999999</v>
      </c>
      <c r="G127" s="141">
        <v>263.17349999999999</v>
      </c>
      <c r="H127" s="141">
        <v>263.18090000000001</v>
      </c>
      <c r="I127" s="141">
        <v>263.19970000000001</v>
      </c>
      <c r="J127" s="141">
        <v>263.27870000000001</v>
      </c>
      <c r="K127" s="141">
        <v>263.18169999999998</v>
      </c>
      <c r="L127" s="141">
        <v>263.11959999999999</v>
      </c>
      <c r="M127" s="141">
        <v>262.91739999999999</v>
      </c>
      <c r="N127" s="141">
        <v>262.9117</v>
      </c>
      <c r="O127" s="141">
        <v>263.04539999999997</v>
      </c>
      <c r="P127" s="141">
        <v>263.06060000000002</v>
      </c>
      <c r="Q127" s="141">
        <v>263.18669999999997</v>
      </c>
      <c r="R127" s="141">
        <v>263.12670000000003</v>
      </c>
      <c r="S127" s="141">
        <v>263.09719999999999</v>
      </c>
      <c r="T127" s="141">
        <v>263.12400000000002</v>
      </c>
      <c r="U127" s="141">
        <v>263.0498</v>
      </c>
      <c r="V127" s="141">
        <v>263.1816</v>
      </c>
      <c r="W127" s="153">
        <v>263.339</v>
      </c>
      <c r="X127" s="108"/>
      <c r="Y127" s="141">
        <f t="shared" si="9"/>
        <v>263.14943809523805</v>
      </c>
      <c r="Z127" s="141">
        <f>Z126-5/100</f>
        <v>263.59016666666662</v>
      </c>
      <c r="AA127" s="159">
        <f t="shared" si="11"/>
        <v>0.44072857142856492</v>
      </c>
      <c r="AB127" s="171">
        <v>102</v>
      </c>
      <c r="AC127" s="160">
        <f t="shared" si="12"/>
        <v>224.77157142856811</v>
      </c>
      <c r="AD127" s="472"/>
    </row>
    <row r="128" spans="1:30" ht="14.25" x14ac:dyDescent="0.45">
      <c r="A128" s="600"/>
      <c r="B128" s="146">
        <v>60</v>
      </c>
      <c r="C128" s="153">
        <v>263.20479999999998</v>
      </c>
      <c r="D128" s="141">
        <v>263.23869999999999</v>
      </c>
      <c r="E128" s="141">
        <v>263.21379999999999</v>
      </c>
      <c r="F128" s="141">
        <v>263.24259999999998</v>
      </c>
      <c r="G128" s="141">
        <v>263.17329999999998</v>
      </c>
      <c r="H128" s="141">
        <v>263.17380000000003</v>
      </c>
      <c r="I128" s="141">
        <v>263.21769999999998</v>
      </c>
      <c r="J128" s="141">
        <v>263.02749999999997</v>
      </c>
      <c r="K128" s="141">
        <v>262.96800000000002</v>
      </c>
      <c r="L128" s="141">
        <v>262.96850000000001</v>
      </c>
      <c r="M128" s="141">
        <v>263.06220000000002</v>
      </c>
      <c r="N128" s="141">
        <v>263.1207</v>
      </c>
      <c r="O128" s="141">
        <v>263.05610000000001</v>
      </c>
      <c r="P128" s="141">
        <v>263.05739999999997</v>
      </c>
      <c r="Q128" s="141">
        <v>263.13749999999999</v>
      </c>
      <c r="R128" s="141">
        <v>263.03579999999999</v>
      </c>
      <c r="S128" s="141">
        <v>263.05450000000002</v>
      </c>
      <c r="T128" s="141">
        <v>263.084</v>
      </c>
      <c r="U128" s="141">
        <v>263.06950000000001</v>
      </c>
      <c r="V128" s="141">
        <v>263.13650000000001</v>
      </c>
      <c r="W128" s="153">
        <v>263.25139999999999</v>
      </c>
      <c r="X128" s="108"/>
      <c r="Y128" s="141">
        <f t="shared" si="9"/>
        <v>263.11877619047613</v>
      </c>
      <c r="Z128" s="141">
        <f t="shared" ref="Z128:Z136" si="19">Z127-5/100</f>
        <v>263.54016666666661</v>
      </c>
      <c r="AA128" s="159">
        <f t="shared" si="11"/>
        <v>0.42139047619048142</v>
      </c>
      <c r="AB128" s="171">
        <v>102</v>
      </c>
      <c r="AC128" s="160">
        <f t="shared" si="12"/>
        <v>214.90914285714553</v>
      </c>
      <c r="AD128" s="472"/>
    </row>
    <row r="129" spans="1:30" ht="14.25" x14ac:dyDescent="0.45">
      <c r="A129" s="600"/>
      <c r="B129" s="146">
        <v>65</v>
      </c>
      <c r="C129" s="153">
        <v>263.24090000000001</v>
      </c>
      <c r="D129" s="141">
        <v>263.31240000000003</v>
      </c>
      <c r="E129" s="141">
        <v>263.22379999999998</v>
      </c>
      <c r="F129" s="141">
        <v>263.17689999999999</v>
      </c>
      <c r="G129" s="141">
        <v>263.0822</v>
      </c>
      <c r="H129" s="141">
        <v>262.97820000000002</v>
      </c>
      <c r="I129" s="141">
        <v>263.05779999999999</v>
      </c>
      <c r="J129" s="141">
        <v>263.12009999999998</v>
      </c>
      <c r="K129" s="141">
        <v>263.11160000000001</v>
      </c>
      <c r="L129" s="141">
        <v>263.11369999999999</v>
      </c>
      <c r="M129" s="141">
        <v>263.16550000000001</v>
      </c>
      <c r="N129" s="141">
        <v>263.17239999999998</v>
      </c>
      <c r="O129" s="141">
        <v>263.09949999999998</v>
      </c>
      <c r="P129" s="141">
        <v>263.11610000000002</v>
      </c>
      <c r="Q129" s="141">
        <v>263.11470000000003</v>
      </c>
      <c r="R129" s="141">
        <v>263.12509999999997</v>
      </c>
      <c r="S129" s="141">
        <v>263.07600000000002</v>
      </c>
      <c r="T129" s="141">
        <v>263.11110000000002</v>
      </c>
      <c r="U129" s="141">
        <v>263.1105</v>
      </c>
      <c r="V129" s="141">
        <v>263.12790000000001</v>
      </c>
      <c r="W129" s="153">
        <v>263.17039999999997</v>
      </c>
      <c r="X129" s="108"/>
      <c r="Y129" s="141">
        <f t="shared" si="9"/>
        <v>263.13365714285715</v>
      </c>
      <c r="Z129" s="141">
        <f t="shared" si="19"/>
        <v>263.4901666666666</v>
      </c>
      <c r="AA129" s="159">
        <f t="shared" si="11"/>
        <v>0.35650952380945</v>
      </c>
      <c r="AB129" s="171">
        <v>102</v>
      </c>
      <c r="AC129" s="160">
        <f t="shared" si="12"/>
        <v>181.8198571428195</v>
      </c>
      <c r="AD129" s="472"/>
    </row>
    <row r="130" spans="1:30" ht="14.25" x14ac:dyDescent="0.45">
      <c r="A130" s="600"/>
      <c r="B130" s="146">
        <v>70</v>
      </c>
      <c r="C130" s="153">
        <v>263.32380000000001</v>
      </c>
      <c r="D130" s="141">
        <v>263.22489999999999</v>
      </c>
      <c r="E130" s="141">
        <v>263.14159999999998</v>
      </c>
      <c r="F130" s="141">
        <v>263.00599999999997</v>
      </c>
      <c r="G130" s="141">
        <v>262.98329999999999</v>
      </c>
      <c r="H130" s="141">
        <v>263.07900000000001</v>
      </c>
      <c r="I130" s="141">
        <v>263.15589999999997</v>
      </c>
      <c r="J130" s="141">
        <v>263.16660000000002</v>
      </c>
      <c r="K130" s="141">
        <v>263.12979999999999</v>
      </c>
      <c r="L130" s="141">
        <v>263.07330000000002</v>
      </c>
      <c r="M130" s="141">
        <v>263.09530000000001</v>
      </c>
      <c r="N130" s="141">
        <v>263.12020000000001</v>
      </c>
      <c r="O130" s="141">
        <v>263.03070000000002</v>
      </c>
      <c r="P130" s="141">
        <v>263.10199999999998</v>
      </c>
      <c r="Q130" s="141">
        <v>263.05029999999999</v>
      </c>
      <c r="R130" s="141">
        <v>263.02350000000001</v>
      </c>
      <c r="S130" s="141">
        <v>263.04410000000001</v>
      </c>
      <c r="T130" s="141">
        <v>263.09780000000001</v>
      </c>
      <c r="U130" s="141">
        <v>263.16890000000001</v>
      </c>
      <c r="V130" s="141">
        <v>263.06610000000001</v>
      </c>
      <c r="W130" s="153">
        <v>263.14109999999999</v>
      </c>
      <c r="X130" s="108"/>
      <c r="Y130" s="141">
        <f t="shared" si="9"/>
        <v>263.10591428571422</v>
      </c>
      <c r="Z130" s="141">
        <f t="shared" si="19"/>
        <v>263.44016666666658</v>
      </c>
      <c r="AA130" s="159">
        <f t="shared" si="11"/>
        <v>0.33425238095236409</v>
      </c>
      <c r="AB130" s="171">
        <v>102</v>
      </c>
      <c r="AC130" s="160">
        <f t="shared" si="12"/>
        <v>170.46871428570569</v>
      </c>
      <c r="AD130" s="472"/>
    </row>
    <row r="131" spans="1:30" ht="14.25" x14ac:dyDescent="0.45">
      <c r="A131" s="600"/>
      <c r="B131" s="146">
        <v>75</v>
      </c>
      <c r="C131" s="153">
        <v>263.14460000000003</v>
      </c>
      <c r="D131" s="141">
        <v>263.04379999999998</v>
      </c>
      <c r="E131" s="141">
        <v>263.1001</v>
      </c>
      <c r="F131" s="141">
        <v>263.16300000000001</v>
      </c>
      <c r="G131" s="141">
        <v>263.10300000000001</v>
      </c>
      <c r="H131" s="141">
        <v>263.18509999999998</v>
      </c>
      <c r="I131" s="141">
        <v>263.2054</v>
      </c>
      <c r="J131" s="141">
        <v>263.15260000000001</v>
      </c>
      <c r="K131" s="141">
        <v>263.08589999999998</v>
      </c>
      <c r="L131" s="141">
        <v>263.09399999999999</v>
      </c>
      <c r="M131" s="141">
        <v>263.16739999999999</v>
      </c>
      <c r="N131" s="141">
        <v>263.09589999999997</v>
      </c>
      <c r="O131" s="141">
        <v>263.00020000000001</v>
      </c>
      <c r="P131" s="141">
        <v>263.12729999999999</v>
      </c>
      <c r="Q131" s="141">
        <v>263.14330000000001</v>
      </c>
      <c r="R131" s="141">
        <v>263.12310000000002</v>
      </c>
      <c r="S131" s="141">
        <v>263.14330000000001</v>
      </c>
      <c r="T131" s="141">
        <v>263.10000000000002</v>
      </c>
      <c r="U131" s="141">
        <v>262.92919999999998</v>
      </c>
      <c r="V131" s="141">
        <v>263.14359999999999</v>
      </c>
      <c r="W131" s="153">
        <v>263.18540000000002</v>
      </c>
      <c r="X131" s="108"/>
      <c r="Y131" s="141">
        <f t="shared" ref="Y131:Y194" si="20">AVERAGE(C131:X131)</f>
        <v>263.11600952380951</v>
      </c>
      <c r="Z131" s="141">
        <f t="shared" si="19"/>
        <v>263.39016666666657</v>
      </c>
      <c r="AA131" s="159">
        <f t="shared" si="11"/>
        <v>0.27415714285706372</v>
      </c>
      <c r="AB131" s="171">
        <v>102</v>
      </c>
      <c r="AC131" s="160">
        <f t="shared" si="12"/>
        <v>139.8201428571025</v>
      </c>
      <c r="AD131" s="472"/>
    </row>
    <row r="132" spans="1:30" ht="14.25" x14ac:dyDescent="0.45">
      <c r="A132" s="600"/>
      <c r="B132" s="146">
        <v>80</v>
      </c>
      <c r="C132" s="153">
        <v>263.18040000000002</v>
      </c>
      <c r="D132" s="141">
        <v>263.23930000000001</v>
      </c>
      <c r="E132" s="141">
        <v>263.18180000000001</v>
      </c>
      <c r="F132" s="141">
        <v>263.17869999999999</v>
      </c>
      <c r="G132" s="141">
        <v>263.221</v>
      </c>
      <c r="H132" s="141">
        <v>263.13749999999999</v>
      </c>
      <c r="I132" s="141">
        <v>263.22269999999997</v>
      </c>
      <c r="J132" s="141">
        <v>263.15839999999997</v>
      </c>
      <c r="K132" s="141">
        <v>263.13130000000001</v>
      </c>
      <c r="L132" s="141">
        <v>263.11160000000001</v>
      </c>
      <c r="M132" s="141">
        <v>263.17309999999998</v>
      </c>
      <c r="N132" s="141">
        <v>263.10820000000001</v>
      </c>
      <c r="O132" s="141">
        <v>263.04570000000001</v>
      </c>
      <c r="P132" s="141">
        <v>263.14980000000003</v>
      </c>
      <c r="Q132" s="141">
        <v>263.15140000000002</v>
      </c>
      <c r="R132" s="141">
        <v>263.09649999999999</v>
      </c>
      <c r="S132" s="141">
        <v>263.11270000000002</v>
      </c>
      <c r="T132" s="141">
        <v>263.15870000000001</v>
      </c>
      <c r="U132" s="141">
        <v>263.15010000000001</v>
      </c>
      <c r="V132" s="141">
        <v>263.19560000000001</v>
      </c>
      <c r="W132" s="153">
        <v>263.2183</v>
      </c>
      <c r="X132" s="108"/>
      <c r="Y132" s="141">
        <f t="shared" si="20"/>
        <v>263.15822857142859</v>
      </c>
      <c r="Z132" s="141">
        <f t="shared" si="19"/>
        <v>263.34016666666656</v>
      </c>
      <c r="AA132" s="159">
        <f t="shared" ref="AA132:AA195" si="21">Z132-Y132</f>
        <v>0.18193809523796745</v>
      </c>
      <c r="AB132" s="171">
        <v>102</v>
      </c>
      <c r="AC132" s="160">
        <f t="shared" ref="AC132:AC195" si="22">AB132*AA132*5</f>
        <v>92.788428571363397</v>
      </c>
      <c r="AD132" s="472"/>
    </row>
    <row r="133" spans="1:30" ht="14.25" x14ac:dyDescent="0.45">
      <c r="A133" s="600"/>
      <c r="B133" s="146">
        <v>85</v>
      </c>
      <c r="C133" s="153">
        <v>263.13529999999997</v>
      </c>
      <c r="D133" s="141">
        <v>263.1087</v>
      </c>
      <c r="E133" s="141">
        <v>263.1703</v>
      </c>
      <c r="F133" s="141">
        <v>262.98480000000001</v>
      </c>
      <c r="G133" s="141">
        <v>263.14749999999998</v>
      </c>
      <c r="H133" s="141">
        <v>263.14240000000001</v>
      </c>
      <c r="I133" s="141">
        <v>263.21469999999999</v>
      </c>
      <c r="J133" s="141">
        <v>263.16199999999998</v>
      </c>
      <c r="K133" s="141">
        <v>263.1909</v>
      </c>
      <c r="L133" s="141">
        <v>263.06180000000001</v>
      </c>
      <c r="M133" s="141">
        <v>263.13929999999999</v>
      </c>
      <c r="N133" s="141">
        <v>263.13529999999997</v>
      </c>
      <c r="O133" s="141">
        <v>262.98050000000001</v>
      </c>
      <c r="P133" s="141">
        <v>263.0489</v>
      </c>
      <c r="Q133" s="141">
        <v>263.08080000000001</v>
      </c>
      <c r="R133" s="141">
        <v>263.09690000000001</v>
      </c>
      <c r="S133" s="141">
        <v>263.05090000000001</v>
      </c>
      <c r="T133" s="141">
        <v>263.19380000000001</v>
      </c>
      <c r="U133" s="141">
        <v>263.24529999999999</v>
      </c>
      <c r="V133" s="141">
        <v>263.2586</v>
      </c>
      <c r="W133" s="153">
        <v>263.20339999999999</v>
      </c>
      <c r="X133" s="108"/>
      <c r="Y133" s="141">
        <f t="shared" si="20"/>
        <v>263.13105238095238</v>
      </c>
      <c r="Z133" s="141">
        <f t="shared" si="19"/>
        <v>263.29016666666655</v>
      </c>
      <c r="AA133" s="159">
        <f t="shared" si="21"/>
        <v>0.15911428571416764</v>
      </c>
      <c r="AB133" s="171">
        <v>102</v>
      </c>
      <c r="AC133" s="160">
        <f t="shared" si="22"/>
        <v>81.148285714225494</v>
      </c>
      <c r="AD133" s="472"/>
    </row>
    <row r="134" spans="1:30" ht="14.25" x14ac:dyDescent="0.45">
      <c r="A134" s="600"/>
      <c r="B134" s="146">
        <v>90</v>
      </c>
      <c r="C134" s="153">
        <v>263.19940000000003</v>
      </c>
      <c r="D134" s="141">
        <v>263.14870000000002</v>
      </c>
      <c r="E134" s="141">
        <v>263.18400000000003</v>
      </c>
      <c r="F134" s="141">
        <v>263.23660000000001</v>
      </c>
      <c r="G134" s="141">
        <v>263.17829999999998</v>
      </c>
      <c r="H134" s="141">
        <v>263.20850000000002</v>
      </c>
      <c r="I134" s="141">
        <v>263.28899999999999</v>
      </c>
      <c r="J134" s="141">
        <v>263.15280000000001</v>
      </c>
      <c r="K134" s="141">
        <v>263.0727</v>
      </c>
      <c r="L134" s="141">
        <v>263.01100000000002</v>
      </c>
      <c r="M134" s="141">
        <v>263.00810000000001</v>
      </c>
      <c r="N134" s="141">
        <v>262.9982</v>
      </c>
      <c r="O134" s="141">
        <v>263.0367</v>
      </c>
      <c r="P134" s="141">
        <v>263.14569999999998</v>
      </c>
      <c r="Q134" s="141">
        <v>263.07760000000002</v>
      </c>
      <c r="R134" s="141">
        <v>263.2022</v>
      </c>
      <c r="S134" s="141">
        <v>262.97269999999997</v>
      </c>
      <c r="T134" s="141">
        <v>263.13420000000002</v>
      </c>
      <c r="U134" s="141">
        <v>263.22370000000001</v>
      </c>
      <c r="V134" s="141">
        <v>263.23430000000002</v>
      </c>
      <c r="W134" s="153">
        <v>263.27719999999999</v>
      </c>
      <c r="X134" s="108"/>
      <c r="Y134" s="141">
        <f t="shared" si="20"/>
        <v>263.14245714285721</v>
      </c>
      <c r="Z134" s="141">
        <f t="shared" si="19"/>
        <v>263.24016666666654</v>
      </c>
      <c r="AA134" s="159">
        <f t="shared" si="21"/>
        <v>9.7709523809328402E-2</v>
      </c>
      <c r="AB134" s="171">
        <v>102</v>
      </c>
      <c r="AC134" s="160">
        <f t="shared" si="22"/>
        <v>49.831857142757485</v>
      </c>
      <c r="AD134" s="472"/>
    </row>
    <row r="135" spans="1:30" ht="14.25" x14ac:dyDescent="0.45">
      <c r="A135" s="600"/>
      <c r="B135" s="146">
        <v>95</v>
      </c>
      <c r="C135" s="153">
        <v>263.08339999999998</v>
      </c>
      <c r="D135" s="141">
        <v>263.05349999999999</v>
      </c>
      <c r="E135" s="141">
        <v>263.03640000000001</v>
      </c>
      <c r="F135" s="141">
        <v>263.03449999999998</v>
      </c>
      <c r="G135" s="141">
        <v>263.02100000000002</v>
      </c>
      <c r="H135" s="141">
        <v>262.99979999999999</v>
      </c>
      <c r="I135" s="141">
        <v>263.02</v>
      </c>
      <c r="J135" s="141">
        <v>263.11649999999997</v>
      </c>
      <c r="K135" s="141">
        <v>263.07190000000003</v>
      </c>
      <c r="L135" s="141">
        <v>263.05939999999998</v>
      </c>
      <c r="M135" s="141">
        <v>263.14370000000002</v>
      </c>
      <c r="N135" s="141">
        <v>263.06180000000001</v>
      </c>
      <c r="O135" s="141">
        <v>263.12369999999999</v>
      </c>
      <c r="P135" s="141">
        <v>263.0899</v>
      </c>
      <c r="Q135" s="141">
        <v>263.06709999999998</v>
      </c>
      <c r="R135" s="141">
        <v>263.07839999999999</v>
      </c>
      <c r="S135" s="141">
        <v>263.03399999999999</v>
      </c>
      <c r="T135" s="141">
        <v>263.12200000000001</v>
      </c>
      <c r="U135" s="141">
        <v>263.07049999999998</v>
      </c>
      <c r="V135" s="141">
        <v>263.28219999999999</v>
      </c>
      <c r="W135" s="153">
        <v>263.24669999999998</v>
      </c>
      <c r="X135" s="108"/>
      <c r="Y135" s="141">
        <f t="shared" si="20"/>
        <v>263.08649523809521</v>
      </c>
      <c r="Z135" s="141">
        <f t="shared" si="19"/>
        <v>263.19016666666653</v>
      </c>
      <c r="AA135" s="159">
        <f t="shared" si="21"/>
        <v>0.10367142857131739</v>
      </c>
      <c r="AB135" s="171">
        <v>102</v>
      </c>
      <c r="AC135" s="160">
        <f t="shared" si="22"/>
        <v>52.87242857137187</v>
      </c>
      <c r="AD135" s="472"/>
    </row>
    <row r="136" spans="1:30" ht="14.25" x14ac:dyDescent="0.45">
      <c r="A136" s="601"/>
      <c r="B136" s="148">
        <v>100</v>
      </c>
      <c r="C136" s="154">
        <v>263.13010000000003</v>
      </c>
      <c r="D136" s="154">
        <v>263.05220000000003</v>
      </c>
      <c r="E136" s="154">
        <v>263.08420000000001</v>
      </c>
      <c r="F136" s="154">
        <v>263.05509999999998</v>
      </c>
      <c r="G136" s="154">
        <v>263.05399999999997</v>
      </c>
      <c r="H136" s="154">
        <v>263.05029999999999</v>
      </c>
      <c r="I136" s="154">
        <v>263.04750000000001</v>
      </c>
      <c r="J136" s="154">
        <v>263.09769999999997</v>
      </c>
      <c r="K136" s="154">
        <v>263.0641</v>
      </c>
      <c r="L136" s="154">
        <v>262.94569999999999</v>
      </c>
      <c r="M136" s="154">
        <v>263.0711</v>
      </c>
      <c r="N136" s="154">
        <v>263.00290000000001</v>
      </c>
      <c r="O136" s="154">
        <v>263.08069999999998</v>
      </c>
      <c r="P136" s="154">
        <v>262.92360000000002</v>
      </c>
      <c r="Q136" s="154">
        <v>262.97649999999999</v>
      </c>
      <c r="R136" s="154">
        <v>263.02870000000001</v>
      </c>
      <c r="S136" s="154">
        <v>262.9622</v>
      </c>
      <c r="T136" s="154">
        <v>263.14490000000001</v>
      </c>
      <c r="U136" s="154">
        <v>263.21170000000001</v>
      </c>
      <c r="V136" s="154">
        <v>263.17720000000003</v>
      </c>
      <c r="W136" s="154">
        <v>263.10149999999999</v>
      </c>
      <c r="X136" s="117"/>
      <c r="Y136" s="142">
        <f t="shared" si="20"/>
        <v>263.06009047619045</v>
      </c>
      <c r="Z136" s="142">
        <f t="shared" si="19"/>
        <v>263.14016666666652</v>
      </c>
      <c r="AA136" s="159">
        <f t="shared" si="21"/>
        <v>8.0076190476063402E-2</v>
      </c>
      <c r="AB136" s="174">
        <v>102</v>
      </c>
      <c r="AC136" s="162">
        <f t="shared" si="22"/>
        <v>40.838857142792335</v>
      </c>
      <c r="AD136" s="112">
        <f>SUM(AC116:AC136)</f>
        <v>2344.720142856228</v>
      </c>
    </row>
    <row r="137" spans="1:30" ht="14.25" x14ac:dyDescent="0.45">
      <c r="A137" s="599" t="s">
        <v>29</v>
      </c>
      <c r="B137" s="147">
        <v>0</v>
      </c>
      <c r="C137" s="151">
        <v>263.5616</v>
      </c>
      <c r="D137" s="151">
        <v>263.51310000000001</v>
      </c>
      <c r="E137" s="151">
        <v>263.4785</v>
      </c>
      <c r="F137" s="151">
        <v>263.4554</v>
      </c>
      <c r="G137" s="151">
        <v>263.51850000000002</v>
      </c>
      <c r="H137" s="151">
        <v>263.53879999999998</v>
      </c>
      <c r="I137" s="151">
        <v>263.48860000000002</v>
      </c>
      <c r="J137" s="151">
        <v>263.50799999999998</v>
      </c>
      <c r="K137" s="151">
        <v>263.55200000000002</v>
      </c>
      <c r="L137" s="151">
        <v>263.48270000000002</v>
      </c>
      <c r="M137" s="151">
        <v>263.52600000000001</v>
      </c>
      <c r="N137" s="151">
        <v>263.4796</v>
      </c>
      <c r="O137" s="151">
        <v>263.54770000000002</v>
      </c>
      <c r="P137" s="151">
        <v>263.54610000000002</v>
      </c>
      <c r="Q137" s="151">
        <v>263.59300000000002</v>
      </c>
      <c r="R137" s="151">
        <v>263.58030000000002</v>
      </c>
      <c r="S137" s="151">
        <v>263.5188</v>
      </c>
      <c r="T137" s="151">
        <v>263.11849999999998</v>
      </c>
      <c r="U137" s="151">
        <v>263.21839999999997</v>
      </c>
      <c r="V137" s="151">
        <v>263.11200000000002</v>
      </c>
      <c r="W137" s="151">
        <v>263.08730000000003</v>
      </c>
      <c r="X137" s="116"/>
      <c r="Y137" s="140">
        <f t="shared" si="20"/>
        <v>263.44880476190474</v>
      </c>
      <c r="Z137" s="140">
        <f t="shared" ref="Z137:Z145" si="23">Z138-5/100</f>
        <v>263.33540476190467</v>
      </c>
      <c r="AA137" s="159">
        <f t="shared" si="21"/>
        <v>-0.11340000000006967</v>
      </c>
      <c r="AB137" s="172">
        <v>102</v>
      </c>
      <c r="AC137" s="158">
        <f t="shared" si="22"/>
        <v>-57.83400000003553</v>
      </c>
      <c r="AD137" s="472"/>
    </row>
    <row r="138" spans="1:30" ht="14.25" x14ac:dyDescent="0.45">
      <c r="A138" s="600"/>
      <c r="B138" s="146">
        <v>5</v>
      </c>
      <c r="C138" s="153">
        <v>263.53300000000002</v>
      </c>
      <c r="D138" s="141">
        <v>263.47219999999999</v>
      </c>
      <c r="E138" s="141">
        <v>263.39909999999998</v>
      </c>
      <c r="F138" s="141">
        <v>263.5034</v>
      </c>
      <c r="G138" s="141">
        <v>263.57190000000003</v>
      </c>
      <c r="H138" s="141">
        <v>263.44</v>
      </c>
      <c r="I138" s="141">
        <v>263.29079999999999</v>
      </c>
      <c r="J138" s="141">
        <v>263.53640000000001</v>
      </c>
      <c r="K138" s="141">
        <v>263.53809999999999</v>
      </c>
      <c r="L138" s="141">
        <v>263.6046</v>
      </c>
      <c r="M138" s="141">
        <v>263.55560000000003</v>
      </c>
      <c r="N138" s="141">
        <v>263.5446</v>
      </c>
      <c r="O138" s="141">
        <v>263.60559999999998</v>
      </c>
      <c r="P138" s="141">
        <v>263.55829999999997</v>
      </c>
      <c r="Q138" s="141">
        <v>263.55650000000003</v>
      </c>
      <c r="R138" s="141">
        <v>263.5917</v>
      </c>
      <c r="S138" s="141">
        <v>263.59870000000001</v>
      </c>
      <c r="T138" s="141">
        <v>263.16849999999999</v>
      </c>
      <c r="U138" s="141">
        <v>263.2002</v>
      </c>
      <c r="V138" s="141">
        <v>263.15199999999999</v>
      </c>
      <c r="W138" s="153">
        <v>263.1361</v>
      </c>
      <c r="X138" s="108"/>
      <c r="Y138" s="141">
        <f t="shared" si="20"/>
        <v>263.4551095238096</v>
      </c>
      <c r="Z138" s="141">
        <f t="shared" si="23"/>
        <v>263.38540476190468</v>
      </c>
      <c r="AA138" s="159">
        <f t="shared" si="21"/>
        <v>-6.9704761904915813E-2</v>
      </c>
      <c r="AB138" s="171">
        <v>102</v>
      </c>
      <c r="AC138" s="160">
        <f t="shared" si="22"/>
        <v>-35.549428571507065</v>
      </c>
      <c r="AD138" s="472"/>
    </row>
    <row r="139" spans="1:30" ht="14.25" x14ac:dyDescent="0.45">
      <c r="A139" s="600"/>
      <c r="B139" s="146">
        <v>10</v>
      </c>
      <c r="C139" s="153">
        <v>263.45440000000002</v>
      </c>
      <c r="D139" s="141">
        <v>263.49059999999997</v>
      </c>
      <c r="E139" s="141">
        <v>263.50069999999999</v>
      </c>
      <c r="F139" s="141">
        <v>263.50319999999999</v>
      </c>
      <c r="G139" s="141">
        <v>263.55110000000002</v>
      </c>
      <c r="H139" s="141">
        <v>263.52260000000001</v>
      </c>
      <c r="I139" s="141">
        <v>263.3596</v>
      </c>
      <c r="J139" s="141">
        <v>263.46620000000001</v>
      </c>
      <c r="K139" s="141">
        <v>263.47430000000003</v>
      </c>
      <c r="L139" s="141">
        <v>263.42090000000002</v>
      </c>
      <c r="M139" s="141">
        <v>263.50510000000003</v>
      </c>
      <c r="N139" s="141">
        <v>263.5111</v>
      </c>
      <c r="O139" s="141">
        <v>263.47039999999998</v>
      </c>
      <c r="P139" s="141">
        <v>263.60489999999999</v>
      </c>
      <c r="Q139" s="141">
        <v>263.53980000000001</v>
      </c>
      <c r="R139" s="141">
        <v>263.70659999999998</v>
      </c>
      <c r="S139" s="141">
        <v>263.54559999999998</v>
      </c>
      <c r="T139" s="141">
        <v>263.19490000000002</v>
      </c>
      <c r="U139" s="141">
        <v>263.35390000000001</v>
      </c>
      <c r="V139" s="141">
        <v>263.1798</v>
      </c>
      <c r="W139" s="153">
        <v>263.2253</v>
      </c>
      <c r="X139" s="108"/>
      <c r="Y139" s="141">
        <f t="shared" si="20"/>
        <v>263.45623809523812</v>
      </c>
      <c r="Z139" s="141">
        <f t="shared" si="23"/>
        <v>263.43540476190469</v>
      </c>
      <c r="AA139" s="159">
        <f t="shared" si="21"/>
        <v>-2.0833333333428072E-2</v>
      </c>
      <c r="AB139" s="171">
        <v>102</v>
      </c>
      <c r="AC139" s="160">
        <f t="shared" si="22"/>
        <v>-10.625000000048317</v>
      </c>
      <c r="AD139" s="472"/>
    </row>
    <row r="140" spans="1:30" ht="14.25" x14ac:dyDescent="0.45">
      <c r="A140" s="600"/>
      <c r="B140" s="146">
        <v>15</v>
      </c>
      <c r="C140" s="153">
        <v>263.40940000000001</v>
      </c>
      <c r="D140" s="141">
        <v>263.28070000000002</v>
      </c>
      <c r="E140" s="141">
        <v>263.32889999999998</v>
      </c>
      <c r="F140" s="141">
        <v>263.31310000000002</v>
      </c>
      <c r="G140" s="141">
        <v>263.23750000000001</v>
      </c>
      <c r="H140" s="141">
        <v>263.24270000000001</v>
      </c>
      <c r="I140" s="141">
        <v>263.21030000000002</v>
      </c>
      <c r="J140" s="141">
        <v>263.15010000000001</v>
      </c>
      <c r="K140" s="141">
        <v>263.39150000000001</v>
      </c>
      <c r="L140" s="141">
        <v>263.36380000000003</v>
      </c>
      <c r="M140" s="141">
        <v>263.22829999999999</v>
      </c>
      <c r="N140" s="141">
        <v>263.40570000000002</v>
      </c>
      <c r="O140" s="141">
        <v>263.476</v>
      </c>
      <c r="P140" s="141">
        <v>263.32769999999999</v>
      </c>
      <c r="Q140" s="141">
        <v>263.62729999999999</v>
      </c>
      <c r="R140" s="141">
        <v>263.726</v>
      </c>
      <c r="S140" s="141">
        <v>263.59609999999998</v>
      </c>
      <c r="T140" s="141">
        <v>263.59120000000001</v>
      </c>
      <c r="U140" s="141">
        <v>263.34070000000003</v>
      </c>
      <c r="V140" s="141">
        <v>263.03199999999998</v>
      </c>
      <c r="W140" s="153">
        <v>263.18369999999999</v>
      </c>
      <c r="X140" s="108"/>
      <c r="Y140" s="141">
        <f t="shared" si="20"/>
        <v>263.35536666666667</v>
      </c>
      <c r="Z140" s="141">
        <f t="shared" si="23"/>
        <v>263.4854047619047</v>
      </c>
      <c r="AA140" s="159">
        <f t="shared" si="21"/>
        <v>0.13003809523803511</v>
      </c>
      <c r="AB140" s="171">
        <v>102</v>
      </c>
      <c r="AC140" s="160">
        <f t="shared" si="22"/>
        <v>66.319428571397907</v>
      </c>
      <c r="AD140" s="472"/>
    </row>
    <row r="141" spans="1:30" ht="14.25" x14ac:dyDescent="0.45">
      <c r="A141" s="600"/>
      <c r="B141" s="146">
        <v>20</v>
      </c>
      <c r="C141" s="153">
        <v>263.50819999999999</v>
      </c>
      <c r="D141" s="141">
        <v>263.4425</v>
      </c>
      <c r="E141" s="141">
        <v>263.34679999999997</v>
      </c>
      <c r="F141" s="141">
        <v>263.39640000000003</v>
      </c>
      <c r="G141" s="141">
        <v>263.41750000000002</v>
      </c>
      <c r="H141" s="141">
        <v>263.50479999999999</v>
      </c>
      <c r="I141" s="141">
        <v>263.48829999999998</v>
      </c>
      <c r="J141" s="141">
        <v>263.37790000000001</v>
      </c>
      <c r="K141" s="141">
        <v>263.2901</v>
      </c>
      <c r="L141" s="141">
        <v>263.2414</v>
      </c>
      <c r="M141" s="141">
        <v>263.24549999999999</v>
      </c>
      <c r="N141" s="141">
        <v>263.25979999999998</v>
      </c>
      <c r="O141" s="141">
        <v>263.29759999999999</v>
      </c>
      <c r="P141" s="141">
        <v>263.3526</v>
      </c>
      <c r="Q141" s="141">
        <v>263.54059999999998</v>
      </c>
      <c r="R141" s="141">
        <v>263.65620000000001</v>
      </c>
      <c r="S141" s="141">
        <v>263.66379999999998</v>
      </c>
      <c r="T141" s="141">
        <v>263.61779999999999</v>
      </c>
      <c r="U141" s="141">
        <v>263.43450000000001</v>
      </c>
      <c r="V141" s="141">
        <v>263.2835</v>
      </c>
      <c r="W141" s="153">
        <v>263.39749999999998</v>
      </c>
      <c r="X141" s="108"/>
      <c r="Y141" s="141">
        <f t="shared" si="20"/>
        <v>263.41729999999995</v>
      </c>
      <c r="Z141" s="141">
        <f t="shared" si="23"/>
        <v>263.53540476190472</v>
      </c>
      <c r="AA141" s="159">
        <f t="shared" si="21"/>
        <v>0.11810476190476038</v>
      </c>
      <c r="AB141" s="171">
        <v>102</v>
      </c>
      <c r="AC141" s="160">
        <f t="shared" si="22"/>
        <v>60.233428571427794</v>
      </c>
      <c r="AD141" s="472"/>
    </row>
    <row r="142" spans="1:30" ht="14.25" x14ac:dyDescent="0.45">
      <c r="A142" s="600"/>
      <c r="B142" s="146">
        <v>25</v>
      </c>
      <c r="C142" s="153">
        <v>263.38209999999998</v>
      </c>
      <c r="D142" s="141">
        <v>263.33749999999998</v>
      </c>
      <c r="E142" s="141">
        <v>263.31240000000003</v>
      </c>
      <c r="F142" s="141">
        <v>263.2276</v>
      </c>
      <c r="G142" s="141">
        <v>263.2715</v>
      </c>
      <c r="H142" s="141">
        <v>263.26600000000002</v>
      </c>
      <c r="I142" s="141">
        <v>263.24250000000001</v>
      </c>
      <c r="J142" s="141">
        <v>263.2527</v>
      </c>
      <c r="K142" s="141">
        <v>263.26650000000001</v>
      </c>
      <c r="L142" s="141">
        <v>263.24799999999999</v>
      </c>
      <c r="M142" s="141">
        <v>263.25560000000002</v>
      </c>
      <c r="N142" s="141">
        <v>263.23329999999999</v>
      </c>
      <c r="O142" s="141">
        <v>263.21100000000001</v>
      </c>
      <c r="P142" s="141">
        <v>263.19659999999999</v>
      </c>
      <c r="Q142" s="141">
        <v>263.3433</v>
      </c>
      <c r="R142" s="141">
        <v>263.59300000000002</v>
      </c>
      <c r="S142" s="141">
        <v>263.55360000000002</v>
      </c>
      <c r="T142" s="141">
        <v>263.36649999999997</v>
      </c>
      <c r="U142" s="141">
        <v>263.3562</v>
      </c>
      <c r="V142" s="141">
        <v>263.3159</v>
      </c>
      <c r="W142" s="153">
        <v>263.4511</v>
      </c>
      <c r="X142" s="108"/>
      <c r="Y142" s="141">
        <f t="shared" si="20"/>
        <v>263.31823333333335</v>
      </c>
      <c r="Z142" s="141">
        <f t="shared" si="23"/>
        <v>263.58540476190473</v>
      </c>
      <c r="AA142" s="159">
        <f t="shared" si="21"/>
        <v>0.26717142857137333</v>
      </c>
      <c r="AB142" s="171">
        <v>102</v>
      </c>
      <c r="AC142" s="160">
        <f t="shared" si="22"/>
        <v>136.2574285714004</v>
      </c>
      <c r="AD142" s="472"/>
    </row>
    <row r="143" spans="1:30" ht="14.25" x14ac:dyDescent="0.45">
      <c r="A143" s="600"/>
      <c r="B143" s="146">
        <v>30</v>
      </c>
      <c r="C143" s="153">
        <v>263.31939999999997</v>
      </c>
      <c r="D143" s="141">
        <v>263.30689999999998</v>
      </c>
      <c r="E143" s="141">
        <v>263.3075</v>
      </c>
      <c r="F143" s="141">
        <v>263.22890000000001</v>
      </c>
      <c r="G143" s="141">
        <v>263.24380000000002</v>
      </c>
      <c r="H143" s="141">
        <v>263.25560000000002</v>
      </c>
      <c r="I143" s="141">
        <v>263.2647</v>
      </c>
      <c r="J143" s="141">
        <v>263.26319999999998</v>
      </c>
      <c r="K143" s="141">
        <v>263.27769999999998</v>
      </c>
      <c r="L143" s="141">
        <v>263.25850000000003</v>
      </c>
      <c r="M143" s="141">
        <v>263.22629999999998</v>
      </c>
      <c r="N143" s="141">
        <v>263.19839999999999</v>
      </c>
      <c r="O143" s="141">
        <v>263.16410000000002</v>
      </c>
      <c r="P143" s="141">
        <v>263.16849999999999</v>
      </c>
      <c r="Q143" s="141">
        <v>263.13639999999998</v>
      </c>
      <c r="R143" s="141">
        <v>263.35930000000002</v>
      </c>
      <c r="S143" s="141">
        <v>263.48070000000001</v>
      </c>
      <c r="T143" s="141">
        <v>263.4735</v>
      </c>
      <c r="U143" s="141">
        <v>263.48059999999998</v>
      </c>
      <c r="V143" s="141">
        <v>263.48259999999999</v>
      </c>
      <c r="W143" s="153">
        <v>263.3064</v>
      </c>
      <c r="X143" s="108"/>
      <c r="Y143" s="141">
        <f t="shared" si="20"/>
        <v>263.29538095238092</v>
      </c>
      <c r="Z143" s="141">
        <f t="shared" si="23"/>
        <v>263.63540476190474</v>
      </c>
      <c r="AA143" s="159">
        <f t="shared" si="21"/>
        <v>0.34002380952381372</v>
      </c>
      <c r="AB143" s="171">
        <v>102</v>
      </c>
      <c r="AC143" s="160">
        <f t="shared" si="22"/>
        <v>173.412142857145</v>
      </c>
      <c r="AD143" s="472"/>
    </row>
    <row r="144" spans="1:30" ht="14.25" x14ac:dyDescent="0.45">
      <c r="A144" s="600"/>
      <c r="B144" s="146">
        <v>35</v>
      </c>
      <c r="C144" s="153">
        <v>263.33159999999998</v>
      </c>
      <c r="D144" s="141">
        <v>263.31299999999999</v>
      </c>
      <c r="E144" s="141">
        <v>263.31079999999997</v>
      </c>
      <c r="F144" s="141">
        <v>263.26209999999998</v>
      </c>
      <c r="G144" s="141">
        <v>263.24900000000002</v>
      </c>
      <c r="H144" s="141">
        <v>263.22989999999999</v>
      </c>
      <c r="I144" s="141">
        <v>263.25409999999999</v>
      </c>
      <c r="J144" s="141">
        <v>263.25170000000003</v>
      </c>
      <c r="K144" s="141">
        <v>263.2636</v>
      </c>
      <c r="L144" s="141">
        <v>263.27409999999998</v>
      </c>
      <c r="M144" s="141">
        <v>263.2353</v>
      </c>
      <c r="N144" s="141">
        <v>263.20999999999998</v>
      </c>
      <c r="O144" s="141">
        <v>263.18200000000002</v>
      </c>
      <c r="P144" s="141">
        <v>263.21069999999997</v>
      </c>
      <c r="Q144" s="141">
        <v>263.20170000000002</v>
      </c>
      <c r="R144" s="141">
        <v>263.41849999999999</v>
      </c>
      <c r="S144" s="141">
        <v>263.35090000000002</v>
      </c>
      <c r="T144" s="141">
        <v>263.29829999999998</v>
      </c>
      <c r="U144" s="141">
        <v>263.21690000000001</v>
      </c>
      <c r="V144" s="141">
        <v>263.20819999999998</v>
      </c>
      <c r="W144" s="153">
        <v>262.92259999999999</v>
      </c>
      <c r="X144" s="108"/>
      <c r="Y144" s="141">
        <f t="shared" si="20"/>
        <v>263.24738095238098</v>
      </c>
      <c r="Z144" s="141">
        <f t="shared" si="23"/>
        <v>263.68540476190475</v>
      </c>
      <c r="AA144" s="159">
        <f t="shared" si="21"/>
        <v>0.43802380952377007</v>
      </c>
      <c r="AB144" s="171">
        <v>102</v>
      </c>
      <c r="AC144" s="160">
        <f t="shared" si="22"/>
        <v>223.39214285712274</v>
      </c>
      <c r="AD144" s="472"/>
    </row>
    <row r="145" spans="1:30" ht="14.25" x14ac:dyDescent="0.45">
      <c r="A145" s="600"/>
      <c r="B145" s="146">
        <v>40</v>
      </c>
      <c r="C145" s="153">
        <v>263.32459999999998</v>
      </c>
      <c r="D145" s="141">
        <v>263.33539999999999</v>
      </c>
      <c r="E145" s="141">
        <v>263.34120000000001</v>
      </c>
      <c r="F145" s="141">
        <v>263.2731</v>
      </c>
      <c r="G145" s="141">
        <v>263.25330000000002</v>
      </c>
      <c r="H145" s="141">
        <v>263.24149999999997</v>
      </c>
      <c r="I145" s="141">
        <v>263.27620000000002</v>
      </c>
      <c r="J145" s="141">
        <v>263.23910000000001</v>
      </c>
      <c r="K145" s="141">
        <v>263.23309999999998</v>
      </c>
      <c r="L145" s="141">
        <v>263.2527</v>
      </c>
      <c r="M145" s="141">
        <v>263.23509999999999</v>
      </c>
      <c r="N145" s="141">
        <v>263.22379999999998</v>
      </c>
      <c r="O145" s="141">
        <v>263.21420000000001</v>
      </c>
      <c r="P145" s="141">
        <v>263.19839999999999</v>
      </c>
      <c r="Q145" s="141">
        <v>263.1567</v>
      </c>
      <c r="R145" s="141">
        <v>263.09399999999999</v>
      </c>
      <c r="S145" s="141">
        <v>263.38040000000001</v>
      </c>
      <c r="T145" s="141">
        <v>263.30200000000002</v>
      </c>
      <c r="U145" s="141">
        <v>263.29880000000003</v>
      </c>
      <c r="V145" s="141">
        <v>263.30669999999998</v>
      </c>
      <c r="W145" s="153">
        <v>263.2167</v>
      </c>
      <c r="X145" s="108"/>
      <c r="Y145" s="141">
        <f t="shared" si="20"/>
        <v>263.25699999999995</v>
      </c>
      <c r="Z145" s="141">
        <f t="shared" si="23"/>
        <v>263.73540476190476</v>
      </c>
      <c r="AA145" s="159">
        <f t="shared" si="21"/>
        <v>0.4784047619048124</v>
      </c>
      <c r="AB145" s="171">
        <v>102</v>
      </c>
      <c r="AC145" s="160">
        <f t="shared" si="22"/>
        <v>243.98642857145433</v>
      </c>
      <c r="AD145" s="472"/>
    </row>
    <row r="146" spans="1:30" ht="14.25" x14ac:dyDescent="0.45">
      <c r="A146" s="600"/>
      <c r="B146" s="146">
        <v>45</v>
      </c>
      <c r="C146" s="153">
        <v>263.31540000000001</v>
      </c>
      <c r="D146" s="141">
        <v>263.30889999999999</v>
      </c>
      <c r="E146" s="141">
        <v>263.31830000000002</v>
      </c>
      <c r="F146" s="141">
        <v>263.26949999999999</v>
      </c>
      <c r="G146" s="141">
        <v>263.29919999999998</v>
      </c>
      <c r="H146" s="141">
        <v>263.26499999999999</v>
      </c>
      <c r="I146" s="141">
        <v>263.26729999999998</v>
      </c>
      <c r="J146" s="141">
        <v>263.2593</v>
      </c>
      <c r="K146" s="141">
        <v>263.2559</v>
      </c>
      <c r="L146" s="141">
        <v>263.25119999999998</v>
      </c>
      <c r="M146" s="141">
        <v>263.22430000000003</v>
      </c>
      <c r="N146" s="141">
        <v>263.22829999999999</v>
      </c>
      <c r="O146" s="141">
        <v>263.21460000000002</v>
      </c>
      <c r="P146" s="141">
        <v>263.1995</v>
      </c>
      <c r="Q146" s="141">
        <v>263.2174</v>
      </c>
      <c r="R146" s="141">
        <v>263.30149999999998</v>
      </c>
      <c r="S146" s="141">
        <v>263.38740000000001</v>
      </c>
      <c r="T146" s="141">
        <v>263.32240000000002</v>
      </c>
      <c r="U146" s="141">
        <v>263.19009999999997</v>
      </c>
      <c r="V146" s="141">
        <v>263.053</v>
      </c>
      <c r="W146" s="153">
        <v>263.14150000000001</v>
      </c>
      <c r="X146" s="108"/>
      <c r="Y146" s="141">
        <f t="shared" si="20"/>
        <v>263.25190476190471</v>
      </c>
      <c r="Z146" s="141">
        <f>Z147-5/100</f>
        <v>263.78540476190477</v>
      </c>
      <c r="AA146" s="159">
        <f t="shared" si="21"/>
        <v>0.53350000000006048</v>
      </c>
      <c r="AB146" s="171">
        <v>102</v>
      </c>
      <c r="AC146" s="160">
        <f t="shared" si="22"/>
        <v>272.08500000003085</v>
      </c>
      <c r="AD146" s="472"/>
    </row>
    <row r="147" spans="1:30" ht="14.25" x14ac:dyDescent="0.45">
      <c r="A147" s="600"/>
      <c r="B147" s="146">
        <v>50</v>
      </c>
      <c r="C147" s="153">
        <v>263.35860000000002</v>
      </c>
      <c r="D147" s="141">
        <v>263.33960000000002</v>
      </c>
      <c r="E147" s="141">
        <v>263.32409999999999</v>
      </c>
      <c r="F147" s="141">
        <v>263.30709999999999</v>
      </c>
      <c r="G147" s="141">
        <v>263.27190000000002</v>
      </c>
      <c r="H147" s="141">
        <v>263.27</v>
      </c>
      <c r="I147" s="141">
        <v>263.25479999999999</v>
      </c>
      <c r="J147" s="141">
        <v>263.25560000000002</v>
      </c>
      <c r="K147" s="141">
        <v>263.26319999999998</v>
      </c>
      <c r="L147" s="141">
        <v>263.26499999999999</v>
      </c>
      <c r="M147" s="141">
        <v>263.25</v>
      </c>
      <c r="N147" s="141">
        <v>263.26569999999998</v>
      </c>
      <c r="O147" s="141">
        <v>263.24700000000001</v>
      </c>
      <c r="P147" s="141">
        <v>263.21550000000002</v>
      </c>
      <c r="Q147" s="141">
        <v>263.18680000000001</v>
      </c>
      <c r="R147" s="141">
        <v>263.39999999999998</v>
      </c>
      <c r="S147" s="141">
        <v>263.33350000000002</v>
      </c>
      <c r="T147" s="141">
        <v>263.19119999999998</v>
      </c>
      <c r="U147" s="141">
        <v>263.17950000000002</v>
      </c>
      <c r="V147" s="141">
        <v>263.13959999999997</v>
      </c>
      <c r="W147" s="153">
        <v>263.17079999999999</v>
      </c>
      <c r="X147" s="124"/>
      <c r="Y147" s="167">
        <f t="shared" si="20"/>
        <v>263.26140476190477</v>
      </c>
      <c r="Z147" s="167">
        <f>Y147+0.5-0.001+0.075</f>
        <v>263.83540476190478</v>
      </c>
      <c r="AA147" s="159">
        <f t="shared" si="21"/>
        <v>0.57400000000001228</v>
      </c>
      <c r="AB147" s="173">
        <v>102</v>
      </c>
      <c r="AC147" s="160">
        <f t="shared" si="22"/>
        <v>292.74000000000626</v>
      </c>
      <c r="AD147" s="472"/>
    </row>
    <row r="148" spans="1:30" ht="14.25" x14ac:dyDescent="0.45">
      <c r="A148" s="600"/>
      <c r="B148" s="146">
        <v>55</v>
      </c>
      <c r="C148" s="153">
        <v>263.34789999999998</v>
      </c>
      <c r="D148" s="141">
        <v>263.32690000000002</v>
      </c>
      <c r="E148" s="141">
        <v>263.3587</v>
      </c>
      <c r="F148" s="141">
        <v>263.29070000000002</v>
      </c>
      <c r="G148" s="141">
        <v>263.28070000000002</v>
      </c>
      <c r="H148" s="141">
        <v>263.27539999999999</v>
      </c>
      <c r="I148" s="141">
        <v>263.22980000000001</v>
      </c>
      <c r="J148" s="141">
        <v>263.25740000000002</v>
      </c>
      <c r="K148" s="141">
        <v>263.27980000000002</v>
      </c>
      <c r="L148" s="141">
        <v>263.28379999999999</v>
      </c>
      <c r="M148" s="141">
        <v>263.24059999999997</v>
      </c>
      <c r="N148" s="141">
        <v>263.27330000000001</v>
      </c>
      <c r="O148" s="141">
        <v>263.2842</v>
      </c>
      <c r="P148" s="141">
        <v>263.23540000000003</v>
      </c>
      <c r="Q148" s="141">
        <v>263.21550000000002</v>
      </c>
      <c r="R148" s="141">
        <v>263.3553</v>
      </c>
      <c r="S148" s="141">
        <v>263.31049999999999</v>
      </c>
      <c r="T148" s="141">
        <v>263.34710000000001</v>
      </c>
      <c r="U148" s="141">
        <v>263.23379999999997</v>
      </c>
      <c r="V148" s="141">
        <v>263.21100000000001</v>
      </c>
      <c r="W148" s="153">
        <v>263.2253</v>
      </c>
      <c r="X148" s="108"/>
      <c r="Y148" s="141">
        <f t="shared" si="20"/>
        <v>263.27919523809527</v>
      </c>
      <c r="Z148" s="141">
        <f>Z147-5/100</f>
        <v>263.78540476190477</v>
      </c>
      <c r="AA148" s="159">
        <f t="shared" si="21"/>
        <v>0.50620952380950257</v>
      </c>
      <c r="AB148" s="171">
        <v>102</v>
      </c>
      <c r="AC148" s="160">
        <f t="shared" si="22"/>
        <v>258.16685714284631</v>
      </c>
      <c r="AD148" s="472"/>
    </row>
    <row r="149" spans="1:30" ht="14.25" x14ac:dyDescent="0.45">
      <c r="A149" s="600"/>
      <c r="B149" s="146">
        <v>60</v>
      </c>
      <c r="C149" s="153">
        <v>263.34089999999998</v>
      </c>
      <c r="D149" s="141">
        <v>263.334</v>
      </c>
      <c r="E149" s="141">
        <v>263.34589999999997</v>
      </c>
      <c r="F149" s="141">
        <v>263.30430000000001</v>
      </c>
      <c r="G149" s="141">
        <v>263.28769999999997</v>
      </c>
      <c r="H149" s="141">
        <v>263.29930000000002</v>
      </c>
      <c r="I149" s="141">
        <v>263.26749999999998</v>
      </c>
      <c r="J149" s="141">
        <v>263.25799999999998</v>
      </c>
      <c r="K149" s="141">
        <v>263.27190000000002</v>
      </c>
      <c r="L149" s="141">
        <v>263.27</v>
      </c>
      <c r="M149" s="141">
        <v>263.23570000000001</v>
      </c>
      <c r="N149" s="141">
        <v>263.23410000000001</v>
      </c>
      <c r="O149" s="141">
        <v>263.26280000000003</v>
      </c>
      <c r="P149" s="141">
        <v>263.26170000000002</v>
      </c>
      <c r="Q149" s="141">
        <v>263.27429999999998</v>
      </c>
      <c r="R149" s="141">
        <v>263.4597</v>
      </c>
      <c r="S149" s="141">
        <v>263.44260000000003</v>
      </c>
      <c r="T149" s="141">
        <v>263.2595</v>
      </c>
      <c r="U149" s="141">
        <v>263.32810000000001</v>
      </c>
      <c r="V149" s="141">
        <v>263.233</v>
      </c>
      <c r="W149" s="153">
        <v>263.23649999999998</v>
      </c>
      <c r="X149" s="108"/>
      <c r="Y149" s="141">
        <f t="shared" si="20"/>
        <v>263.29559523809525</v>
      </c>
      <c r="Z149" s="141">
        <f t="shared" ref="Z149:Z157" si="24">Z148-5/100</f>
        <v>263.73540476190476</v>
      </c>
      <c r="AA149" s="159">
        <f t="shared" si="21"/>
        <v>0.43980952380951521</v>
      </c>
      <c r="AB149" s="171">
        <v>102</v>
      </c>
      <c r="AC149" s="160">
        <f t="shared" si="22"/>
        <v>224.30285714285276</v>
      </c>
      <c r="AD149" s="472"/>
    </row>
    <row r="150" spans="1:30" ht="14.25" x14ac:dyDescent="0.45">
      <c r="A150" s="600"/>
      <c r="B150" s="146">
        <v>65</v>
      </c>
      <c r="C150" s="153">
        <v>263.33089999999999</v>
      </c>
      <c r="D150" s="141">
        <v>263.34190000000001</v>
      </c>
      <c r="E150" s="141">
        <v>263.34249999999997</v>
      </c>
      <c r="F150" s="141">
        <v>263.28100000000001</v>
      </c>
      <c r="G150" s="141">
        <v>263.25749999999999</v>
      </c>
      <c r="H150" s="141">
        <v>263.26459999999997</v>
      </c>
      <c r="I150" s="141">
        <v>263.28590000000003</v>
      </c>
      <c r="J150" s="141">
        <v>263.27319999999997</v>
      </c>
      <c r="K150" s="141">
        <v>263.25700000000001</v>
      </c>
      <c r="L150" s="141">
        <v>263.22680000000003</v>
      </c>
      <c r="M150" s="141">
        <v>263.20280000000002</v>
      </c>
      <c r="N150" s="141">
        <v>263.20859999999999</v>
      </c>
      <c r="O150" s="141">
        <v>263.24880000000002</v>
      </c>
      <c r="P150" s="141">
        <v>263.25310000000002</v>
      </c>
      <c r="Q150" s="141">
        <v>263.29219999999998</v>
      </c>
      <c r="R150" s="141">
        <v>263.42840000000001</v>
      </c>
      <c r="S150" s="141">
        <v>263.37009999999998</v>
      </c>
      <c r="T150" s="141">
        <v>263.29840000000002</v>
      </c>
      <c r="U150" s="141">
        <v>263.24040000000002</v>
      </c>
      <c r="V150" s="141">
        <v>263.20839999999998</v>
      </c>
      <c r="W150" s="153">
        <v>263.22770000000003</v>
      </c>
      <c r="X150" s="108"/>
      <c r="Y150" s="141">
        <f t="shared" si="20"/>
        <v>263.27810476190473</v>
      </c>
      <c r="Z150" s="141">
        <f t="shared" si="24"/>
        <v>263.68540476190475</v>
      </c>
      <c r="AA150" s="159">
        <f t="shared" si="21"/>
        <v>0.40730000000002065</v>
      </c>
      <c r="AB150" s="171">
        <v>102</v>
      </c>
      <c r="AC150" s="160">
        <f t="shared" si="22"/>
        <v>207.72300000001053</v>
      </c>
      <c r="AD150" s="472"/>
    </row>
    <row r="151" spans="1:30" ht="14.25" x14ac:dyDescent="0.45">
      <c r="A151" s="600"/>
      <c r="B151" s="146">
        <v>70</v>
      </c>
      <c r="C151" s="153">
        <v>263.33069999999998</v>
      </c>
      <c r="D151" s="141">
        <v>263.33300000000003</v>
      </c>
      <c r="E151" s="141">
        <v>263.32850000000002</v>
      </c>
      <c r="F151" s="141">
        <v>263.27789999999999</v>
      </c>
      <c r="G151" s="141">
        <v>263.26589999999999</v>
      </c>
      <c r="H151" s="141">
        <v>263.28140000000002</v>
      </c>
      <c r="I151" s="141">
        <v>263.27460000000002</v>
      </c>
      <c r="J151" s="141">
        <v>263.26830000000001</v>
      </c>
      <c r="K151" s="141">
        <v>263.27569999999997</v>
      </c>
      <c r="L151" s="141">
        <v>263.23570000000001</v>
      </c>
      <c r="M151" s="141">
        <v>263.20569999999998</v>
      </c>
      <c r="N151" s="141">
        <v>263.18700000000001</v>
      </c>
      <c r="O151" s="141">
        <v>263.24720000000002</v>
      </c>
      <c r="P151" s="141">
        <v>263.25689999999997</v>
      </c>
      <c r="Q151" s="141">
        <v>263.24610000000001</v>
      </c>
      <c r="R151" s="141">
        <v>263.31650000000002</v>
      </c>
      <c r="S151" s="141">
        <v>263.33949999999999</v>
      </c>
      <c r="T151" s="141">
        <v>263.31</v>
      </c>
      <c r="U151" s="141">
        <v>263.3005</v>
      </c>
      <c r="V151" s="141">
        <v>263.2081</v>
      </c>
      <c r="W151" s="153">
        <v>263.226</v>
      </c>
      <c r="X151" s="108"/>
      <c r="Y151" s="141">
        <f t="shared" si="20"/>
        <v>263.27215238095243</v>
      </c>
      <c r="Z151" s="141">
        <f t="shared" si="24"/>
        <v>263.63540476190474</v>
      </c>
      <c r="AA151" s="159">
        <f t="shared" si="21"/>
        <v>0.36325238095230361</v>
      </c>
      <c r="AB151" s="171">
        <v>102</v>
      </c>
      <c r="AC151" s="160">
        <f t="shared" si="22"/>
        <v>185.25871428567484</v>
      </c>
      <c r="AD151" s="472"/>
    </row>
    <row r="152" spans="1:30" ht="14.25" x14ac:dyDescent="0.45">
      <c r="A152" s="600"/>
      <c r="B152" s="146">
        <v>75</v>
      </c>
      <c r="C152" s="153">
        <v>263.38490000000002</v>
      </c>
      <c r="D152" s="141">
        <v>263.37990000000002</v>
      </c>
      <c r="E152" s="141">
        <v>263.36540000000002</v>
      </c>
      <c r="F152" s="141">
        <v>263.31540000000001</v>
      </c>
      <c r="G152" s="141">
        <v>263.32010000000002</v>
      </c>
      <c r="H152" s="141">
        <v>263.35669999999999</v>
      </c>
      <c r="I152" s="141">
        <v>263.33159999999998</v>
      </c>
      <c r="J152" s="141">
        <v>263.3168</v>
      </c>
      <c r="K152" s="141">
        <v>263.3005</v>
      </c>
      <c r="L152" s="141">
        <v>263.30180000000001</v>
      </c>
      <c r="M152" s="141">
        <v>263.29410000000001</v>
      </c>
      <c r="N152" s="141">
        <v>263.29480000000001</v>
      </c>
      <c r="O152" s="141">
        <v>263.28590000000003</v>
      </c>
      <c r="P152" s="141">
        <v>263.27749999999997</v>
      </c>
      <c r="Q152" s="141">
        <v>263.29590000000002</v>
      </c>
      <c r="R152" s="141">
        <v>263.29570000000001</v>
      </c>
      <c r="S152" s="141">
        <v>263.3546</v>
      </c>
      <c r="T152" s="141">
        <v>263.26260000000002</v>
      </c>
      <c r="U152" s="141">
        <v>263.23140000000001</v>
      </c>
      <c r="V152" s="141">
        <v>263.31389999999999</v>
      </c>
      <c r="W152" s="153">
        <v>263.2029</v>
      </c>
      <c r="X152" s="108"/>
      <c r="Y152" s="141">
        <f t="shared" si="20"/>
        <v>263.30868571428573</v>
      </c>
      <c r="Z152" s="141">
        <f t="shared" si="24"/>
        <v>263.58540476190473</v>
      </c>
      <c r="AA152" s="159">
        <f t="shared" si="21"/>
        <v>0.27671904761899668</v>
      </c>
      <c r="AB152" s="171">
        <v>102</v>
      </c>
      <c r="AC152" s="160">
        <f t="shared" si="22"/>
        <v>141.12671428568831</v>
      </c>
      <c r="AD152" s="472"/>
    </row>
    <row r="153" spans="1:30" ht="14.25" x14ac:dyDescent="0.45">
      <c r="A153" s="600"/>
      <c r="B153" s="146">
        <v>80</v>
      </c>
      <c r="C153" s="153">
        <v>263.44110000000001</v>
      </c>
      <c r="D153" s="141">
        <v>263.4033</v>
      </c>
      <c r="E153" s="141">
        <v>263.38319999999999</v>
      </c>
      <c r="F153" s="141">
        <v>263.42610000000002</v>
      </c>
      <c r="G153" s="141">
        <v>263.39850000000001</v>
      </c>
      <c r="H153" s="141">
        <v>263.40429999999998</v>
      </c>
      <c r="I153" s="141">
        <v>263.30840000000001</v>
      </c>
      <c r="J153" s="141">
        <v>263.30560000000003</v>
      </c>
      <c r="K153" s="141">
        <v>263.31040000000002</v>
      </c>
      <c r="L153" s="141">
        <v>263.30500000000001</v>
      </c>
      <c r="M153" s="141">
        <v>263.2921</v>
      </c>
      <c r="N153" s="141">
        <v>263.28109999999998</v>
      </c>
      <c r="O153" s="141">
        <v>263.31889999999999</v>
      </c>
      <c r="P153" s="141">
        <v>263.29320000000001</v>
      </c>
      <c r="Q153" s="141">
        <v>263.33659999999998</v>
      </c>
      <c r="R153" s="141">
        <v>263.30959999999999</v>
      </c>
      <c r="S153" s="141">
        <v>263.48169999999999</v>
      </c>
      <c r="T153" s="141">
        <v>263.32940000000002</v>
      </c>
      <c r="U153" s="141">
        <v>263.21719999999999</v>
      </c>
      <c r="V153" s="141">
        <v>263.12849999999997</v>
      </c>
      <c r="W153" s="153">
        <v>263.17149999999998</v>
      </c>
      <c r="X153" s="108"/>
      <c r="Y153" s="141">
        <f t="shared" si="20"/>
        <v>263.32598571428571</v>
      </c>
      <c r="Z153" s="141">
        <f t="shared" si="24"/>
        <v>263.53540476190472</v>
      </c>
      <c r="AA153" s="159">
        <f t="shared" si="21"/>
        <v>0.20941904761900787</v>
      </c>
      <c r="AB153" s="171">
        <v>102</v>
      </c>
      <c r="AC153" s="160">
        <f t="shared" si="22"/>
        <v>106.80371428569401</v>
      </c>
      <c r="AD153" s="472"/>
    </row>
    <row r="154" spans="1:30" ht="14.25" x14ac:dyDescent="0.45">
      <c r="A154" s="600"/>
      <c r="B154" s="146">
        <v>85</v>
      </c>
      <c r="C154" s="153">
        <v>263.43329999999997</v>
      </c>
      <c r="D154" s="141">
        <v>263.42180000000002</v>
      </c>
      <c r="E154" s="141">
        <v>263.40320000000003</v>
      </c>
      <c r="F154" s="141">
        <v>263.41649999999998</v>
      </c>
      <c r="G154" s="141">
        <v>263.42500000000001</v>
      </c>
      <c r="H154" s="141">
        <v>263.41640000000001</v>
      </c>
      <c r="I154" s="141">
        <v>263.322</v>
      </c>
      <c r="J154" s="141">
        <v>263.31470000000002</v>
      </c>
      <c r="K154" s="141">
        <v>263.31479999999999</v>
      </c>
      <c r="L154" s="141">
        <v>263.30919999999998</v>
      </c>
      <c r="M154" s="141">
        <v>263.3057</v>
      </c>
      <c r="N154" s="141">
        <v>263.30079999999998</v>
      </c>
      <c r="O154" s="141">
        <v>263.28609999999998</v>
      </c>
      <c r="P154" s="141">
        <v>263.26209999999998</v>
      </c>
      <c r="Q154" s="141">
        <v>263.3039</v>
      </c>
      <c r="R154" s="141">
        <v>263.16699999999997</v>
      </c>
      <c r="S154" s="141">
        <v>263.23219999999998</v>
      </c>
      <c r="T154" s="141">
        <v>263.16469999999998</v>
      </c>
      <c r="U154" s="141">
        <v>263.23399999999998</v>
      </c>
      <c r="V154" s="141">
        <v>263.16640000000001</v>
      </c>
      <c r="W154" s="153">
        <v>263.16129999999998</v>
      </c>
      <c r="X154" s="108"/>
      <c r="Y154" s="141">
        <f t="shared" si="20"/>
        <v>263.30290952380955</v>
      </c>
      <c r="Z154" s="141">
        <f t="shared" si="24"/>
        <v>263.4854047619047</v>
      </c>
      <c r="AA154" s="159">
        <f t="shared" si="21"/>
        <v>0.18249523809515722</v>
      </c>
      <c r="AB154" s="171">
        <v>102</v>
      </c>
      <c r="AC154" s="160">
        <f t="shared" si="22"/>
        <v>93.072571428530182</v>
      </c>
      <c r="AD154" s="472"/>
    </row>
    <row r="155" spans="1:30" ht="14.25" x14ac:dyDescent="0.45">
      <c r="A155" s="600"/>
      <c r="B155" s="146">
        <v>90</v>
      </c>
      <c r="C155" s="153">
        <v>263.43430000000001</v>
      </c>
      <c r="D155" s="141">
        <v>263.44760000000002</v>
      </c>
      <c r="E155" s="141">
        <v>263.44310000000002</v>
      </c>
      <c r="F155" s="141">
        <v>263.44290000000001</v>
      </c>
      <c r="G155" s="141">
        <v>263.44349999999997</v>
      </c>
      <c r="H155" s="141">
        <v>263.45499999999998</v>
      </c>
      <c r="I155" s="141">
        <v>263.3329</v>
      </c>
      <c r="J155" s="141">
        <v>263.32900000000001</v>
      </c>
      <c r="K155" s="141">
        <v>263.3175</v>
      </c>
      <c r="L155" s="141">
        <v>263.32810000000001</v>
      </c>
      <c r="M155" s="141">
        <v>263.31349999999998</v>
      </c>
      <c r="N155" s="141">
        <v>263.31119999999999</v>
      </c>
      <c r="O155" s="141">
        <v>263.29430000000002</v>
      </c>
      <c r="P155" s="141">
        <v>263.27730000000003</v>
      </c>
      <c r="Q155" s="141">
        <v>263.298</v>
      </c>
      <c r="R155" s="141">
        <v>263.25569999999999</v>
      </c>
      <c r="S155" s="141">
        <v>263.38200000000001</v>
      </c>
      <c r="T155" s="141">
        <v>263.31040000000002</v>
      </c>
      <c r="U155" s="141">
        <v>263.3331</v>
      </c>
      <c r="V155" s="141">
        <v>263.3306</v>
      </c>
      <c r="W155" s="153">
        <v>263.2946</v>
      </c>
      <c r="X155" s="108"/>
      <c r="Y155" s="141">
        <f t="shared" si="20"/>
        <v>263.35117142857143</v>
      </c>
      <c r="Z155" s="141">
        <f t="shared" si="24"/>
        <v>263.43540476190469</v>
      </c>
      <c r="AA155" s="159">
        <f t="shared" si="21"/>
        <v>8.4233333333258997E-2</v>
      </c>
      <c r="AB155" s="171">
        <v>102</v>
      </c>
      <c r="AC155" s="160">
        <f t="shared" si="22"/>
        <v>42.958999999962089</v>
      </c>
      <c r="AD155" s="472"/>
    </row>
    <row r="156" spans="1:30" ht="14.25" x14ac:dyDescent="0.45">
      <c r="A156" s="600"/>
      <c r="B156" s="146">
        <v>95</v>
      </c>
      <c r="C156" s="153">
        <v>263.435</v>
      </c>
      <c r="D156" s="141">
        <v>263.46510000000001</v>
      </c>
      <c r="E156" s="141">
        <v>263.43459999999999</v>
      </c>
      <c r="F156" s="141">
        <v>263.43779999999998</v>
      </c>
      <c r="G156" s="141">
        <v>263.46260000000001</v>
      </c>
      <c r="H156" s="141">
        <v>263.48110000000003</v>
      </c>
      <c r="I156" s="141">
        <v>263.35829999999999</v>
      </c>
      <c r="J156" s="141">
        <v>263.32850000000002</v>
      </c>
      <c r="K156" s="141">
        <v>263.32440000000003</v>
      </c>
      <c r="L156" s="141">
        <v>263.34460000000001</v>
      </c>
      <c r="M156" s="141">
        <v>263.33859999999999</v>
      </c>
      <c r="N156" s="141">
        <v>263.31889999999999</v>
      </c>
      <c r="O156" s="141">
        <v>263.31479999999999</v>
      </c>
      <c r="P156" s="141">
        <v>263.2971</v>
      </c>
      <c r="Q156" s="141">
        <v>263.28570000000002</v>
      </c>
      <c r="R156" s="141">
        <v>263.32389999999998</v>
      </c>
      <c r="S156" s="141">
        <v>263.28399999999999</v>
      </c>
      <c r="T156" s="141">
        <v>263.29520000000002</v>
      </c>
      <c r="U156" s="141">
        <v>263.23390000000001</v>
      </c>
      <c r="V156" s="141">
        <v>263.274</v>
      </c>
      <c r="W156" s="153">
        <v>263.26029999999997</v>
      </c>
      <c r="X156" s="108"/>
      <c r="Y156" s="141">
        <f t="shared" si="20"/>
        <v>263.34754285714286</v>
      </c>
      <c r="Z156" s="141">
        <f t="shared" si="24"/>
        <v>263.38540476190468</v>
      </c>
      <c r="AA156" s="159">
        <f t="shared" si="21"/>
        <v>3.7861904761825826E-2</v>
      </c>
      <c r="AB156" s="171">
        <v>102</v>
      </c>
      <c r="AC156" s="160">
        <f t="shared" si="22"/>
        <v>19.309571428531171</v>
      </c>
      <c r="AD156" s="472"/>
    </row>
    <row r="157" spans="1:30" ht="14.25" x14ac:dyDescent="0.45">
      <c r="A157" s="601"/>
      <c r="B157" s="148">
        <v>100</v>
      </c>
      <c r="C157" s="154">
        <v>263.44200000000001</v>
      </c>
      <c r="D157" s="154">
        <v>263.47379999999998</v>
      </c>
      <c r="E157" s="154">
        <v>263.46050000000002</v>
      </c>
      <c r="F157" s="154">
        <v>263.45139999999998</v>
      </c>
      <c r="G157" s="154">
        <v>263.47399999999999</v>
      </c>
      <c r="H157" s="154">
        <v>263.47620000000001</v>
      </c>
      <c r="I157" s="154">
        <v>263.35239999999999</v>
      </c>
      <c r="J157" s="154">
        <v>263.35390000000001</v>
      </c>
      <c r="K157" s="154">
        <v>263.3297</v>
      </c>
      <c r="L157" s="154">
        <v>263.34589999999997</v>
      </c>
      <c r="M157" s="154">
        <v>263.35180000000003</v>
      </c>
      <c r="N157" s="154">
        <v>263.32299999999998</v>
      </c>
      <c r="O157" s="154">
        <v>263.34249999999997</v>
      </c>
      <c r="P157" s="154">
        <v>263.32600000000002</v>
      </c>
      <c r="Q157" s="154">
        <v>263.31740000000002</v>
      </c>
      <c r="R157" s="154">
        <v>263.3503</v>
      </c>
      <c r="S157" s="154">
        <v>263.14449999999999</v>
      </c>
      <c r="T157" s="154">
        <v>263.14069999999998</v>
      </c>
      <c r="U157" s="154">
        <v>263.18869999999998</v>
      </c>
      <c r="V157" s="154">
        <v>263.32150000000001</v>
      </c>
      <c r="W157" s="154">
        <v>263.21379999999999</v>
      </c>
      <c r="X157" s="117"/>
      <c r="Y157" s="142">
        <f t="shared" si="20"/>
        <v>263.3419047619048</v>
      </c>
      <c r="Z157" s="142">
        <f t="shared" si="24"/>
        <v>263.33540476190467</v>
      </c>
      <c r="AA157" s="159">
        <f t="shared" si="21"/>
        <v>-6.5000000001305125E-3</v>
      </c>
      <c r="AB157" s="174">
        <v>102</v>
      </c>
      <c r="AC157" s="162">
        <f t="shared" si="22"/>
        <v>-3.3150000000665614</v>
      </c>
      <c r="AD157" s="112">
        <f>SUM(AC137:AC157)</f>
        <v>2639.8255714281181</v>
      </c>
    </row>
    <row r="158" spans="1:30" ht="14.25" x14ac:dyDescent="0.45">
      <c r="A158" s="599" t="s">
        <v>31</v>
      </c>
      <c r="B158" s="147">
        <v>0</v>
      </c>
      <c r="C158" s="151">
        <v>263.8494</v>
      </c>
      <c r="D158" s="151">
        <v>263.74009999999998</v>
      </c>
      <c r="E158" s="151">
        <v>263.72859999999997</v>
      </c>
      <c r="F158" s="151">
        <v>263.96890000000002</v>
      </c>
      <c r="G158" s="151">
        <v>263.93360000000001</v>
      </c>
      <c r="H158" s="151">
        <v>263.70979999999997</v>
      </c>
      <c r="I158" s="151">
        <v>263.73309999999998</v>
      </c>
      <c r="J158" s="151">
        <v>263.88529999999997</v>
      </c>
      <c r="K158" s="151">
        <v>263.82339999999999</v>
      </c>
      <c r="L158" s="151">
        <v>263.75479999999999</v>
      </c>
      <c r="M158" s="151">
        <v>263.75049999999999</v>
      </c>
      <c r="N158" s="151">
        <v>263.8159</v>
      </c>
      <c r="O158" s="151">
        <v>263.88279999999997</v>
      </c>
      <c r="P158" s="151">
        <v>263.7996</v>
      </c>
      <c r="Q158" s="151">
        <v>263.82310000000001</v>
      </c>
      <c r="R158" s="151">
        <v>263.76749999999998</v>
      </c>
      <c r="S158" s="151">
        <v>263.69619999999998</v>
      </c>
      <c r="T158" s="151">
        <v>263.81849999999997</v>
      </c>
      <c r="U158" s="151">
        <v>263.72399999999999</v>
      </c>
      <c r="V158" s="151">
        <v>263.71929999999998</v>
      </c>
      <c r="W158" s="151">
        <v>263.62889999999999</v>
      </c>
      <c r="X158" s="116"/>
      <c r="Y158" s="140">
        <f t="shared" si="20"/>
        <v>263.78825238095243</v>
      </c>
      <c r="Z158" s="140">
        <f t="shared" ref="Z158:Z163" si="25">Z159-5/100</f>
        <v>263.58983809523795</v>
      </c>
      <c r="AA158" s="159">
        <f t="shared" si="21"/>
        <v>-0.1984142857144775</v>
      </c>
      <c r="AB158" s="172">
        <v>102</v>
      </c>
      <c r="AC158" s="158">
        <f t="shared" si="22"/>
        <v>-101.19128571438353</v>
      </c>
      <c r="AD158" s="472"/>
    </row>
    <row r="159" spans="1:30" ht="14.25" x14ac:dyDescent="0.45">
      <c r="A159" s="600"/>
      <c r="B159" s="146">
        <v>5</v>
      </c>
      <c r="C159" s="153">
        <v>263.66129999999998</v>
      </c>
      <c r="D159" s="141">
        <v>263.745</v>
      </c>
      <c r="E159" s="141">
        <v>263.75510000000003</v>
      </c>
      <c r="F159" s="141">
        <v>263.9171</v>
      </c>
      <c r="G159" s="141">
        <v>263.92360000000002</v>
      </c>
      <c r="H159" s="141">
        <v>263.86669999999998</v>
      </c>
      <c r="I159" s="141">
        <v>263.94439999999997</v>
      </c>
      <c r="J159" s="141">
        <v>264.0258</v>
      </c>
      <c r="K159" s="141">
        <v>264.1019</v>
      </c>
      <c r="L159" s="141">
        <v>264.03039999999999</v>
      </c>
      <c r="M159" s="141">
        <v>263.78399999999999</v>
      </c>
      <c r="N159" s="141">
        <v>263.68810000000002</v>
      </c>
      <c r="O159" s="141">
        <v>263.6909</v>
      </c>
      <c r="P159" s="141">
        <v>263.78710000000001</v>
      </c>
      <c r="Q159" s="141">
        <v>263.72019999999998</v>
      </c>
      <c r="R159" s="141">
        <v>263.65690000000001</v>
      </c>
      <c r="S159" s="141">
        <v>263.68700000000001</v>
      </c>
      <c r="T159" s="141">
        <v>263.72649999999999</v>
      </c>
      <c r="U159" s="141">
        <v>263.56810000000002</v>
      </c>
      <c r="V159" s="141">
        <v>263.61939999999998</v>
      </c>
      <c r="W159" s="153">
        <v>263.60469999999998</v>
      </c>
      <c r="X159" s="108"/>
      <c r="Y159" s="141">
        <f t="shared" si="20"/>
        <v>263.78591428571428</v>
      </c>
      <c r="Z159" s="141">
        <f t="shared" si="25"/>
        <v>263.63983809523796</v>
      </c>
      <c r="AA159" s="159">
        <f t="shared" si="21"/>
        <v>-0.1460761904763217</v>
      </c>
      <c r="AB159" s="171">
        <v>102</v>
      </c>
      <c r="AC159" s="160">
        <f t="shared" si="22"/>
        <v>-74.498857142924066</v>
      </c>
      <c r="AD159" s="472"/>
    </row>
    <row r="160" spans="1:30" ht="14.25" x14ac:dyDescent="0.45">
      <c r="A160" s="600"/>
      <c r="B160" s="146">
        <v>10</v>
      </c>
      <c r="C160" s="153">
        <v>263.6771</v>
      </c>
      <c r="D160" s="141">
        <v>263.67399999999998</v>
      </c>
      <c r="E160" s="141">
        <v>263.76620000000003</v>
      </c>
      <c r="F160" s="141">
        <v>263.90879999999999</v>
      </c>
      <c r="G160" s="141">
        <v>263.79219999999998</v>
      </c>
      <c r="H160" s="141">
        <v>263.78660000000002</v>
      </c>
      <c r="I160" s="141">
        <v>264.07389999999998</v>
      </c>
      <c r="J160" s="141">
        <v>264.01519999999999</v>
      </c>
      <c r="K160" s="141">
        <v>264.02260000000001</v>
      </c>
      <c r="L160" s="141">
        <v>263.97629999999998</v>
      </c>
      <c r="M160" s="141">
        <v>263.96449999999999</v>
      </c>
      <c r="N160" s="141">
        <v>263.70609999999999</v>
      </c>
      <c r="O160" s="141">
        <v>263.61189999999999</v>
      </c>
      <c r="P160" s="141">
        <v>263.5677</v>
      </c>
      <c r="Q160" s="141">
        <v>263.68790000000001</v>
      </c>
      <c r="R160" s="141">
        <v>263.72250000000003</v>
      </c>
      <c r="S160" s="141">
        <v>263.6583</v>
      </c>
      <c r="T160" s="141">
        <v>263.678</v>
      </c>
      <c r="U160" s="141">
        <v>263.76569999999998</v>
      </c>
      <c r="V160" s="141">
        <v>263.71129999999999</v>
      </c>
      <c r="W160" s="153">
        <v>263.55520000000001</v>
      </c>
      <c r="X160" s="108"/>
      <c r="Y160" s="141">
        <f t="shared" si="20"/>
        <v>263.77723809523803</v>
      </c>
      <c r="Z160" s="141">
        <f t="shared" si="25"/>
        <v>263.68983809523797</v>
      </c>
      <c r="AA160" s="159">
        <f t="shared" si="21"/>
        <v>-8.7400000000059208E-2</v>
      </c>
      <c r="AB160" s="171">
        <v>102</v>
      </c>
      <c r="AC160" s="160">
        <f t="shared" si="22"/>
        <v>-44.574000000030196</v>
      </c>
      <c r="AD160" s="472"/>
    </row>
    <row r="161" spans="1:30" ht="14.25" x14ac:dyDescent="0.45">
      <c r="A161" s="600"/>
      <c r="B161" s="146">
        <v>15</v>
      </c>
      <c r="C161" s="153">
        <v>263.80200000000002</v>
      </c>
      <c r="D161" s="141">
        <v>263.70679999999999</v>
      </c>
      <c r="E161" s="141">
        <v>263.84699999999998</v>
      </c>
      <c r="F161" s="141">
        <v>263.67259999999999</v>
      </c>
      <c r="G161" s="141">
        <v>263.83030000000002</v>
      </c>
      <c r="H161" s="141">
        <v>263.76459999999997</v>
      </c>
      <c r="I161" s="141">
        <v>263.82810000000001</v>
      </c>
      <c r="J161" s="141">
        <v>263.83600000000001</v>
      </c>
      <c r="K161" s="141">
        <v>263.8698</v>
      </c>
      <c r="L161" s="141">
        <v>263.86849999999998</v>
      </c>
      <c r="M161" s="141">
        <v>263.86709999999999</v>
      </c>
      <c r="N161" s="141">
        <v>263.73360000000002</v>
      </c>
      <c r="O161" s="141">
        <v>263.47289999999998</v>
      </c>
      <c r="P161" s="141">
        <v>263.45929999999998</v>
      </c>
      <c r="Q161" s="141">
        <v>263.63470000000001</v>
      </c>
      <c r="R161" s="141">
        <v>263.7715</v>
      </c>
      <c r="S161" s="141">
        <v>263.81479999999999</v>
      </c>
      <c r="T161" s="141">
        <v>263.6848</v>
      </c>
      <c r="U161" s="141">
        <v>263.64490000000001</v>
      </c>
      <c r="V161" s="141">
        <v>263.59769999999997</v>
      </c>
      <c r="W161" s="153">
        <v>263.55090000000001</v>
      </c>
      <c r="X161" s="108"/>
      <c r="Y161" s="141">
        <f t="shared" si="20"/>
        <v>263.72656666666671</v>
      </c>
      <c r="Z161" s="141">
        <f t="shared" si="25"/>
        <v>263.73983809523799</v>
      </c>
      <c r="AA161" s="159">
        <f t="shared" si="21"/>
        <v>1.3271428571272281E-2</v>
      </c>
      <c r="AB161" s="171">
        <v>102</v>
      </c>
      <c r="AC161" s="160">
        <f t="shared" si="22"/>
        <v>6.7684285713488634</v>
      </c>
      <c r="AD161" s="472"/>
    </row>
    <row r="162" spans="1:30" ht="14.25" x14ac:dyDescent="0.45">
      <c r="A162" s="600"/>
      <c r="B162" s="146">
        <v>20</v>
      </c>
      <c r="C162" s="153">
        <v>264.0052</v>
      </c>
      <c r="D162" s="141">
        <v>263.98200000000003</v>
      </c>
      <c r="E162" s="141">
        <v>263.834</v>
      </c>
      <c r="F162" s="141">
        <v>263.8793</v>
      </c>
      <c r="G162" s="141">
        <v>263.9015</v>
      </c>
      <c r="H162" s="141">
        <v>263.77510000000001</v>
      </c>
      <c r="I162" s="141">
        <v>263.76139999999998</v>
      </c>
      <c r="J162" s="141">
        <v>263.82909999999998</v>
      </c>
      <c r="K162" s="141">
        <v>263.75839999999999</v>
      </c>
      <c r="L162" s="141">
        <v>263.74310000000003</v>
      </c>
      <c r="M162" s="141">
        <v>263.72329999999999</v>
      </c>
      <c r="N162" s="141">
        <v>263.63740000000001</v>
      </c>
      <c r="O162" s="141">
        <v>263.66879999999998</v>
      </c>
      <c r="P162" s="141">
        <v>263.47179999999997</v>
      </c>
      <c r="Q162" s="141">
        <v>263.68680000000001</v>
      </c>
      <c r="R162" s="141">
        <v>263.65230000000003</v>
      </c>
      <c r="S162" s="141">
        <v>263.39550000000003</v>
      </c>
      <c r="T162" s="141">
        <v>263.39659999999998</v>
      </c>
      <c r="U162" s="141">
        <v>263.40350000000001</v>
      </c>
      <c r="V162" s="141">
        <v>263.49639999999999</v>
      </c>
      <c r="W162" s="153">
        <v>263.44839999999999</v>
      </c>
      <c r="X162" s="108"/>
      <c r="Y162" s="141">
        <f t="shared" si="20"/>
        <v>263.6880904761905</v>
      </c>
      <c r="Z162" s="141">
        <f t="shared" si="25"/>
        <v>263.789838095238</v>
      </c>
      <c r="AA162" s="159">
        <f t="shared" si="21"/>
        <v>0.10174761904750085</v>
      </c>
      <c r="AB162" s="171">
        <v>102</v>
      </c>
      <c r="AC162" s="160">
        <f t="shared" si="22"/>
        <v>51.891285714225432</v>
      </c>
      <c r="AD162" s="472"/>
    </row>
    <row r="163" spans="1:30" ht="14.25" x14ac:dyDescent="0.45">
      <c r="A163" s="600"/>
      <c r="B163" s="146">
        <v>25</v>
      </c>
      <c r="C163" s="153">
        <v>263.84519999999998</v>
      </c>
      <c r="D163" s="141">
        <v>263.87119999999999</v>
      </c>
      <c r="E163" s="141">
        <v>263.83890000000002</v>
      </c>
      <c r="F163" s="141">
        <v>263.81540000000001</v>
      </c>
      <c r="G163" s="141">
        <v>263.77159999999998</v>
      </c>
      <c r="H163" s="141">
        <v>263.7765</v>
      </c>
      <c r="I163" s="141">
        <v>263.77710000000002</v>
      </c>
      <c r="J163" s="141">
        <v>263.7901</v>
      </c>
      <c r="K163" s="141">
        <v>263.76</v>
      </c>
      <c r="L163" s="141">
        <v>263.65960000000001</v>
      </c>
      <c r="M163" s="141">
        <v>263.65159999999997</v>
      </c>
      <c r="N163" s="141">
        <v>263.65660000000003</v>
      </c>
      <c r="O163" s="141">
        <v>263.46690000000001</v>
      </c>
      <c r="P163" s="141">
        <v>263.38409999999999</v>
      </c>
      <c r="Q163" s="141">
        <v>263.48050000000001</v>
      </c>
      <c r="R163" s="141">
        <v>263.5274</v>
      </c>
      <c r="S163" s="141">
        <v>263.65359999999998</v>
      </c>
      <c r="T163" s="141">
        <v>263.6465</v>
      </c>
      <c r="U163" s="141">
        <v>263.47609999999997</v>
      </c>
      <c r="V163" s="141">
        <v>263.61939999999998</v>
      </c>
      <c r="W163" s="153">
        <v>263.57960000000003</v>
      </c>
      <c r="X163" s="108"/>
      <c r="Y163" s="141">
        <f t="shared" si="20"/>
        <v>263.66894761904757</v>
      </c>
      <c r="Z163" s="141">
        <f t="shared" si="25"/>
        <v>263.83983809523801</v>
      </c>
      <c r="AA163" s="159">
        <f t="shared" si="21"/>
        <v>0.1708904761904364</v>
      </c>
      <c r="AB163" s="171">
        <v>102</v>
      </c>
      <c r="AC163" s="160">
        <f t="shared" si="22"/>
        <v>87.154142857122565</v>
      </c>
      <c r="AD163" s="472"/>
    </row>
    <row r="164" spans="1:30" ht="14.25" x14ac:dyDescent="0.45">
      <c r="A164" s="600"/>
      <c r="B164" s="146">
        <v>30</v>
      </c>
      <c r="C164" s="153">
        <v>263.57119999999998</v>
      </c>
      <c r="D164" s="141">
        <v>263.6832</v>
      </c>
      <c r="E164" s="141">
        <v>263.82780000000002</v>
      </c>
      <c r="F164" s="141">
        <v>263.61799999999999</v>
      </c>
      <c r="G164" s="141">
        <v>263.56470000000002</v>
      </c>
      <c r="H164" s="141">
        <v>263.5265</v>
      </c>
      <c r="I164" s="141">
        <v>263.5718</v>
      </c>
      <c r="J164" s="141">
        <v>263.53269999999998</v>
      </c>
      <c r="K164" s="141">
        <v>263.49279999999999</v>
      </c>
      <c r="L164" s="141">
        <v>263.50369999999998</v>
      </c>
      <c r="M164" s="141">
        <v>263.5521</v>
      </c>
      <c r="N164" s="141">
        <v>263.55790000000002</v>
      </c>
      <c r="O164" s="141">
        <v>263.66059999999999</v>
      </c>
      <c r="P164" s="141">
        <v>263.67399999999998</v>
      </c>
      <c r="Q164" s="141">
        <v>263.73689999999999</v>
      </c>
      <c r="R164" s="141">
        <v>263.54750000000001</v>
      </c>
      <c r="S164" s="141">
        <v>263.4196</v>
      </c>
      <c r="T164" s="141">
        <v>263.39069999999998</v>
      </c>
      <c r="U164" s="141">
        <v>263.34019999999998</v>
      </c>
      <c r="V164" s="141">
        <v>263.33609999999999</v>
      </c>
      <c r="W164" s="153">
        <v>263.32150000000001</v>
      </c>
      <c r="X164" s="108"/>
      <c r="Y164" s="141">
        <f t="shared" si="20"/>
        <v>263.54426190476181</v>
      </c>
      <c r="Z164" s="141">
        <f>Z165-5/100</f>
        <v>263.88983809523802</v>
      </c>
      <c r="AA164" s="159">
        <f t="shared" si="21"/>
        <v>0.34557619047620847</v>
      </c>
      <c r="AB164" s="171">
        <v>102</v>
      </c>
      <c r="AC164" s="160">
        <f t="shared" si="22"/>
        <v>176.24385714286632</v>
      </c>
      <c r="AD164" s="472"/>
    </row>
    <row r="165" spans="1:30" ht="14.25" x14ac:dyDescent="0.45">
      <c r="A165" s="600"/>
      <c r="B165" s="146">
        <v>35</v>
      </c>
      <c r="C165" s="153">
        <v>263.51319999999998</v>
      </c>
      <c r="D165" s="141">
        <v>263.19889999999998</v>
      </c>
      <c r="E165" s="141">
        <v>263.57870000000003</v>
      </c>
      <c r="F165" s="141">
        <v>263.5675</v>
      </c>
      <c r="G165" s="141">
        <v>263.55700000000002</v>
      </c>
      <c r="H165" s="141">
        <v>263.58960000000002</v>
      </c>
      <c r="I165" s="141">
        <v>263.56459999999998</v>
      </c>
      <c r="J165" s="141">
        <v>263.53489999999999</v>
      </c>
      <c r="K165" s="141">
        <v>263.52539999999999</v>
      </c>
      <c r="L165" s="141">
        <v>263.53550000000001</v>
      </c>
      <c r="M165" s="141">
        <v>263.5154</v>
      </c>
      <c r="N165" s="141">
        <v>263.51900000000001</v>
      </c>
      <c r="O165" s="141">
        <v>263.51639999999998</v>
      </c>
      <c r="P165" s="141">
        <v>263.43619999999999</v>
      </c>
      <c r="Q165" s="141">
        <v>263.40730000000002</v>
      </c>
      <c r="R165" s="141">
        <v>263.37090000000001</v>
      </c>
      <c r="S165" s="141">
        <v>263.38560000000001</v>
      </c>
      <c r="T165" s="141">
        <v>263.38420000000002</v>
      </c>
      <c r="U165" s="141">
        <v>263.36369999999999</v>
      </c>
      <c r="V165" s="141">
        <v>263.36590000000001</v>
      </c>
      <c r="W165" s="153">
        <v>263.33170000000001</v>
      </c>
      <c r="X165" s="124"/>
      <c r="Y165" s="166">
        <f t="shared" si="20"/>
        <v>263.46483809523806</v>
      </c>
      <c r="Z165" s="166">
        <f>Y165+0.4+0.075</f>
        <v>263.93983809523803</v>
      </c>
      <c r="AA165" s="159">
        <f t="shared" si="21"/>
        <v>0.47499999999996589</v>
      </c>
      <c r="AB165" s="171">
        <v>102</v>
      </c>
      <c r="AC165" s="160">
        <f t="shared" si="22"/>
        <v>242.24999999998261</v>
      </c>
      <c r="AD165" s="472"/>
    </row>
    <row r="166" spans="1:30" ht="14.25" x14ac:dyDescent="0.45">
      <c r="A166" s="600"/>
      <c r="B166" s="146">
        <v>40</v>
      </c>
      <c r="C166" s="153">
        <v>263.62790000000001</v>
      </c>
      <c r="D166" s="141">
        <v>263.43119999999999</v>
      </c>
      <c r="E166" s="141">
        <v>263.55439999999999</v>
      </c>
      <c r="F166" s="141">
        <v>263.56610000000001</v>
      </c>
      <c r="G166" s="141">
        <v>263.57819999999998</v>
      </c>
      <c r="H166" s="141">
        <v>263.58240000000001</v>
      </c>
      <c r="I166" s="141">
        <v>263.54419999999999</v>
      </c>
      <c r="J166" s="141">
        <v>263.55130000000003</v>
      </c>
      <c r="K166" s="141">
        <v>263.55860000000001</v>
      </c>
      <c r="L166" s="141">
        <v>263.52890000000002</v>
      </c>
      <c r="M166" s="141">
        <v>263.52330000000001</v>
      </c>
      <c r="N166" s="141">
        <v>263.50200000000001</v>
      </c>
      <c r="O166" s="141">
        <v>263.49430000000001</v>
      </c>
      <c r="P166" s="141">
        <v>263.36959999999999</v>
      </c>
      <c r="Q166" s="141">
        <v>263.36590000000001</v>
      </c>
      <c r="R166" s="141">
        <v>263.35899999999998</v>
      </c>
      <c r="S166" s="141">
        <v>263.36919999999998</v>
      </c>
      <c r="T166" s="141">
        <v>263.38240000000002</v>
      </c>
      <c r="U166" s="141">
        <v>263.37900000000002</v>
      </c>
      <c r="V166" s="141">
        <v>263.37470000000002</v>
      </c>
      <c r="W166" s="153">
        <v>263.34100000000001</v>
      </c>
      <c r="X166" s="108"/>
      <c r="Y166" s="141">
        <f t="shared" si="20"/>
        <v>263.47540952380956</v>
      </c>
      <c r="Z166" s="141">
        <f>Z165-5/100</f>
        <v>263.88983809523802</v>
      </c>
      <c r="AA166" s="159">
        <f t="shared" si="21"/>
        <v>0.41442857142845924</v>
      </c>
      <c r="AB166" s="171">
        <v>102</v>
      </c>
      <c r="AC166" s="160">
        <f t="shared" si="22"/>
        <v>211.35857142851421</v>
      </c>
      <c r="AD166" s="472"/>
    </row>
    <row r="167" spans="1:30" ht="14.25" x14ac:dyDescent="0.45">
      <c r="A167" s="600"/>
      <c r="B167" s="146">
        <v>45</v>
      </c>
      <c r="C167" s="153">
        <v>263.63600000000002</v>
      </c>
      <c r="D167" s="141">
        <v>263.68759999999997</v>
      </c>
      <c r="E167" s="141">
        <v>263.55500000000001</v>
      </c>
      <c r="F167" s="141">
        <v>263.55090000000001</v>
      </c>
      <c r="G167" s="141">
        <v>263.56099999999998</v>
      </c>
      <c r="H167" s="141">
        <v>263.53919999999999</v>
      </c>
      <c r="I167" s="141">
        <v>263.517</v>
      </c>
      <c r="J167" s="141">
        <v>263.5188</v>
      </c>
      <c r="K167" s="141">
        <v>263.54039999999998</v>
      </c>
      <c r="L167" s="141">
        <v>263.55450000000002</v>
      </c>
      <c r="M167" s="141">
        <v>263.54610000000002</v>
      </c>
      <c r="N167" s="141">
        <v>263.50850000000003</v>
      </c>
      <c r="O167" s="141">
        <v>263.34269999999998</v>
      </c>
      <c r="P167" s="141">
        <v>263.44099999999997</v>
      </c>
      <c r="Q167" s="141">
        <v>263.3732</v>
      </c>
      <c r="R167" s="141">
        <v>263.36779999999999</v>
      </c>
      <c r="S167" s="141">
        <v>263.36079999999998</v>
      </c>
      <c r="T167" s="141">
        <v>263.3655</v>
      </c>
      <c r="U167" s="141">
        <v>263.37549999999999</v>
      </c>
      <c r="V167" s="141">
        <v>263.3614</v>
      </c>
      <c r="W167" s="153">
        <v>263.37610000000001</v>
      </c>
      <c r="X167" s="108"/>
      <c r="Y167" s="141">
        <f t="shared" si="20"/>
        <v>263.4799523809524</v>
      </c>
      <c r="Z167" s="141">
        <f t="shared" ref="Z167:Z172" si="26">Z166-5/100</f>
        <v>263.83983809523801</v>
      </c>
      <c r="AA167" s="159">
        <f t="shared" si="21"/>
        <v>0.35988571428561045</v>
      </c>
      <c r="AB167" s="171">
        <v>102</v>
      </c>
      <c r="AC167" s="160">
        <f t="shared" si="22"/>
        <v>183.54171428566133</v>
      </c>
      <c r="AD167" s="472"/>
    </row>
    <row r="168" spans="1:30" ht="14.25" x14ac:dyDescent="0.45">
      <c r="A168" s="600"/>
      <c r="B168" s="146">
        <v>50</v>
      </c>
      <c r="C168" s="153">
        <v>263.69209999999998</v>
      </c>
      <c r="D168" s="141">
        <v>263.70909999999998</v>
      </c>
      <c r="E168" s="141">
        <v>263.56150000000002</v>
      </c>
      <c r="F168" s="141">
        <v>263.54360000000003</v>
      </c>
      <c r="G168" s="141">
        <v>263.55090000000001</v>
      </c>
      <c r="H168" s="141">
        <v>263.52499999999998</v>
      </c>
      <c r="I168" s="141">
        <v>263.50670000000002</v>
      </c>
      <c r="J168" s="141">
        <v>263.5052</v>
      </c>
      <c r="K168" s="141">
        <v>263.50400000000002</v>
      </c>
      <c r="L168" s="141">
        <v>263.5111</v>
      </c>
      <c r="M168" s="141">
        <v>263.53140000000002</v>
      </c>
      <c r="N168" s="141">
        <v>263.54059999999998</v>
      </c>
      <c r="O168" s="141">
        <v>263.29169999999999</v>
      </c>
      <c r="P168" s="141">
        <v>263.50060000000002</v>
      </c>
      <c r="Q168" s="141">
        <v>263.49939999999998</v>
      </c>
      <c r="R168" s="141">
        <v>263.35939999999999</v>
      </c>
      <c r="S168" s="141">
        <v>263.35050000000001</v>
      </c>
      <c r="T168" s="141">
        <v>263.34429999999998</v>
      </c>
      <c r="U168" s="141">
        <v>263.36180000000002</v>
      </c>
      <c r="V168" s="141">
        <v>263.37360000000001</v>
      </c>
      <c r="W168" s="153">
        <v>263.35109999999997</v>
      </c>
      <c r="X168" s="108"/>
      <c r="Y168" s="141">
        <f t="shared" si="20"/>
        <v>263.48159999999996</v>
      </c>
      <c r="Z168" s="141">
        <f t="shared" si="26"/>
        <v>263.789838095238</v>
      </c>
      <c r="AA168" s="159">
        <f t="shared" si="21"/>
        <v>0.30823809523803902</v>
      </c>
      <c r="AB168" s="171">
        <v>102</v>
      </c>
      <c r="AC168" s="160">
        <f t="shared" si="22"/>
        <v>157.2014285713999</v>
      </c>
      <c r="AD168" s="472"/>
    </row>
    <row r="169" spans="1:30" ht="14.25" x14ac:dyDescent="0.45">
      <c r="A169" s="600"/>
      <c r="B169" s="146">
        <v>55</v>
      </c>
      <c r="C169" s="153">
        <v>263.7201</v>
      </c>
      <c r="D169" s="141">
        <v>263.54329999999999</v>
      </c>
      <c r="E169" s="141">
        <v>263.59629999999999</v>
      </c>
      <c r="F169" s="141">
        <v>263.57010000000002</v>
      </c>
      <c r="G169" s="141">
        <v>263.56119999999999</v>
      </c>
      <c r="H169" s="141">
        <v>263.53800000000001</v>
      </c>
      <c r="I169" s="141">
        <v>263.49189999999999</v>
      </c>
      <c r="J169" s="141">
        <v>263.48779999999999</v>
      </c>
      <c r="K169" s="141">
        <v>263.4846</v>
      </c>
      <c r="L169" s="141">
        <v>263.49579999999997</v>
      </c>
      <c r="M169" s="141">
        <v>263.50709999999998</v>
      </c>
      <c r="N169" s="141">
        <v>263.51769999999999</v>
      </c>
      <c r="O169" s="141">
        <v>263.49310000000003</v>
      </c>
      <c r="P169" s="141">
        <v>263.54809999999998</v>
      </c>
      <c r="Q169" s="141">
        <v>263.50779999999997</v>
      </c>
      <c r="R169" s="141">
        <v>263.39280000000002</v>
      </c>
      <c r="S169" s="141">
        <v>263.36630000000002</v>
      </c>
      <c r="T169" s="141">
        <v>263.35079999999999</v>
      </c>
      <c r="U169" s="141">
        <v>263.36880000000002</v>
      </c>
      <c r="V169" s="141">
        <v>263.36090000000002</v>
      </c>
      <c r="W169" s="153">
        <v>263.34879999999998</v>
      </c>
      <c r="X169" s="108"/>
      <c r="Y169" s="141">
        <f t="shared" si="20"/>
        <v>263.48815714285712</v>
      </c>
      <c r="Z169" s="141">
        <f t="shared" si="26"/>
        <v>263.73983809523799</v>
      </c>
      <c r="AA169" s="159">
        <f t="shared" si="21"/>
        <v>0.25168095238086607</v>
      </c>
      <c r="AB169" s="171">
        <v>102</v>
      </c>
      <c r="AC169" s="160">
        <f t="shared" si="22"/>
        <v>128.3572857142417</v>
      </c>
      <c r="AD169" s="472"/>
    </row>
    <row r="170" spans="1:30" ht="14.25" x14ac:dyDescent="0.45">
      <c r="A170" s="600"/>
      <c r="B170" s="146">
        <v>60</v>
      </c>
      <c r="C170" s="153">
        <v>263.66000000000003</v>
      </c>
      <c r="D170" s="141">
        <v>263.61009999999999</v>
      </c>
      <c r="E170" s="141">
        <v>263.5899</v>
      </c>
      <c r="F170" s="141">
        <v>263.61959999999999</v>
      </c>
      <c r="G170" s="141">
        <v>263.58620000000002</v>
      </c>
      <c r="H170" s="141">
        <v>263.55430000000001</v>
      </c>
      <c r="I170" s="141">
        <v>263.51769999999999</v>
      </c>
      <c r="J170" s="141">
        <v>263.49450000000002</v>
      </c>
      <c r="K170" s="141">
        <v>263.48970000000003</v>
      </c>
      <c r="L170" s="141">
        <v>263.47370000000001</v>
      </c>
      <c r="M170" s="141">
        <v>263.47809999999998</v>
      </c>
      <c r="N170" s="141">
        <v>263.48869999999999</v>
      </c>
      <c r="O170" s="141">
        <v>263.39229999999998</v>
      </c>
      <c r="P170" s="141">
        <v>263.40260000000001</v>
      </c>
      <c r="Q170" s="141">
        <v>263.36849999999998</v>
      </c>
      <c r="R170" s="141">
        <v>263.43869999999998</v>
      </c>
      <c r="S170" s="141">
        <v>263.42439999999999</v>
      </c>
      <c r="T170" s="141">
        <v>263.36919999999998</v>
      </c>
      <c r="U170" s="141">
        <v>263.36079999999998</v>
      </c>
      <c r="V170" s="141">
        <v>263.37419999999997</v>
      </c>
      <c r="W170" s="153">
        <v>263.31720000000001</v>
      </c>
      <c r="X170" s="108"/>
      <c r="Y170" s="141">
        <f t="shared" si="20"/>
        <v>263.47668571428574</v>
      </c>
      <c r="Z170" s="141">
        <f t="shared" si="26"/>
        <v>263.68983809523797</v>
      </c>
      <c r="AA170" s="159">
        <f t="shared" si="21"/>
        <v>0.21315238095223776</v>
      </c>
      <c r="AB170" s="171">
        <v>102</v>
      </c>
      <c r="AC170" s="160">
        <f t="shared" si="22"/>
        <v>108.70771428564126</v>
      </c>
      <c r="AD170" s="472"/>
    </row>
    <row r="171" spans="1:30" ht="14.25" x14ac:dyDescent="0.45">
      <c r="A171" s="600"/>
      <c r="B171" s="146">
        <v>65</v>
      </c>
      <c r="C171" s="153">
        <v>263.55579999999998</v>
      </c>
      <c r="D171" s="141">
        <v>263.58030000000002</v>
      </c>
      <c r="E171" s="141">
        <v>263.13310000000001</v>
      </c>
      <c r="F171" s="141">
        <v>263.59910000000002</v>
      </c>
      <c r="G171" s="141">
        <v>263.58780000000002</v>
      </c>
      <c r="H171" s="141">
        <v>263.56869999999998</v>
      </c>
      <c r="I171" s="141">
        <v>263.53179999999998</v>
      </c>
      <c r="J171" s="141">
        <v>263.51499999999999</v>
      </c>
      <c r="K171" s="141">
        <v>263.49099999999999</v>
      </c>
      <c r="L171" s="141">
        <v>263.46159999999998</v>
      </c>
      <c r="M171" s="141">
        <v>263.459</v>
      </c>
      <c r="N171" s="141">
        <v>263.4975</v>
      </c>
      <c r="O171" s="141">
        <v>263.4502</v>
      </c>
      <c r="P171" s="141">
        <v>263.5204</v>
      </c>
      <c r="Q171" s="141">
        <v>263.5523</v>
      </c>
      <c r="R171" s="141">
        <v>263.41329999999999</v>
      </c>
      <c r="S171" s="141">
        <v>263.43700000000001</v>
      </c>
      <c r="T171" s="141">
        <v>263.40429999999998</v>
      </c>
      <c r="U171" s="141">
        <v>263.36900000000003</v>
      </c>
      <c r="V171" s="141">
        <v>263.37090000000001</v>
      </c>
      <c r="W171" s="153">
        <v>263.33359999999999</v>
      </c>
      <c r="X171" s="108"/>
      <c r="Y171" s="141">
        <f t="shared" si="20"/>
        <v>263.46817619047619</v>
      </c>
      <c r="Z171" s="141">
        <f t="shared" si="26"/>
        <v>263.63983809523796</v>
      </c>
      <c r="AA171" s="159">
        <f t="shared" si="21"/>
        <v>0.1716619047617769</v>
      </c>
      <c r="AB171" s="171">
        <v>102</v>
      </c>
      <c r="AC171" s="160">
        <f t="shared" si="22"/>
        <v>87.547571428506217</v>
      </c>
      <c r="AD171" s="472"/>
    </row>
    <row r="172" spans="1:30" ht="14.25" x14ac:dyDescent="0.45">
      <c r="A172" s="601"/>
      <c r="B172" s="148">
        <v>70</v>
      </c>
      <c r="C172" s="154">
        <v>263.97699999999998</v>
      </c>
      <c r="D172" s="154">
        <v>264.14940000000001</v>
      </c>
      <c r="E172" s="154">
        <v>263.44929999999999</v>
      </c>
      <c r="F172" s="154">
        <v>263.10019999999997</v>
      </c>
      <c r="G172" s="154">
        <v>263.48</v>
      </c>
      <c r="H172" s="154">
        <v>263.55829999999997</v>
      </c>
      <c r="I172" s="154">
        <v>263.55739999999997</v>
      </c>
      <c r="J172" s="154">
        <v>263.5505</v>
      </c>
      <c r="K172" s="154">
        <v>263.5258</v>
      </c>
      <c r="L172" s="154">
        <v>263.50940000000003</v>
      </c>
      <c r="M172" s="154">
        <v>263.49489999999997</v>
      </c>
      <c r="N172" s="154">
        <v>263.48140000000001</v>
      </c>
      <c r="O172" s="154">
        <v>263.43290000000002</v>
      </c>
      <c r="P172" s="154">
        <v>263.41500000000002</v>
      </c>
      <c r="Q172" s="154">
        <v>263.40839999999997</v>
      </c>
      <c r="R172" s="154">
        <v>263.41849999999999</v>
      </c>
      <c r="S172" s="154">
        <v>263.43520000000001</v>
      </c>
      <c r="T172" s="154">
        <v>263.44170000000003</v>
      </c>
      <c r="U172" s="154">
        <v>263.4692</v>
      </c>
      <c r="V172" s="154">
        <v>263.38569999999999</v>
      </c>
      <c r="W172" s="154">
        <v>263.35539999999997</v>
      </c>
      <c r="X172" s="117"/>
      <c r="Y172" s="142">
        <f t="shared" si="20"/>
        <v>263.50455238095236</v>
      </c>
      <c r="Z172" s="142">
        <f t="shared" si="26"/>
        <v>263.58983809523795</v>
      </c>
      <c r="AA172" s="159">
        <f t="shared" si="21"/>
        <v>8.528571428558962E-2</v>
      </c>
      <c r="AB172" s="174">
        <v>102</v>
      </c>
      <c r="AC172" s="162">
        <f t="shared" si="22"/>
        <v>43.495714285650706</v>
      </c>
      <c r="AD172" s="112">
        <f>SUM(AC158:AC172)</f>
        <v>1264.2535714278233</v>
      </c>
    </row>
    <row r="173" spans="1:30" ht="14.25" x14ac:dyDescent="0.45">
      <c r="A173" s="599" t="s">
        <v>33</v>
      </c>
      <c r="B173" s="147">
        <v>0</v>
      </c>
      <c r="C173" s="151">
        <v>263.34719999999999</v>
      </c>
      <c r="D173" s="151">
        <v>263.39139999999998</v>
      </c>
      <c r="E173" s="151">
        <v>263.15120000000002</v>
      </c>
      <c r="F173" s="151">
        <v>263.34739999999999</v>
      </c>
      <c r="G173" s="151">
        <v>263.1422</v>
      </c>
      <c r="H173" s="151">
        <v>263.21260000000001</v>
      </c>
      <c r="I173" s="151">
        <v>263.39370000000002</v>
      </c>
      <c r="J173" s="151">
        <v>263.28539999999998</v>
      </c>
      <c r="K173" s="151">
        <v>263.3537</v>
      </c>
      <c r="L173" s="151">
        <v>263.09739999999999</v>
      </c>
      <c r="M173" s="151">
        <v>263.11</v>
      </c>
      <c r="N173" s="151">
        <v>263.08969999999999</v>
      </c>
      <c r="O173" s="151">
        <v>263.1225</v>
      </c>
      <c r="P173" s="151">
        <v>263.1148</v>
      </c>
      <c r="Q173" s="151">
        <v>263.077</v>
      </c>
      <c r="R173" s="151">
        <v>263.096</v>
      </c>
      <c r="S173" s="151">
        <v>263.16480000000001</v>
      </c>
      <c r="T173" s="151">
        <v>263.18560000000002</v>
      </c>
      <c r="U173" s="151">
        <v>262.9803</v>
      </c>
      <c r="V173" s="151">
        <v>263.15010000000001</v>
      </c>
      <c r="W173" s="151">
        <v>263.18799999999999</v>
      </c>
      <c r="X173" s="122"/>
      <c r="Y173" s="165">
        <f t="shared" si="20"/>
        <v>263.19052380952388</v>
      </c>
      <c r="Z173" s="165">
        <f>Y173+0.05-0.001+0.075</f>
        <v>263.31452380952391</v>
      </c>
      <c r="AA173" s="159">
        <f t="shared" si="21"/>
        <v>0.12400000000002365</v>
      </c>
      <c r="AB173" s="170">
        <v>102</v>
      </c>
      <c r="AC173" s="158">
        <f t="shared" si="22"/>
        <v>63.24000000001206</v>
      </c>
      <c r="AD173" s="472"/>
    </row>
    <row r="174" spans="1:30" ht="14.25" x14ac:dyDescent="0.45">
      <c r="A174" s="600"/>
      <c r="B174" s="146">
        <v>5</v>
      </c>
      <c r="C174" s="153">
        <v>263.38670000000002</v>
      </c>
      <c r="D174" s="141">
        <v>263.41199999999998</v>
      </c>
      <c r="E174" s="141">
        <v>263.19549999999998</v>
      </c>
      <c r="F174" s="141">
        <v>263.19400000000002</v>
      </c>
      <c r="G174" s="141">
        <v>263.16239999999999</v>
      </c>
      <c r="H174" s="141">
        <v>263.1447</v>
      </c>
      <c r="I174" s="141">
        <v>263.18630000000002</v>
      </c>
      <c r="J174" s="141">
        <v>263.17619999999999</v>
      </c>
      <c r="K174" s="141">
        <v>263.19589999999999</v>
      </c>
      <c r="L174" s="141">
        <v>263.09780000000001</v>
      </c>
      <c r="M174" s="141">
        <v>263.12529999999998</v>
      </c>
      <c r="N174" s="141">
        <v>263.11619999999999</v>
      </c>
      <c r="O174" s="141">
        <v>263.1275</v>
      </c>
      <c r="P174" s="141">
        <v>263.1902</v>
      </c>
      <c r="Q174" s="141">
        <v>263.12529999999998</v>
      </c>
      <c r="R174" s="141">
        <v>263.21559999999999</v>
      </c>
      <c r="S174" s="141">
        <v>263.07330000000002</v>
      </c>
      <c r="T174" s="141">
        <v>263.166</v>
      </c>
      <c r="U174" s="141">
        <v>262.92840000000001</v>
      </c>
      <c r="V174" s="141">
        <v>263.0213</v>
      </c>
      <c r="W174" s="153">
        <v>263.0958</v>
      </c>
      <c r="X174" s="108"/>
      <c r="Y174" s="141">
        <f t="shared" si="20"/>
        <v>263.15887619047624</v>
      </c>
      <c r="Z174" s="141">
        <f>Z173+5/100</f>
        <v>263.36452380952392</v>
      </c>
      <c r="AA174" s="159">
        <f t="shared" si="21"/>
        <v>0.20564761904768147</v>
      </c>
      <c r="AB174" s="171">
        <v>102</v>
      </c>
      <c r="AC174" s="160">
        <f t="shared" si="22"/>
        <v>104.88028571431755</v>
      </c>
      <c r="AD174" s="472"/>
    </row>
    <row r="175" spans="1:30" ht="14.25" x14ac:dyDescent="0.45">
      <c r="A175" s="600"/>
      <c r="B175" s="146">
        <v>10</v>
      </c>
      <c r="C175" s="153">
        <v>263.35700000000003</v>
      </c>
      <c r="D175" s="141">
        <v>263.36520000000002</v>
      </c>
      <c r="E175" s="141">
        <v>263.18200000000002</v>
      </c>
      <c r="F175" s="141">
        <v>263.26850000000002</v>
      </c>
      <c r="G175" s="141">
        <v>263.20310000000001</v>
      </c>
      <c r="H175" s="141">
        <v>263.28379999999999</v>
      </c>
      <c r="I175" s="141">
        <v>263.21730000000002</v>
      </c>
      <c r="J175" s="141">
        <v>263.18770000000001</v>
      </c>
      <c r="K175" s="141">
        <v>263.2516</v>
      </c>
      <c r="L175" s="141">
        <v>263.1311</v>
      </c>
      <c r="M175" s="141">
        <v>263.14839999999998</v>
      </c>
      <c r="N175" s="141">
        <v>263.14319999999998</v>
      </c>
      <c r="O175" s="141">
        <v>263.14449999999999</v>
      </c>
      <c r="P175" s="141">
        <v>263.19170000000003</v>
      </c>
      <c r="Q175" s="141">
        <v>263.14609999999999</v>
      </c>
      <c r="R175" s="141">
        <v>263.14060000000001</v>
      </c>
      <c r="S175" s="141">
        <v>263.21789999999999</v>
      </c>
      <c r="T175" s="141">
        <v>263.24259999999998</v>
      </c>
      <c r="U175" s="141">
        <v>262.90370000000001</v>
      </c>
      <c r="V175" s="141">
        <v>262.83229999999998</v>
      </c>
      <c r="W175" s="153">
        <v>263.02420000000001</v>
      </c>
      <c r="X175" s="108"/>
      <c r="Y175" s="141">
        <f t="shared" si="20"/>
        <v>263.17059523809519</v>
      </c>
      <c r="Z175" s="141">
        <f t="shared" ref="Z175:Z182" si="27">Z174+5/100</f>
        <v>263.41452380952393</v>
      </c>
      <c r="AA175" s="159">
        <f t="shared" si="21"/>
        <v>0.24392857142873936</v>
      </c>
      <c r="AB175" s="171">
        <v>102</v>
      </c>
      <c r="AC175" s="160">
        <f t="shared" si="22"/>
        <v>124.40357142865707</v>
      </c>
      <c r="AD175" s="472"/>
    </row>
    <row r="176" spans="1:30" ht="14.25" x14ac:dyDescent="0.45">
      <c r="A176" s="600"/>
      <c r="B176" s="146">
        <v>15</v>
      </c>
      <c r="C176" s="153">
        <v>263.39060000000001</v>
      </c>
      <c r="D176" s="141">
        <v>263.38459999999998</v>
      </c>
      <c r="E176" s="141">
        <v>263.19130000000001</v>
      </c>
      <c r="F176" s="141">
        <v>263.2867</v>
      </c>
      <c r="G176" s="141">
        <v>263.19560000000001</v>
      </c>
      <c r="H176" s="141">
        <v>263.17009999999999</v>
      </c>
      <c r="I176" s="141">
        <v>263.21409999999997</v>
      </c>
      <c r="J176" s="141">
        <v>263.23200000000003</v>
      </c>
      <c r="K176" s="141">
        <v>263.2251</v>
      </c>
      <c r="L176" s="141">
        <v>263.17849999999999</v>
      </c>
      <c r="M176" s="141">
        <v>263.22199999999998</v>
      </c>
      <c r="N176" s="141">
        <v>263.16489999999999</v>
      </c>
      <c r="O176" s="141">
        <v>263.15780000000001</v>
      </c>
      <c r="P176" s="141">
        <v>263.25689999999997</v>
      </c>
      <c r="Q176" s="141">
        <v>263.16520000000003</v>
      </c>
      <c r="R176" s="141">
        <v>263.2371</v>
      </c>
      <c r="S176" s="141">
        <v>263.16329999999999</v>
      </c>
      <c r="T176" s="141">
        <v>263.38810000000001</v>
      </c>
      <c r="U176" s="141">
        <v>263.16079999999999</v>
      </c>
      <c r="V176" s="141">
        <v>263</v>
      </c>
      <c r="W176" s="153">
        <v>262.98649999999998</v>
      </c>
      <c r="X176" s="108"/>
      <c r="Y176" s="141">
        <f t="shared" si="20"/>
        <v>263.20815238095236</v>
      </c>
      <c r="Z176" s="141">
        <f t="shared" si="27"/>
        <v>263.46452380952394</v>
      </c>
      <c r="AA176" s="159">
        <f t="shared" si="21"/>
        <v>0.25637142857158324</v>
      </c>
      <c r="AB176" s="171">
        <v>102</v>
      </c>
      <c r="AC176" s="160">
        <f t="shared" si="22"/>
        <v>130.74942857150745</v>
      </c>
      <c r="AD176" s="472"/>
    </row>
    <row r="177" spans="1:30" ht="14.25" x14ac:dyDescent="0.45">
      <c r="A177" s="600"/>
      <c r="B177" s="146">
        <v>20</v>
      </c>
      <c r="C177" s="153">
        <v>263.45569999999998</v>
      </c>
      <c r="D177" s="141">
        <v>263.43770000000001</v>
      </c>
      <c r="E177" s="141">
        <v>263.24579999999997</v>
      </c>
      <c r="F177" s="141">
        <v>263.27269999999999</v>
      </c>
      <c r="G177" s="141">
        <v>263.28570000000002</v>
      </c>
      <c r="H177" s="141">
        <v>263.22550000000001</v>
      </c>
      <c r="I177" s="141">
        <v>263.1968</v>
      </c>
      <c r="J177" s="141">
        <v>263.24299999999999</v>
      </c>
      <c r="K177" s="141">
        <v>263.45679999999999</v>
      </c>
      <c r="L177" s="141">
        <v>263.23719999999997</v>
      </c>
      <c r="M177" s="141">
        <v>263.27289999999999</v>
      </c>
      <c r="N177" s="141">
        <v>263.2045</v>
      </c>
      <c r="O177" s="141">
        <v>263.19920000000002</v>
      </c>
      <c r="P177" s="141">
        <v>263.3374</v>
      </c>
      <c r="Q177" s="141">
        <v>263.2029</v>
      </c>
      <c r="R177" s="141">
        <v>263.3116</v>
      </c>
      <c r="S177" s="141">
        <v>263.2747</v>
      </c>
      <c r="T177" s="141">
        <v>263.27050000000003</v>
      </c>
      <c r="U177" s="141">
        <v>263.14420000000001</v>
      </c>
      <c r="V177" s="141">
        <v>263.13080000000002</v>
      </c>
      <c r="W177" s="153">
        <v>263.14679999999998</v>
      </c>
      <c r="X177" s="108"/>
      <c r="Y177" s="141">
        <f t="shared" si="20"/>
        <v>263.26439999999991</v>
      </c>
      <c r="Z177" s="141">
        <f t="shared" si="27"/>
        <v>263.51452380952395</v>
      </c>
      <c r="AA177" s="159">
        <f t="shared" si="21"/>
        <v>0.25012380952404101</v>
      </c>
      <c r="AB177" s="171">
        <v>102</v>
      </c>
      <c r="AC177" s="160">
        <f t="shared" si="22"/>
        <v>127.56314285726091</v>
      </c>
      <c r="AD177" s="472"/>
    </row>
    <row r="178" spans="1:30" ht="14.25" x14ac:dyDescent="0.45">
      <c r="A178" s="600"/>
      <c r="B178" s="146">
        <v>25</v>
      </c>
      <c r="C178" s="153">
        <v>263.50150000000002</v>
      </c>
      <c r="D178" s="141">
        <v>263.47539999999998</v>
      </c>
      <c r="E178" s="141">
        <v>263.31610000000001</v>
      </c>
      <c r="F178" s="141">
        <v>263.28440000000001</v>
      </c>
      <c r="G178" s="141">
        <v>263.26909999999998</v>
      </c>
      <c r="H178" s="141">
        <v>263.36160000000001</v>
      </c>
      <c r="I178" s="141">
        <v>263.2756</v>
      </c>
      <c r="J178" s="141">
        <v>263.48540000000003</v>
      </c>
      <c r="K178" s="141">
        <v>263.40179999999998</v>
      </c>
      <c r="L178" s="141">
        <v>263.23540000000003</v>
      </c>
      <c r="M178" s="141">
        <v>263.26049999999998</v>
      </c>
      <c r="N178" s="141">
        <v>263.2371</v>
      </c>
      <c r="O178" s="141">
        <v>263.24930000000001</v>
      </c>
      <c r="P178" s="141">
        <v>263.29199999999997</v>
      </c>
      <c r="Q178" s="141">
        <v>263.24990000000003</v>
      </c>
      <c r="R178" s="141">
        <v>263.25360000000001</v>
      </c>
      <c r="S178" s="141">
        <v>262.89449999999999</v>
      </c>
      <c r="T178" s="141">
        <v>263.32470000000001</v>
      </c>
      <c r="U178" s="141">
        <v>262.94049999999999</v>
      </c>
      <c r="V178" s="141">
        <v>263.16250000000002</v>
      </c>
      <c r="W178" s="153">
        <v>263.20839999999998</v>
      </c>
      <c r="X178" s="108"/>
      <c r="Y178" s="141">
        <f t="shared" si="20"/>
        <v>263.27044285714283</v>
      </c>
      <c r="Z178" s="141">
        <f t="shared" si="27"/>
        <v>263.56452380952396</v>
      </c>
      <c r="AA178" s="159">
        <f t="shared" si="21"/>
        <v>0.29408095238113674</v>
      </c>
      <c r="AB178" s="171">
        <v>102</v>
      </c>
      <c r="AC178" s="160">
        <f t="shared" si="22"/>
        <v>149.98128571437974</v>
      </c>
      <c r="AD178" s="472"/>
    </row>
    <row r="179" spans="1:30" ht="14.25" x14ac:dyDescent="0.45">
      <c r="A179" s="600"/>
      <c r="B179" s="146">
        <v>30</v>
      </c>
      <c r="C179" s="153">
        <v>263.5729</v>
      </c>
      <c r="D179" s="141">
        <v>263.54989999999998</v>
      </c>
      <c r="E179" s="141">
        <v>263.39359999999999</v>
      </c>
      <c r="F179" s="141">
        <v>263.34230000000002</v>
      </c>
      <c r="G179" s="141">
        <v>263.28769999999997</v>
      </c>
      <c r="H179" s="141">
        <v>263.26679999999999</v>
      </c>
      <c r="I179" s="141">
        <v>263.31810000000002</v>
      </c>
      <c r="J179" s="141">
        <v>263.28269999999998</v>
      </c>
      <c r="K179" s="141">
        <v>263.40140000000002</v>
      </c>
      <c r="L179" s="141">
        <v>263.24579999999997</v>
      </c>
      <c r="M179" s="141">
        <v>263.3107</v>
      </c>
      <c r="N179" s="141">
        <v>263.2654</v>
      </c>
      <c r="O179" s="141">
        <v>263.28050000000002</v>
      </c>
      <c r="P179" s="141">
        <v>263.29989999999998</v>
      </c>
      <c r="Q179" s="141">
        <v>263.27550000000002</v>
      </c>
      <c r="R179" s="141">
        <v>263.28980000000001</v>
      </c>
      <c r="S179" s="141">
        <v>263.1583</v>
      </c>
      <c r="T179" s="141">
        <v>263.30180000000001</v>
      </c>
      <c r="U179" s="141">
        <v>263.23390000000001</v>
      </c>
      <c r="V179" s="141">
        <v>263.21350000000001</v>
      </c>
      <c r="W179" s="153">
        <v>263.21019999999999</v>
      </c>
      <c r="X179" s="108"/>
      <c r="Y179" s="141">
        <f t="shared" si="20"/>
        <v>263.30955714285716</v>
      </c>
      <c r="Z179" s="141">
        <f t="shared" si="27"/>
        <v>263.61452380952397</v>
      </c>
      <c r="AA179" s="159">
        <f t="shared" si="21"/>
        <v>0.30496666666681449</v>
      </c>
      <c r="AB179" s="171">
        <v>102</v>
      </c>
      <c r="AC179" s="160">
        <f t="shared" si="22"/>
        <v>155.53300000007539</v>
      </c>
      <c r="AD179" s="472"/>
    </row>
    <row r="180" spans="1:30" ht="14.25" x14ac:dyDescent="0.45">
      <c r="A180" s="600"/>
      <c r="B180" s="146">
        <v>35</v>
      </c>
      <c r="C180" s="153">
        <v>263.53769999999997</v>
      </c>
      <c r="D180" s="141">
        <v>263.59780000000001</v>
      </c>
      <c r="E180" s="141">
        <v>263.4563</v>
      </c>
      <c r="F180" s="141">
        <v>263.39359999999999</v>
      </c>
      <c r="G180" s="141">
        <v>263.35079999999999</v>
      </c>
      <c r="H180" s="141">
        <v>263.3082</v>
      </c>
      <c r="I180" s="141">
        <v>263.3252</v>
      </c>
      <c r="J180" s="141">
        <v>263.33699999999999</v>
      </c>
      <c r="K180" s="141">
        <v>263.46249999999998</v>
      </c>
      <c r="L180" s="141">
        <v>263.30169999999998</v>
      </c>
      <c r="M180" s="141">
        <v>263.3313</v>
      </c>
      <c r="N180" s="141">
        <v>263.2971</v>
      </c>
      <c r="O180" s="141">
        <v>263.29539999999997</v>
      </c>
      <c r="P180" s="141">
        <v>263.34019999999998</v>
      </c>
      <c r="Q180" s="141">
        <v>263.31950000000001</v>
      </c>
      <c r="R180" s="141">
        <v>263.33909999999997</v>
      </c>
      <c r="S180" s="141">
        <v>263.50409999999999</v>
      </c>
      <c r="T180" s="141">
        <v>263.23110000000003</v>
      </c>
      <c r="U180" s="141">
        <v>263.27429999999998</v>
      </c>
      <c r="V180" s="141">
        <v>263.25709999999998</v>
      </c>
      <c r="W180" s="153">
        <v>263.24419999999998</v>
      </c>
      <c r="X180" s="108"/>
      <c r="Y180" s="141">
        <f t="shared" si="20"/>
        <v>263.3573428571429</v>
      </c>
      <c r="Z180" s="141">
        <f t="shared" si="27"/>
        <v>263.66452380952398</v>
      </c>
      <c r="AA180" s="159">
        <f t="shared" si="21"/>
        <v>0.30718095238108845</v>
      </c>
      <c r="AB180" s="171">
        <v>102</v>
      </c>
      <c r="AC180" s="160">
        <f t="shared" si="22"/>
        <v>156.66228571435511</v>
      </c>
      <c r="AD180" s="472"/>
    </row>
    <row r="181" spans="1:30" ht="14.25" x14ac:dyDescent="0.45">
      <c r="A181" s="600"/>
      <c r="B181" s="146">
        <v>40</v>
      </c>
      <c r="C181" s="153">
        <v>263.53050000000002</v>
      </c>
      <c r="D181" s="141">
        <v>263.60700000000003</v>
      </c>
      <c r="E181" s="141">
        <v>263.50869999999998</v>
      </c>
      <c r="F181" s="141">
        <v>263.42680000000001</v>
      </c>
      <c r="G181" s="141">
        <v>263.39389999999997</v>
      </c>
      <c r="H181" s="141">
        <v>263.40179999999998</v>
      </c>
      <c r="I181" s="141">
        <v>263.37009999999998</v>
      </c>
      <c r="J181" s="141">
        <v>263.38510000000002</v>
      </c>
      <c r="K181" s="141">
        <v>263.43389999999999</v>
      </c>
      <c r="L181" s="141">
        <v>263.34640000000002</v>
      </c>
      <c r="M181" s="141">
        <v>263.34230000000002</v>
      </c>
      <c r="N181" s="141">
        <v>263.31220000000002</v>
      </c>
      <c r="O181" s="141">
        <v>263.32330000000002</v>
      </c>
      <c r="P181" s="141">
        <v>263.38799999999998</v>
      </c>
      <c r="Q181" s="141">
        <v>263.40730000000002</v>
      </c>
      <c r="R181" s="141">
        <v>263.34350000000001</v>
      </c>
      <c r="S181" s="153">
        <v>263.30759999999998</v>
      </c>
      <c r="T181" s="153">
        <v>263.18189999999998</v>
      </c>
      <c r="U181" s="156">
        <v>263.15750000000003</v>
      </c>
      <c r="V181" s="156">
        <v>263.3141</v>
      </c>
      <c r="W181" s="156">
        <v>263.15219999999999</v>
      </c>
      <c r="X181" s="108"/>
      <c r="Y181" s="141">
        <f t="shared" si="20"/>
        <v>263.36352857142856</v>
      </c>
      <c r="Z181" s="141">
        <f t="shared" si="27"/>
        <v>263.714523809524</v>
      </c>
      <c r="AA181" s="159">
        <f t="shared" si="21"/>
        <v>0.35099523809543598</v>
      </c>
      <c r="AB181" s="171">
        <v>102</v>
      </c>
      <c r="AC181" s="160">
        <f t="shared" si="22"/>
        <v>179.00757142867235</v>
      </c>
      <c r="AD181" s="112"/>
    </row>
    <row r="182" spans="1:30" ht="14.25" x14ac:dyDescent="0.45">
      <c r="A182" s="601"/>
      <c r="B182" s="148">
        <v>45</v>
      </c>
      <c r="C182" s="154">
        <v>263.5498</v>
      </c>
      <c r="D182" s="154">
        <v>263.62729999999999</v>
      </c>
      <c r="E182" s="154">
        <v>263.553</v>
      </c>
      <c r="F182" s="154">
        <v>263.38869999999997</v>
      </c>
      <c r="G182" s="154">
        <v>263.38189999999997</v>
      </c>
      <c r="H182" s="154">
        <v>263.44900000000001</v>
      </c>
      <c r="I182" s="154">
        <v>263.44110000000001</v>
      </c>
      <c r="J182" s="154">
        <v>263.47250000000003</v>
      </c>
      <c r="K182" s="154">
        <v>263.49619999999999</v>
      </c>
      <c r="L182" s="154">
        <v>263.40769999999998</v>
      </c>
      <c r="M182" s="154">
        <v>263.39280000000002</v>
      </c>
      <c r="N182" s="154">
        <v>263.38380000000001</v>
      </c>
      <c r="O182" s="154">
        <v>263.36509999999998</v>
      </c>
      <c r="P182" s="154">
        <v>263.37509999999997</v>
      </c>
      <c r="Q182" s="154">
        <v>263.36590000000001</v>
      </c>
      <c r="R182" s="154">
        <v>263.36520000000002</v>
      </c>
      <c r="S182" s="142"/>
      <c r="T182" s="142"/>
      <c r="U182" s="142"/>
      <c r="V182" s="142"/>
      <c r="W182" s="142"/>
      <c r="X182" s="150"/>
      <c r="Y182" s="142">
        <f t="shared" si="20"/>
        <v>263.43844375000003</v>
      </c>
      <c r="Z182" s="142">
        <f t="shared" si="27"/>
        <v>263.76452380952401</v>
      </c>
      <c r="AA182" s="159">
        <f t="shared" si="21"/>
        <v>0.32608005952397434</v>
      </c>
      <c r="AB182" s="174">
        <v>78</v>
      </c>
      <c r="AC182" s="162">
        <f t="shared" si="22"/>
        <v>127.17122321434999</v>
      </c>
      <c r="AD182" s="112">
        <f>SUM(AC173:AC182)</f>
        <v>1319.1917946435876</v>
      </c>
    </row>
    <row r="183" spans="1:30" ht="14.25" x14ac:dyDescent="0.45">
      <c r="A183" s="599" t="s">
        <v>35</v>
      </c>
      <c r="B183" s="147">
        <v>0</v>
      </c>
      <c r="C183" s="151">
        <v>263.6619</v>
      </c>
      <c r="D183" s="151">
        <v>263.64760000000001</v>
      </c>
      <c r="E183" s="151">
        <v>263.62560000000002</v>
      </c>
      <c r="F183" s="151">
        <v>263.62</v>
      </c>
      <c r="G183" s="151">
        <v>263.61279999999999</v>
      </c>
      <c r="H183" s="151">
        <v>263.58580000000001</v>
      </c>
      <c r="I183" s="151">
        <v>263.45549999999997</v>
      </c>
      <c r="J183" s="151">
        <v>263.44459999999998</v>
      </c>
      <c r="K183" s="151">
        <v>263.45479999999998</v>
      </c>
      <c r="L183" s="151">
        <v>263.45089999999999</v>
      </c>
      <c r="M183" s="151">
        <v>263.47089999999997</v>
      </c>
      <c r="N183" s="151">
        <v>263.48009999999999</v>
      </c>
      <c r="O183" s="151">
        <v>263.45999999999998</v>
      </c>
      <c r="P183" s="151">
        <v>263.44529999999997</v>
      </c>
      <c r="Q183" s="151">
        <v>263.47430000000003</v>
      </c>
      <c r="R183" s="151">
        <v>263.40839999999997</v>
      </c>
      <c r="S183" s="151">
        <v>263.40300000000002</v>
      </c>
      <c r="T183" s="151">
        <v>263.41379999999998</v>
      </c>
      <c r="U183" s="151">
        <v>263.42410000000001</v>
      </c>
      <c r="V183" s="151">
        <v>263.39249999999998</v>
      </c>
      <c r="W183" s="151">
        <v>263.36059999999998</v>
      </c>
      <c r="X183" s="151">
        <v>263.39879999999999</v>
      </c>
      <c r="Y183" s="165">
        <f t="shared" si="20"/>
        <v>263.48596818181818</v>
      </c>
      <c r="Z183" s="165">
        <f>Y183-0-0.001+0.075</f>
        <v>263.55996818181819</v>
      </c>
      <c r="AA183" s="159">
        <f t="shared" si="21"/>
        <v>7.4000000000012278E-2</v>
      </c>
      <c r="AB183" s="170">
        <v>102</v>
      </c>
      <c r="AC183" s="158">
        <f t="shared" si="22"/>
        <v>37.740000000006262</v>
      </c>
      <c r="AD183" s="472"/>
    </row>
    <row r="184" spans="1:30" ht="14.25" x14ac:dyDescent="0.45">
      <c r="A184" s="600"/>
      <c r="B184" s="146">
        <v>5</v>
      </c>
      <c r="C184" s="153">
        <v>263.67090000000002</v>
      </c>
      <c r="D184" s="141">
        <v>263.64870000000002</v>
      </c>
      <c r="E184" s="141">
        <v>263.63240000000002</v>
      </c>
      <c r="F184" s="141">
        <v>263.63479999999998</v>
      </c>
      <c r="G184" s="141">
        <v>263.66079999999999</v>
      </c>
      <c r="H184" s="141">
        <v>263.59440000000001</v>
      </c>
      <c r="I184" s="141">
        <v>263.39769999999999</v>
      </c>
      <c r="J184" s="141">
        <v>263.40190000000001</v>
      </c>
      <c r="K184" s="141">
        <v>263.37720000000002</v>
      </c>
      <c r="L184" s="141">
        <v>263.44900000000001</v>
      </c>
      <c r="M184" s="141">
        <v>263.39780000000002</v>
      </c>
      <c r="N184" s="141">
        <v>263.40469999999999</v>
      </c>
      <c r="O184" s="141">
        <v>263.37040000000002</v>
      </c>
      <c r="P184" s="141">
        <v>263.40600000000001</v>
      </c>
      <c r="Q184" s="141">
        <v>263.40300000000002</v>
      </c>
      <c r="R184" s="141">
        <v>263.43740000000003</v>
      </c>
      <c r="S184" s="141">
        <v>263.3997</v>
      </c>
      <c r="T184" s="141">
        <v>263.43450000000001</v>
      </c>
      <c r="U184" s="141">
        <v>263.43790000000001</v>
      </c>
      <c r="V184" s="141">
        <v>263.42259999999999</v>
      </c>
      <c r="W184" s="141">
        <v>263.41070000000002</v>
      </c>
      <c r="X184" s="153">
        <v>263.39659999999998</v>
      </c>
      <c r="Y184" s="141">
        <f t="shared" si="20"/>
        <v>263.47223181818185</v>
      </c>
      <c r="Z184" s="141">
        <f>Z183+5/100</f>
        <v>263.6099681818182</v>
      </c>
      <c r="AA184" s="159">
        <f t="shared" si="21"/>
        <v>0.13773636363634978</v>
      </c>
      <c r="AB184" s="171">
        <v>102</v>
      </c>
      <c r="AC184" s="160">
        <f t="shared" si="22"/>
        <v>70.245545454538387</v>
      </c>
      <c r="AD184" s="472"/>
    </row>
    <row r="185" spans="1:30" ht="14.25" x14ac:dyDescent="0.45">
      <c r="A185" s="600"/>
      <c r="B185" s="146">
        <v>10</v>
      </c>
      <c r="C185" s="153">
        <v>263.6515</v>
      </c>
      <c r="D185" s="141">
        <v>263.6352</v>
      </c>
      <c r="E185" s="141">
        <v>263.61149999999998</v>
      </c>
      <c r="F185" s="141">
        <v>263.63679999999999</v>
      </c>
      <c r="G185" s="141">
        <v>263.68349999999998</v>
      </c>
      <c r="H185" s="141">
        <v>263.64510000000001</v>
      </c>
      <c r="I185" s="141">
        <v>263.43819999999999</v>
      </c>
      <c r="J185" s="141">
        <v>263.43610000000001</v>
      </c>
      <c r="K185" s="141">
        <v>263.43239999999997</v>
      </c>
      <c r="L185" s="141">
        <v>263.43939999999998</v>
      </c>
      <c r="M185" s="141">
        <v>263.42669999999998</v>
      </c>
      <c r="N185" s="141">
        <v>263.41719999999998</v>
      </c>
      <c r="O185" s="141">
        <v>263.40269999999998</v>
      </c>
      <c r="P185" s="141">
        <v>263.39299999999997</v>
      </c>
      <c r="Q185" s="141">
        <v>263.39890000000003</v>
      </c>
      <c r="R185" s="141">
        <v>263.55090000000001</v>
      </c>
      <c r="S185" s="141">
        <v>263.4196</v>
      </c>
      <c r="T185" s="141">
        <v>263.44560000000001</v>
      </c>
      <c r="U185" s="141">
        <v>263.43380000000002</v>
      </c>
      <c r="V185" s="141">
        <v>263.42660000000001</v>
      </c>
      <c r="W185" s="141">
        <v>263.43950000000001</v>
      </c>
      <c r="X185" s="153">
        <v>263.4348</v>
      </c>
      <c r="Y185" s="141">
        <f t="shared" si="20"/>
        <v>263.49086363636366</v>
      </c>
      <c r="Z185" s="141">
        <f t="shared" ref="Z185:Z191" si="28">Z184+5/100</f>
        <v>263.65996818181821</v>
      </c>
      <c r="AA185" s="159">
        <f t="shared" si="21"/>
        <v>0.16910454545455877</v>
      </c>
      <c r="AB185" s="171">
        <v>102</v>
      </c>
      <c r="AC185" s="160">
        <f t="shared" si="22"/>
        <v>86.243318181824975</v>
      </c>
      <c r="AD185" s="472"/>
    </row>
    <row r="186" spans="1:30" ht="14.25" x14ac:dyDescent="0.45">
      <c r="A186" s="600"/>
      <c r="B186" s="146">
        <v>15</v>
      </c>
      <c r="C186" s="153">
        <v>263.65170000000001</v>
      </c>
      <c r="D186" s="141">
        <v>263.87540000000001</v>
      </c>
      <c r="E186" s="141">
        <v>263.9787</v>
      </c>
      <c r="F186" s="141">
        <v>263.90359999999998</v>
      </c>
      <c r="G186" s="141">
        <v>263.89659999999998</v>
      </c>
      <c r="H186" s="141">
        <v>263.67270000000002</v>
      </c>
      <c r="I186" s="141">
        <v>263.46800000000002</v>
      </c>
      <c r="J186" s="141">
        <v>263.46339999999998</v>
      </c>
      <c r="K186" s="141">
        <v>263.45519999999999</v>
      </c>
      <c r="L186" s="141">
        <v>263.45150000000001</v>
      </c>
      <c r="M186" s="141">
        <v>263.4357</v>
      </c>
      <c r="N186" s="141">
        <v>263.43450000000001</v>
      </c>
      <c r="O186" s="141">
        <v>263.41930000000002</v>
      </c>
      <c r="P186" s="141">
        <v>263.39690000000002</v>
      </c>
      <c r="Q186" s="141">
        <v>263.42500000000001</v>
      </c>
      <c r="R186" s="141">
        <v>263.45920000000001</v>
      </c>
      <c r="S186" s="141">
        <v>263.43060000000003</v>
      </c>
      <c r="T186" s="141">
        <v>263.45409999999998</v>
      </c>
      <c r="U186" s="141">
        <v>263.41759999999999</v>
      </c>
      <c r="V186" s="141">
        <v>263.44959999999998</v>
      </c>
      <c r="W186" s="141">
        <v>263.45530000000002</v>
      </c>
      <c r="X186" s="153">
        <v>263.45249999999999</v>
      </c>
      <c r="Y186" s="141">
        <f t="shared" si="20"/>
        <v>263.54759545454544</v>
      </c>
      <c r="Z186" s="141">
        <f t="shared" si="28"/>
        <v>263.70996818181823</v>
      </c>
      <c r="AA186" s="159">
        <f t="shared" si="21"/>
        <v>0.16237272727278196</v>
      </c>
      <c r="AB186" s="171">
        <v>102</v>
      </c>
      <c r="AC186" s="160">
        <f t="shared" si="22"/>
        <v>82.810090909118799</v>
      </c>
      <c r="AD186" s="472"/>
    </row>
    <row r="187" spans="1:30" ht="14.25" x14ac:dyDescent="0.45">
      <c r="A187" s="600"/>
      <c r="B187" s="146">
        <v>20</v>
      </c>
      <c r="C187" s="153">
        <v>263.63119999999998</v>
      </c>
      <c r="D187" s="141">
        <v>263.91419999999999</v>
      </c>
      <c r="E187" s="141">
        <v>264.06509999999997</v>
      </c>
      <c r="F187" s="141">
        <v>263.96539999999999</v>
      </c>
      <c r="G187" s="141">
        <v>263.87880000000001</v>
      </c>
      <c r="H187" s="141">
        <v>263.65719999999999</v>
      </c>
      <c r="I187" s="141">
        <v>263.5093</v>
      </c>
      <c r="J187" s="141">
        <v>263.49360000000001</v>
      </c>
      <c r="K187" s="141">
        <v>263.49489999999997</v>
      </c>
      <c r="L187" s="141">
        <v>263.48140000000001</v>
      </c>
      <c r="M187" s="141">
        <v>263.48070000000001</v>
      </c>
      <c r="N187" s="141">
        <v>263.4785</v>
      </c>
      <c r="O187" s="141">
        <v>263.42090000000002</v>
      </c>
      <c r="P187" s="141">
        <v>263.43900000000002</v>
      </c>
      <c r="Q187" s="141">
        <v>263.42290000000003</v>
      </c>
      <c r="R187" s="141">
        <v>263.4522</v>
      </c>
      <c r="S187" s="141">
        <v>263.44409999999999</v>
      </c>
      <c r="T187" s="141">
        <v>263.40379999999999</v>
      </c>
      <c r="U187" s="141">
        <v>263.39769999999999</v>
      </c>
      <c r="V187" s="141">
        <v>263.43950000000001</v>
      </c>
      <c r="W187" s="141">
        <v>263.48410000000001</v>
      </c>
      <c r="X187" s="153">
        <v>263.48919999999998</v>
      </c>
      <c r="Y187" s="141">
        <f t="shared" si="20"/>
        <v>263.56562272727274</v>
      </c>
      <c r="Z187" s="141">
        <f t="shared" si="28"/>
        <v>263.75996818181824</v>
      </c>
      <c r="AA187" s="159">
        <f t="shared" si="21"/>
        <v>0.19434545454549834</v>
      </c>
      <c r="AB187" s="171">
        <v>102</v>
      </c>
      <c r="AC187" s="160">
        <f t="shared" si="22"/>
        <v>99.116181818204154</v>
      </c>
      <c r="AD187" s="472"/>
    </row>
    <row r="188" spans="1:30" ht="14.25" x14ac:dyDescent="0.45">
      <c r="A188" s="600"/>
      <c r="B188" s="146">
        <v>25</v>
      </c>
      <c r="C188" s="153">
        <v>263.66030000000001</v>
      </c>
      <c r="D188" s="141">
        <v>263.86900000000003</v>
      </c>
      <c r="E188" s="141">
        <v>264.1037</v>
      </c>
      <c r="F188" s="141">
        <v>264.01729999999998</v>
      </c>
      <c r="G188" s="141">
        <v>263.9522</v>
      </c>
      <c r="H188" s="141">
        <v>263.58920000000001</v>
      </c>
      <c r="I188" s="141">
        <v>263.5231</v>
      </c>
      <c r="J188" s="141">
        <v>263.50599999999997</v>
      </c>
      <c r="K188" s="141">
        <v>263.50869999999998</v>
      </c>
      <c r="L188" s="141">
        <v>263.53460000000001</v>
      </c>
      <c r="M188" s="141">
        <v>263.5104</v>
      </c>
      <c r="N188" s="141">
        <v>263.5</v>
      </c>
      <c r="O188" s="141">
        <v>263.46899999999999</v>
      </c>
      <c r="P188" s="141">
        <v>263.46370000000002</v>
      </c>
      <c r="Q188" s="141">
        <v>263.46780000000001</v>
      </c>
      <c r="R188" s="141">
        <v>263.48469999999998</v>
      </c>
      <c r="S188" s="141">
        <v>263.45249999999999</v>
      </c>
      <c r="T188" s="141">
        <v>263.43450000000001</v>
      </c>
      <c r="U188" s="141">
        <v>263.4434</v>
      </c>
      <c r="V188" s="141">
        <v>263.44639999999998</v>
      </c>
      <c r="W188" s="141">
        <v>263.46539999999999</v>
      </c>
      <c r="X188" s="153">
        <v>263.5068</v>
      </c>
      <c r="Y188" s="141">
        <f t="shared" si="20"/>
        <v>263.58675909090914</v>
      </c>
      <c r="Z188" s="141">
        <f t="shared" si="28"/>
        <v>263.80996818181825</v>
      </c>
      <c r="AA188" s="159">
        <f t="shared" si="21"/>
        <v>0.22320909090910845</v>
      </c>
      <c r="AB188" s="171">
        <v>102</v>
      </c>
      <c r="AC188" s="160">
        <f t="shared" si="22"/>
        <v>113.83663636364531</v>
      </c>
      <c r="AD188" s="472"/>
    </row>
    <row r="189" spans="1:30" ht="14.25" x14ac:dyDescent="0.45">
      <c r="A189" s="600"/>
      <c r="B189" s="146">
        <v>30</v>
      </c>
      <c r="C189" s="153">
        <v>263.74119999999999</v>
      </c>
      <c r="D189" s="141">
        <v>263.97149999999999</v>
      </c>
      <c r="E189" s="141">
        <v>263.87049999999999</v>
      </c>
      <c r="F189" s="141">
        <v>263.96749999999997</v>
      </c>
      <c r="G189" s="141">
        <v>263.94810000000001</v>
      </c>
      <c r="H189" s="141">
        <v>263.5711</v>
      </c>
      <c r="I189" s="141">
        <v>263.55450000000002</v>
      </c>
      <c r="J189" s="141">
        <v>263.50799999999998</v>
      </c>
      <c r="K189" s="141">
        <v>263.51049999999998</v>
      </c>
      <c r="L189" s="141">
        <v>263.5308</v>
      </c>
      <c r="M189" s="141">
        <v>263.52839999999998</v>
      </c>
      <c r="N189" s="141">
        <v>263.5111</v>
      </c>
      <c r="O189" s="141">
        <v>263.51209999999998</v>
      </c>
      <c r="P189" s="141">
        <v>263.52929999999998</v>
      </c>
      <c r="Q189" s="141">
        <v>263.51420000000002</v>
      </c>
      <c r="R189" s="141">
        <v>263.52960000000002</v>
      </c>
      <c r="S189" s="141">
        <v>263.49489999999997</v>
      </c>
      <c r="T189" s="141">
        <v>263.4776</v>
      </c>
      <c r="U189" s="141">
        <v>263.49180000000001</v>
      </c>
      <c r="V189" s="141">
        <v>263.4846</v>
      </c>
      <c r="W189" s="141">
        <v>263.46409999999997</v>
      </c>
      <c r="X189" s="153">
        <v>263.48309999999998</v>
      </c>
      <c r="Y189" s="141">
        <f t="shared" si="20"/>
        <v>263.59975000000003</v>
      </c>
      <c r="Z189" s="141">
        <f t="shared" si="28"/>
        <v>263.85996818181826</v>
      </c>
      <c r="AA189" s="159">
        <f t="shared" si="21"/>
        <v>0.26021818181823164</v>
      </c>
      <c r="AB189" s="171">
        <v>102</v>
      </c>
      <c r="AC189" s="160">
        <f t="shared" si="22"/>
        <v>132.71127272729814</v>
      </c>
      <c r="AD189" s="472"/>
    </row>
    <row r="190" spans="1:30" ht="14.25" x14ac:dyDescent="0.45">
      <c r="A190" s="600"/>
      <c r="B190" s="146">
        <v>35</v>
      </c>
      <c r="C190" s="153">
        <v>263.71870000000001</v>
      </c>
      <c r="D190" s="141">
        <v>263.78370000000001</v>
      </c>
      <c r="E190" s="141">
        <v>263.75080000000003</v>
      </c>
      <c r="F190" s="141">
        <v>263.7722</v>
      </c>
      <c r="G190" s="141">
        <v>263.74560000000002</v>
      </c>
      <c r="H190" s="141">
        <v>263.57330000000002</v>
      </c>
      <c r="I190" s="141">
        <v>263.58870000000002</v>
      </c>
      <c r="J190" s="141">
        <v>263.5598</v>
      </c>
      <c r="K190" s="141">
        <v>263.54610000000002</v>
      </c>
      <c r="L190" s="141">
        <v>263.53710000000001</v>
      </c>
      <c r="M190" s="141">
        <v>263.53980000000001</v>
      </c>
      <c r="N190" s="141">
        <v>263.51780000000002</v>
      </c>
      <c r="O190" s="141">
        <v>263.5462</v>
      </c>
      <c r="P190" s="141">
        <v>263.52420000000001</v>
      </c>
      <c r="Q190" s="141">
        <v>263.56560000000002</v>
      </c>
      <c r="R190" s="141">
        <v>263.62830000000002</v>
      </c>
      <c r="S190" s="141">
        <v>263.54059999999998</v>
      </c>
      <c r="T190" s="141">
        <v>263.52190000000002</v>
      </c>
      <c r="U190" s="141">
        <v>263.51420000000002</v>
      </c>
      <c r="V190" s="141">
        <v>263.52170000000001</v>
      </c>
      <c r="W190" s="141">
        <v>263.52859999999998</v>
      </c>
      <c r="X190" s="153">
        <v>263.52280000000002</v>
      </c>
      <c r="Y190" s="141">
        <f t="shared" si="20"/>
        <v>263.59307727272721</v>
      </c>
      <c r="Z190" s="141">
        <f t="shared" si="28"/>
        <v>263.90996818181827</v>
      </c>
      <c r="AA190" s="159">
        <f t="shared" si="21"/>
        <v>0.31689090909105744</v>
      </c>
      <c r="AB190" s="171">
        <v>102</v>
      </c>
      <c r="AC190" s="160">
        <f t="shared" si="22"/>
        <v>161.61436363643929</v>
      </c>
      <c r="AD190" s="112"/>
    </row>
    <row r="191" spans="1:30" ht="14.25" x14ac:dyDescent="0.45">
      <c r="A191" s="601"/>
      <c r="B191" s="148">
        <v>40</v>
      </c>
      <c r="C191" s="154">
        <v>263.71129999999999</v>
      </c>
      <c r="D191" s="154">
        <v>263.75310000000002</v>
      </c>
      <c r="E191" s="154">
        <v>263.76220000000001</v>
      </c>
      <c r="F191" s="154">
        <v>263.72559999999999</v>
      </c>
      <c r="G191" s="154">
        <v>263.75619999999998</v>
      </c>
      <c r="H191" s="154">
        <v>263.61470000000003</v>
      </c>
      <c r="I191" s="154">
        <v>263.61939999999998</v>
      </c>
      <c r="J191" s="154">
        <v>263.58449999999999</v>
      </c>
      <c r="K191" s="154">
        <v>263.577</v>
      </c>
      <c r="L191" s="154">
        <v>263.59160000000003</v>
      </c>
      <c r="M191" s="154">
        <v>263.56790000000001</v>
      </c>
      <c r="N191" s="154">
        <v>263.57589999999999</v>
      </c>
      <c r="O191" s="154">
        <v>263.5847</v>
      </c>
      <c r="P191" s="154">
        <v>263.54559999999998</v>
      </c>
      <c r="Q191" s="154">
        <v>263.56139999999999</v>
      </c>
      <c r="R191" s="154">
        <v>263.5557</v>
      </c>
      <c r="S191" s="154">
        <v>263.56319999999999</v>
      </c>
      <c r="T191" s="154">
        <v>263.55680000000001</v>
      </c>
      <c r="U191" s="154">
        <v>263.55040000000002</v>
      </c>
      <c r="V191" s="154">
        <v>263.54160000000002</v>
      </c>
      <c r="W191" s="154">
        <v>263.58210000000003</v>
      </c>
      <c r="X191" s="154">
        <v>263.56630000000001</v>
      </c>
      <c r="Y191" s="142">
        <f t="shared" si="20"/>
        <v>263.61123636363641</v>
      </c>
      <c r="Z191" s="142">
        <f t="shared" si="28"/>
        <v>263.95996818181828</v>
      </c>
      <c r="AA191" s="159">
        <f t="shared" si="21"/>
        <v>0.34873181818187504</v>
      </c>
      <c r="AB191" s="174">
        <v>102</v>
      </c>
      <c r="AC191" s="162">
        <f t="shared" si="22"/>
        <v>177.85322727275627</v>
      </c>
      <c r="AD191" s="112">
        <f>SUM(AC183:AC191)</f>
        <v>962.17063636383159</v>
      </c>
    </row>
    <row r="192" spans="1:30" ht="14.25" x14ac:dyDescent="0.45">
      <c r="A192" s="599" t="s">
        <v>37</v>
      </c>
      <c r="B192" s="147">
        <v>0</v>
      </c>
      <c r="C192" s="151">
        <v>263.7756</v>
      </c>
      <c r="D192" s="151">
        <v>263.7552</v>
      </c>
      <c r="E192" s="151">
        <v>263.73970000000003</v>
      </c>
      <c r="F192" s="151">
        <v>263.71929999999998</v>
      </c>
      <c r="G192" s="151">
        <v>263.72699999999998</v>
      </c>
      <c r="H192" s="151">
        <v>263.73689999999999</v>
      </c>
      <c r="I192" s="151">
        <v>263.84120000000001</v>
      </c>
      <c r="J192" s="151">
        <v>263.75099999999998</v>
      </c>
      <c r="K192" s="151">
        <v>263.77019999999999</v>
      </c>
      <c r="L192" s="151">
        <v>263.77780000000001</v>
      </c>
      <c r="M192" s="151">
        <v>263.78250000000003</v>
      </c>
      <c r="N192" s="151">
        <v>263.74650000000003</v>
      </c>
      <c r="O192" s="151">
        <v>263.76639999999998</v>
      </c>
      <c r="P192" s="151">
        <v>263.78530000000001</v>
      </c>
      <c r="Q192" s="151">
        <v>263.7448</v>
      </c>
      <c r="R192" s="151">
        <v>263.76670000000001</v>
      </c>
      <c r="S192" s="151">
        <v>263.77890000000002</v>
      </c>
      <c r="T192" s="151">
        <v>263.78030000000001</v>
      </c>
      <c r="U192" s="151">
        <v>263.84440000000001</v>
      </c>
      <c r="V192" s="151">
        <v>263.6748</v>
      </c>
      <c r="W192" s="151">
        <v>263.68290000000002</v>
      </c>
      <c r="X192" s="116"/>
      <c r="Y192" s="140">
        <f t="shared" si="20"/>
        <v>263.75940000000003</v>
      </c>
      <c r="Z192" s="140">
        <f t="shared" ref="Z192:Z196" si="29">Z193-5/100</f>
        <v>263.8147523809522</v>
      </c>
      <c r="AA192" s="159">
        <f t="shared" si="21"/>
        <v>5.5352380952172098E-2</v>
      </c>
      <c r="AB192" s="172">
        <v>102</v>
      </c>
      <c r="AC192" s="158">
        <f t="shared" si="22"/>
        <v>28.22971428560777</v>
      </c>
      <c r="AD192" s="472"/>
    </row>
    <row r="193" spans="1:30" ht="14.25" x14ac:dyDescent="0.45">
      <c r="A193" s="600"/>
      <c r="B193" s="146">
        <v>5</v>
      </c>
      <c r="C193" s="153">
        <v>263.78309999999999</v>
      </c>
      <c r="D193" s="141">
        <v>263.78789999999998</v>
      </c>
      <c r="E193" s="141">
        <v>263.79169999999999</v>
      </c>
      <c r="F193" s="141">
        <v>263.74619999999999</v>
      </c>
      <c r="G193" s="141">
        <v>263.73630000000003</v>
      </c>
      <c r="H193" s="141">
        <v>263.74950000000001</v>
      </c>
      <c r="I193" s="141">
        <v>263.81939999999997</v>
      </c>
      <c r="J193" s="141">
        <v>263.77190000000002</v>
      </c>
      <c r="K193" s="141">
        <v>263.79320000000001</v>
      </c>
      <c r="L193" s="141">
        <v>263.77940000000001</v>
      </c>
      <c r="M193" s="141">
        <v>263.81709999999998</v>
      </c>
      <c r="N193" s="141">
        <v>263.79399999999998</v>
      </c>
      <c r="O193" s="141">
        <v>263.8021</v>
      </c>
      <c r="P193" s="141">
        <v>263.7715</v>
      </c>
      <c r="Q193" s="141">
        <v>263.76429999999999</v>
      </c>
      <c r="R193" s="141">
        <v>263.767</v>
      </c>
      <c r="S193" s="141">
        <v>263.91969999999998</v>
      </c>
      <c r="T193" s="141">
        <v>263.76560000000001</v>
      </c>
      <c r="U193" s="141">
        <v>263.8417</v>
      </c>
      <c r="V193" s="141">
        <v>263.79629999999997</v>
      </c>
      <c r="W193" s="153">
        <v>263.66739999999999</v>
      </c>
      <c r="X193" s="108"/>
      <c r="Y193" s="141">
        <f t="shared" si="20"/>
        <v>263.78406190476187</v>
      </c>
      <c r="Z193" s="141">
        <f t="shared" si="29"/>
        <v>263.86475238095221</v>
      </c>
      <c r="AA193" s="159">
        <f t="shared" si="21"/>
        <v>8.0690476190341087E-2</v>
      </c>
      <c r="AB193" s="171">
        <v>102</v>
      </c>
      <c r="AC193" s="160">
        <f t="shared" si="22"/>
        <v>41.152142857073954</v>
      </c>
      <c r="AD193" s="472"/>
    </row>
    <row r="194" spans="1:30" ht="14.25" x14ac:dyDescent="0.45">
      <c r="A194" s="600"/>
      <c r="B194" s="146">
        <v>10</v>
      </c>
      <c r="C194" s="153">
        <v>263.77600000000001</v>
      </c>
      <c r="D194" s="141">
        <v>263.77690000000001</v>
      </c>
      <c r="E194" s="141">
        <v>263.80149999999998</v>
      </c>
      <c r="F194" s="141">
        <v>263.7971</v>
      </c>
      <c r="G194" s="141">
        <v>263.78750000000002</v>
      </c>
      <c r="H194" s="141">
        <v>263.78390000000002</v>
      </c>
      <c r="I194" s="141">
        <v>263.78250000000003</v>
      </c>
      <c r="J194" s="141">
        <v>263.79270000000002</v>
      </c>
      <c r="K194" s="141">
        <v>263.8</v>
      </c>
      <c r="L194" s="141">
        <v>263.79790000000003</v>
      </c>
      <c r="M194" s="141">
        <v>263.78250000000003</v>
      </c>
      <c r="N194" s="141">
        <v>263.80489999999998</v>
      </c>
      <c r="O194" s="141">
        <v>263.79300000000001</v>
      </c>
      <c r="P194" s="141">
        <v>263.8021</v>
      </c>
      <c r="Q194" s="141">
        <v>263.7783</v>
      </c>
      <c r="R194" s="141">
        <v>263.82589999999999</v>
      </c>
      <c r="S194" s="141">
        <v>263.80169999999998</v>
      </c>
      <c r="T194" s="141">
        <v>263.78530000000001</v>
      </c>
      <c r="U194" s="141">
        <v>263.80439999999999</v>
      </c>
      <c r="V194" s="141">
        <v>263.65010000000001</v>
      </c>
      <c r="W194" s="153">
        <v>263.60449999999997</v>
      </c>
      <c r="X194" s="108"/>
      <c r="Y194" s="141">
        <f t="shared" si="20"/>
        <v>263.77755714285718</v>
      </c>
      <c r="Z194" s="141">
        <f t="shared" si="29"/>
        <v>263.91475238095222</v>
      </c>
      <c r="AA194" s="159">
        <f t="shared" si="21"/>
        <v>0.13719523809504608</v>
      </c>
      <c r="AB194" s="171">
        <v>102</v>
      </c>
      <c r="AC194" s="160">
        <f t="shared" si="22"/>
        <v>69.9695714284735</v>
      </c>
      <c r="AD194" s="472"/>
    </row>
    <row r="195" spans="1:30" ht="14.25" x14ac:dyDescent="0.45">
      <c r="A195" s="600"/>
      <c r="B195" s="146">
        <v>15</v>
      </c>
      <c r="C195" s="153">
        <v>263.8125</v>
      </c>
      <c r="D195" s="141">
        <v>263.8064</v>
      </c>
      <c r="E195" s="141">
        <v>263.81130000000002</v>
      </c>
      <c r="F195" s="141">
        <v>263.83179999999999</v>
      </c>
      <c r="G195" s="141">
        <v>263.8075</v>
      </c>
      <c r="H195" s="141">
        <v>263.80970000000002</v>
      </c>
      <c r="I195" s="141">
        <v>263.85090000000002</v>
      </c>
      <c r="J195" s="141">
        <v>263.85610000000003</v>
      </c>
      <c r="K195" s="141">
        <v>263.8544</v>
      </c>
      <c r="L195" s="141">
        <v>263.83580000000001</v>
      </c>
      <c r="M195" s="141">
        <v>263.82780000000002</v>
      </c>
      <c r="N195" s="141">
        <v>263.82819999999998</v>
      </c>
      <c r="O195" s="141">
        <v>263.80020000000002</v>
      </c>
      <c r="P195" s="141">
        <v>263.81779999999998</v>
      </c>
      <c r="Q195" s="141">
        <v>263.80759999999998</v>
      </c>
      <c r="R195" s="141">
        <v>263.8338</v>
      </c>
      <c r="S195" s="141">
        <v>263.8109</v>
      </c>
      <c r="T195" s="141">
        <v>263.83569999999997</v>
      </c>
      <c r="U195" s="141">
        <v>263.88470000000001</v>
      </c>
      <c r="V195" s="141">
        <v>263.74419999999998</v>
      </c>
      <c r="W195" s="153">
        <v>263.71420000000001</v>
      </c>
      <c r="X195" s="108"/>
      <c r="Y195" s="141">
        <f t="shared" ref="Y195:Y258" si="30">AVERAGE(C195:X195)</f>
        <v>263.81816666666668</v>
      </c>
      <c r="Z195" s="141">
        <f t="shared" si="29"/>
        <v>263.96475238095223</v>
      </c>
      <c r="AA195" s="159">
        <f t="shared" si="21"/>
        <v>0.14658571428554978</v>
      </c>
      <c r="AB195" s="171">
        <v>102</v>
      </c>
      <c r="AC195" s="160">
        <f t="shared" si="22"/>
        <v>74.75871428563039</v>
      </c>
      <c r="AD195" s="472"/>
    </row>
    <row r="196" spans="1:30" ht="14.25" x14ac:dyDescent="0.45">
      <c r="A196" s="600"/>
      <c r="B196" s="146">
        <v>20</v>
      </c>
      <c r="C196" s="153">
        <v>263.84460000000001</v>
      </c>
      <c r="D196" s="141">
        <v>263.87520000000001</v>
      </c>
      <c r="E196" s="141">
        <v>263.8741</v>
      </c>
      <c r="F196" s="141">
        <v>263.88420000000002</v>
      </c>
      <c r="G196" s="141">
        <v>263.9119</v>
      </c>
      <c r="H196" s="141">
        <v>263.9228</v>
      </c>
      <c r="I196" s="141">
        <v>263.93119999999999</v>
      </c>
      <c r="J196" s="141">
        <v>263.88600000000002</v>
      </c>
      <c r="K196" s="141">
        <v>263.89330000000001</v>
      </c>
      <c r="L196" s="141">
        <v>263.8698</v>
      </c>
      <c r="M196" s="141">
        <v>263.86799999999999</v>
      </c>
      <c r="N196" s="141">
        <v>263.83859999999999</v>
      </c>
      <c r="O196" s="141">
        <v>263.8261</v>
      </c>
      <c r="P196" s="141">
        <v>263.83120000000002</v>
      </c>
      <c r="Q196" s="141">
        <v>263.78410000000002</v>
      </c>
      <c r="R196" s="141">
        <v>263.81220000000002</v>
      </c>
      <c r="S196" s="141">
        <v>263.82760000000002</v>
      </c>
      <c r="T196" s="141">
        <v>263.84559999999999</v>
      </c>
      <c r="U196" s="141">
        <v>264.10230000000001</v>
      </c>
      <c r="V196" s="141">
        <v>263.84500000000003</v>
      </c>
      <c r="W196" s="153">
        <v>263.84559999999999</v>
      </c>
      <c r="X196" s="108"/>
      <c r="Y196" s="141">
        <f t="shared" si="30"/>
        <v>263.87235238095229</v>
      </c>
      <c r="Z196" s="141">
        <f t="shared" si="29"/>
        <v>264.01475238095225</v>
      </c>
      <c r="AA196" s="159">
        <f t="shared" ref="AA196:AA259" si="31">Z196-Y196</f>
        <v>0.14239999999995234</v>
      </c>
      <c r="AB196" s="171">
        <v>102</v>
      </c>
      <c r="AC196" s="160">
        <f t="shared" ref="AC196:AC259" si="32">AB196*AA196*5</f>
        <v>72.623999999975695</v>
      </c>
      <c r="AD196" s="472"/>
    </row>
    <row r="197" spans="1:30" ht="14.25" x14ac:dyDescent="0.45">
      <c r="A197" s="600"/>
      <c r="B197" s="146">
        <v>25</v>
      </c>
      <c r="C197" s="153">
        <v>263.87970000000001</v>
      </c>
      <c r="D197" s="141">
        <v>263.8596</v>
      </c>
      <c r="E197" s="141">
        <v>263.86219999999997</v>
      </c>
      <c r="F197" s="141">
        <v>263.8732</v>
      </c>
      <c r="G197" s="141">
        <v>263.87459999999999</v>
      </c>
      <c r="H197" s="141">
        <v>263.88760000000002</v>
      </c>
      <c r="I197" s="141">
        <v>263.89789999999999</v>
      </c>
      <c r="J197" s="141">
        <v>263.90190000000001</v>
      </c>
      <c r="K197" s="141">
        <v>263.88589999999999</v>
      </c>
      <c r="L197" s="141">
        <v>263.89170000000001</v>
      </c>
      <c r="M197" s="141">
        <v>263.98680000000002</v>
      </c>
      <c r="N197" s="141">
        <v>263.86450000000002</v>
      </c>
      <c r="O197" s="141">
        <v>263.81389999999999</v>
      </c>
      <c r="P197" s="141">
        <v>263.81130000000002</v>
      </c>
      <c r="Q197" s="141">
        <v>263.82260000000002</v>
      </c>
      <c r="R197" s="141">
        <v>263.8159</v>
      </c>
      <c r="S197" s="141">
        <v>263.76319999999998</v>
      </c>
      <c r="T197" s="141">
        <v>263.83010000000002</v>
      </c>
      <c r="U197" s="141">
        <v>263.767</v>
      </c>
      <c r="V197" s="141">
        <v>263.8494</v>
      </c>
      <c r="W197" s="153">
        <v>263.84879999999998</v>
      </c>
      <c r="X197" s="108"/>
      <c r="Y197" s="141">
        <f t="shared" si="30"/>
        <v>263.85656190476192</v>
      </c>
      <c r="Z197" s="141">
        <f>Z198-5/100</f>
        <v>264.06475238095226</v>
      </c>
      <c r="AA197" s="159">
        <f t="shared" si="31"/>
        <v>0.20819047619033881</v>
      </c>
      <c r="AB197" s="171">
        <v>102</v>
      </c>
      <c r="AC197" s="160">
        <f t="shared" si="32"/>
        <v>106.17714285707279</v>
      </c>
      <c r="AD197" s="472"/>
    </row>
    <row r="198" spans="1:30" ht="14.25" x14ac:dyDescent="0.45">
      <c r="A198" s="600"/>
      <c r="B198" s="146">
        <v>30</v>
      </c>
      <c r="C198" s="153">
        <v>263.8827</v>
      </c>
      <c r="D198" s="141">
        <v>263.85320000000002</v>
      </c>
      <c r="E198" s="141">
        <v>263.87630000000001</v>
      </c>
      <c r="F198" s="141">
        <v>263.88459999999998</v>
      </c>
      <c r="G198" s="141">
        <v>263.89100000000002</v>
      </c>
      <c r="H198" s="141">
        <v>263.89519999999999</v>
      </c>
      <c r="I198" s="141">
        <v>263.88440000000003</v>
      </c>
      <c r="J198" s="141">
        <v>263.91090000000003</v>
      </c>
      <c r="K198" s="141">
        <v>263.89089999999999</v>
      </c>
      <c r="L198" s="141">
        <v>263.88069999999999</v>
      </c>
      <c r="M198" s="141">
        <v>263.95699999999999</v>
      </c>
      <c r="N198" s="141">
        <v>263.9554</v>
      </c>
      <c r="O198" s="141">
        <v>263.86</v>
      </c>
      <c r="P198" s="141">
        <v>263.84379999999999</v>
      </c>
      <c r="Q198" s="141">
        <v>263.83179999999999</v>
      </c>
      <c r="R198" s="141">
        <v>263.80799999999999</v>
      </c>
      <c r="S198" s="141">
        <v>263.82040000000001</v>
      </c>
      <c r="T198" s="141">
        <v>263.82819999999998</v>
      </c>
      <c r="U198" s="141">
        <v>263.65719999999999</v>
      </c>
      <c r="V198" s="141">
        <v>263.64100000000002</v>
      </c>
      <c r="W198" s="153">
        <v>263.64510000000001</v>
      </c>
      <c r="X198" s="124"/>
      <c r="Y198" s="167">
        <f t="shared" si="30"/>
        <v>263.84275238095228</v>
      </c>
      <c r="Z198" s="167">
        <f>Y198+0.2-0.003+0.075</f>
        <v>264.11475238095227</v>
      </c>
      <c r="AA198" s="159">
        <f t="shared" si="31"/>
        <v>0.27199999999999136</v>
      </c>
      <c r="AB198" s="173">
        <v>102</v>
      </c>
      <c r="AC198" s="160">
        <f t="shared" si="32"/>
        <v>138.71999999999559</v>
      </c>
      <c r="AD198" s="472"/>
    </row>
    <row r="199" spans="1:30" ht="14.25" x14ac:dyDescent="0.45">
      <c r="A199" s="600"/>
      <c r="B199" s="146">
        <v>35</v>
      </c>
      <c r="C199" s="153">
        <v>263.87299999999999</v>
      </c>
      <c r="D199" s="141">
        <v>263.86450000000002</v>
      </c>
      <c r="E199" s="141">
        <v>263.91829999999999</v>
      </c>
      <c r="F199" s="141">
        <v>263.91629999999998</v>
      </c>
      <c r="G199" s="141">
        <v>263.916</v>
      </c>
      <c r="H199" s="141">
        <v>263.95069999999998</v>
      </c>
      <c r="I199" s="141">
        <v>263.93509999999998</v>
      </c>
      <c r="J199" s="141">
        <v>263.95729999999998</v>
      </c>
      <c r="K199" s="141">
        <v>263.91890000000001</v>
      </c>
      <c r="L199" s="141">
        <v>263.90260000000001</v>
      </c>
      <c r="M199" s="141">
        <v>263.98750000000001</v>
      </c>
      <c r="N199" s="141">
        <v>263.9896</v>
      </c>
      <c r="O199" s="141">
        <v>263.91340000000002</v>
      </c>
      <c r="P199" s="141">
        <v>263.87430000000001</v>
      </c>
      <c r="Q199" s="141">
        <v>263.85410000000002</v>
      </c>
      <c r="R199" s="141">
        <v>263.8338</v>
      </c>
      <c r="S199" s="141">
        <v>263.815</v>
      </c>
      <c r="T199" s="141">
        <v>263.86840000000001</v>
      </c>
      <c r="U199" s="141">
        <v>263.7466</v>
      </c>
      <c r="V199" s="141">
        <v>263.6062</v>
      </c>
      <c r="W199" s="153">
        <v>263.67380000000003</v>
      </c>
      <c r="X199" s="108"/>
      <c r="Y199" s="141">
        <f t="shared" si="30"/>
        <v>263.87216190476187</v>
      </c>
      <c r="Z199" s="141">
        <f>Z198-5/100</f>
        <v>264.06475238095226</v>
      </c>
      <c r="AA199" s="159">
        <f t="shared" si="31"/>
        <v>0.19259047619038938</v>
      </c>
      <c r="AB199" s="171">
        <v>102</v>
      </c>
      <c r="AC199" s="160">
        <f t="shared" si="32"/>
        <v>98.221142857098584</v>
      </c>
      <c r="AD199" s="472"/>
    </row>
    <row r="200" spans="1:30" ht="14.25" x14ac:dyDescent="0.45">
      <c r="A200" s="600"/>
      <c r="B200" s="146">
        <v>40</v>
      </c>
      <c r="C200" s="153">
        <v>263.88200000000001</v>
      </c>
      <c r="D200" s="141">
        <v>263.89589999999998</v>
      </c>
      <c r="E200" s="141">
        <v>263.91109999999998</v>
      </c>
      <c r="F200" s="141">
        <v>263.95409999999998</v>
      </c>
      <c r="G200" s="141">
        <v>263.94650000000001</v>
      </c>
      <c r="H200" s="141">
        <v>263.97300000000001</v>
      </c>
      <c r="I200" s="141">
        <v>263.96370000000002</v>
      </c>
      <c r="J200" s="141">
        <v>263.9803</v>
      </c>
      <c r="K200" s="141">
        <v>263.94499999999999</v>
      </c>
      <c r="L200" s="141">
        <v>263.9427</v>
      </c>
      <c r="M200" s="141">
        <v>263.99810000000002</v>
      </c>
      <c r="N200" s="141">
        <v>264.00650000000002</v>
      </c>
      <c r="O200" s="141">
        <v>263.93239999999997</v>
      </c>
      <c r="P200" s="141">
        <v>263.89550000000003</v>
      </c>
      <c r="Q200" s="141">
        <v>263.87569999999999</v>
      </c>
      <c r="R200" s="141">
        <v>263.85559999999998</v>
      </c>
      <c r="S200" s="141">
        <v>263.83879999999999</v>
      </c>
      <c r="T200" s="141">
        <v>263.93810000000002</v>
      </c>
      <c r="U200" s="141">
        <v>263.81240000000003</v>
      </c>
      <c r="V200" s="141">
        <v>263.70100000000002</v>
      </c>
      <c r="W200" s="153">
        <v>263.70600000000002</v>
      </c>
      <c r="X200" s="108"/>
      <c r="Y200" s="141">
        <f t="shared" si="30"/>
        <v>263.90259047619054</v>
      </c>
      <c r="Z200" s="141">
        <f t="shared" ref="Z200:Z204" si="33">Z199-5/100</f>
        <v>264.01475238095225</v>
      </c>
      <c r="AA200" s="159">
        <f t="shared" si="31"/>
        <v>0.11216190476170596</v>
      </c>
      <c r="AB200" s="171">
        <v>102</v>
      </c>
      <c r="AC200" s="160">
        <f t="shared" si="32"/>
        <v>57.202571428470037</v>
      </c>
      <c r="AD200" s="472"/>
    </row>
    <row r="201" spans="1:30" ht="14.25" x14ac:dyDescent="0.45">
      <c r="A201" s="600"/>
      <c r="B201" s="146">
        <v>45</v>
      </c>
      <c r="C201" s="153">
        <v>263.86630000000002</v>
      </c>
      <c r="D201" s="141">
        <v>263.88319999999999</v>
      </c>
      <c r="E201" s="141">
        <v>263.90820000000002</v>
      </c>
      <c r="F201" s="141">
        <v>263.93579999999997</v>
      </c>
      <c r="G201" s="141">
        <v>263.96620000000001</v>
      </c>
      <c r="H201" s="141">
        <v>263.96159999999998</v>
      </c>
      <c r="I201" s="141">
        <v>263.97629999999998</v>
      </c>
      <c r="J201" s="141">
        <v>263.9982</v>
      </c>
      <c r="K201" s="141">
        <v>263.97070000000002</v>
      </c>
      <c r="L201" s="141">
        <v>263.95699999999999</v>
      </c>
      <c r="M201" s="141">
        <v>264.06810000000002</v>
      </c>
      <c r="N201" s="141">
        <v>264.00990000000002</v>
      </c>
      <c r="O201" s="141">
        <v>263.9522</v>
      </c>
      <c r="P201" s="141">
        <v>263.91739999999999</v>
      </c>
      <c r="Q201" s="141">
        <v>263.89710000000002</v>
      </c>
      <c r="R201" s="141">
        <v>263.87709999999998</v>
      </c>
      <c r="S201" s="141">
        <v>263.86219999999997</v>
      </c>
      <c r="T201" s="141">
        <v>264.0813</v>
      </c>
      <c r="U201" s="141">
        <v>263.8424</v>
      </c>
      <c r="V201" s="141">
        <v>263.78440000000001</v>
      </c>
      <c r="W201" s="153">
        <v>263.70030000000003</v>
      </c>
      <c r="X201" s="108"/>
      <c r="Y201" s="141">
        <f t="shared" si="30"/>
        <v>263.92456666666669</v>
      </c>
      <c r="Z201" s="141">
        <f t="shared" si="33"/>
        <v>263.96475238095223</v>
      </c>
      <c r="AA201" s="159">
        <f t="shared" si="31"/>
        <v>4.0185714285541962E-2</v>
      </c>
      <c r="AB201" s="171">
        <v>102</v>
      </c>
      <c r="AC201" s="160">
        <f t="shared" si="32"/>
        <v>20.494714285626401</v>
      </c>
      <c r="AD201" s="472"/>
    </row>
    <row r="202" spans="1:30" ht="14.25" x14ac:dyDescent="0.45">
      <c r="A202" s="600"/>
      <c r="B202" s="146">
        <v>50</v>
      </c>
      <c r="C202" s="153">
        <v>263.87400000000002</v>
      </c>
      <c r="D202" s="141">
        <v>263.89389999999997</v>
      </c>
      <c r="E202" s="141">
        <v>263.89190000000002</v>
      </c>
      <c r="F202" s="141">
        <v>263.93459999999999</v>
      </c>
      <c r="G202" s="141">
        <v>263.95159999999998</v>
      </c>
      <c r="H202" s="141">
        <v>263.97179999999997</v>
      </c>
      <c r="I202" s="141">
        <v>263.98719999999997</v>
      </c>
      <c r="J202" s="141">
        <v>264.01280000000003</v>
      </c>
      <c r="K202" s="141">
        <v>264.00139999999999</v>
      </c>
      <c r="L202" s="141">
        <v>263.96539999999999</v>
      </c>
      <c r="M202" s="141">
        <v>263.99349999999998</v>
      </c>
      <c r="N202" s="141">
        <v>263.983</v>
      </c>
      <c r="O202" s="141">
        <v>263.97160000000002</v>
      </c>
      <c r="P202" s="141">
        <v>263.93880000000001</v>
      </c>
      <c r="Q202" s="141">
        <v>263.91879999999998</v>
      </c>
      <c r="R202" s="141">
        <v>263.89920000000001</v>
      </c>
      <c r="S202" s="141">
        <v>263.9402</v>
      </c>
      <c r="T202" s="141">
        <v>264.08690000000001</v>
      </c>
      <c r="U202" s="141">
        <v>263.8571</v>
      </c>
      <c r="V202" s="141">
        <v>263.7414</v>
      </c>
      <c r="W202" s="153">
        <v>263.76400000000001</v>
      </c>
      <c r="X202" s="108"/>
      <c r="Y202" s="141">
        <f t="shared" si="30"/>
        <v>263.93233809523815</v>
      </c>
      <c r="Z202" s="141">
        <f t="shared" si="33"/>
        <v>263.91475238095222</v>
      </c>
      <c r="AA202" s="159">
        <f t="shared" si="31"/>
        <v>-1.7585714285928589E-2</v>
      </c>
      <c r="AB202" s="171">
        <v>102</v>
      </c>
      <c r="AC202" s="160">
        <f t="shared" si="32"/>
        <v>-8.9687142858235802</v>
      </c>
      <c r="AD202" s="472"/>
    </row>
    <row r="203" spans="1:30" ht="14.25" x14ac:dyDescent="0.45">
      <c r="A203" s="600"/>
      <c r="B203" s="146">
        <v>55</v>
      </c>
      <c r="C203" s="153">
        <v>263.9502</v>
      </c>
      <c r="D203" s="141">
        <v>263.94290000000001</v>
      </c>
      <c r="E203" s="141">
        <v>263.97359999999998</v>
      </c>
      <c r="F203" s="141">
        <v>263.92619999999999</v>
      </c>
      <c r="G203" s="141">
        <v>263.96789999999999</v>
      </c>
      <c r="H203" s="141">
        <v>263.98259999999999</v>
      </c>
      <c r="I203" s="141">
        <v>263.99740000000003</v>
      </c>
      <c r="J203" s="141">
        <v>264.02760000000001</v>
      </c>
      <c r="K203" s="141">
        <v>264.01979999999998</v>
      </c>
      <c r="L203" s="141">
        <v>264.01350000000002</v>
      </c>
      <c r="M203" s="141">
        <v>264.04939999999999</v>
      </c>
      <c r="N203" s="141">
        <v>264.04360000000003</v>
      </c>
      <c r="O203" s="141">
        <v>263.98500000000001</v>
      </c>
      <c r="P203" s="141">
        <v>263.96280000000002</v>
      </c>
      <c r="Q203" s="141">
        <v>263.94909999999999</v>
      </c>
      <c r="R203" s="141">
        <v>263.9751</v>
      </c>
      <c r="S203" s="141">
        <v>263.94830000000002</v>
      </c>
      <c r="T203" s="141">
        <v>264.13310000000001</v>
      </c>
      <c r="U203" s="141">
        <v>263.76859999999999</v>
      </c>
      <c r="V203" s="141">
        <v>263.78070000000002</v>
      </c>
      <c r="W203" s="153">
        <v>263.81259999999997</v>
      </c>
      <c r="X203" s="108"/>
      <c r="Y203" s="141">
        <f t="shared" si="30"/>
        <v>263.96238095238095</v>
      </c>
      <c r="Z203" s="141">
        <f t="shared" si="33"/>
        <v>263.86475238095221</v>
      </c>
      <c r="AA203" s="159">
        <f t="shared" si="31"/>
        <v>-9.7628571428742816E-2</v>
      </c>
      <c r="AB203" s="171">
        <v>102</v>
      </c>
      <c r="AC203" s="160">
        <f t="shared" si="32"/>
        <v>-49.790571428658836</v>
      </c>
      <c r="AD203" s="472"/>
    </row>
    <row r="204" spans="1:30" ht="14.25" x14ac:dyDescent="0.45">
      <c r="A204" s="601"/>
      <c r="B204" s="148">
        <v>60</v>
      </c>
      <c r="C204" s="154">
        <v>263.94749999999999</v>
      </c>
      <c r="D204" s="154">
        <v>263.99880000000002</v>
      </c>
      <c r="E204" s="154">
        <v>263.99279999999999</v>
      </c>
      <c r="F204" s="154">
        <v>263.96850000000001</v>
      </c>
      <c r="G204" s="154">
        <v>264.02730000000003</v>
      </c>
      <c r="H204" s="154">
        <v>264.02140000000003</v>
      </c>
      <c r="I204" s="154">
        <v>264.0763</v>
      </c>
      <c r="J204" s="154">
        <v>264.0847</v>
      </c>
      <c r="K204" s="154">
        <v>264.04090000000002</v>
      </c>
      <c r="L204" s="154">
        <v>264.00569999999999</v>
      </c>
      <c r="M204" s="154">
        <v>264.0514</v>
      </c>
      <c r="N204" s="154">
        <v>264.03269999999998</v>
      </c>
      <c r="O204" s="154">
        <v>263.97710000000001</v>
      </c>
      <c r="P204" s="154">
        <v>263.9812</v>
      </c>
      <c r="Q204" s="154">
        <v>263.99369999999999</v>
      </c>
      <c r="R204" s="154">
        <v>263.97120000000001</v>
      </c>
      <c r="S204" s="154">
        <v>264.00099999999998</v>
      </c>
      <c r="T204" s="154">
        <v>264.2552</v>
      </c>
      <c r="U204" s="154">
        <v>263.79860000000002</v>
      </c>
      <c r="V204" s="154">
        <v>263.7704</v>
      </c>
      <c r="W204" s="154">
        <v>263.81470000000002</v>
      </c>
      <c r="X204" s="117"/>
      <c r="Y204" s="142">
        <f t="shared" si="30"/>
        <v>263.99100476190478</v>
      </c>
      <c r="Z204" s="142">
        <f t="shared" si="33"/>
        <v>263.8147523809522</v>
      </c>
      <c r="AA204" s="159">
        <f t="shared" si="31"/>
        <v>-0.176252380952576</v>
      </c>
      <c r="AB204" s="174">
        <v>102</v>
      </c>
      <c r="AC204" s="162">
        <f t="shared" si="32"/>
        <v>-89.888714285813762</v>
      </c>
      <c r="AD204" s="112">
        <f>SUM(AC192:AC204)</f>
        <v>558.90171428472854</v>
      </c>
    </row>
    <row r="205" spans="1:30" ht="14.25" x14ac:dyDescent="0.45">
      <c r="A205" s="599" t="s">
        <v>39</v>
      </c>
      <c r="B205" s="147">
        <v>0</v>
      </c>
      <c r="C205" s="151">
        <v>263.87759999999997</v>
      </c>
      <c r="D205" s="151">
        <v>263.81119999999999</v>
      </c>
      <c r="E205" s="151">
        <v>264.17500000000001</v>
      </c>
      <c r="F205" s="151">
        <v>264.48849999999999</v>
      </c>
      <c r="G205" s="151">
        <v>264.02370000000002</v>
      </c>
      <c r="H205" s="151">
        <v>263.81950000000001</v>
      </c>
      <c r="I205" s="151">
        <v>263.8091</v>
      </c>
      <c r="J205" s="151">
        <v>263.80579999999998</v>
      </c>
      <c r="K205" s="151">
        <v>263.80250000000001</v>
      </c>
      <c r="L205" s="151">
        <v>263.80590000000001</v>
      </c>
      <c r="M205" s="151">
        <v>263.81009999999998</v>
      </c>
      <c r="N205" s="151">
        <v>263.80509999999998</v>
      </c>
      <c r="O205" s="151">
        <v>263.8091</v>
      </c>
      <c r="P205" s="151">
        <v>263.79590000000002</v>
      </c>
      <c r="Q205" s="151">
        <v>263.80509999999998</v>
      </c>
      <c r="R205" s="151">
        <v>263.77510000000001</v>
      </c>
      <c r="S205" s="151">
        <v>263.76429999999999</v>
      </c>
      <c r="T205" s="151">
        <v>263.7851</v>
      </c>
      <c r="U205" s="151">
        <v>263.82429999999999</v>
      </c>
      <c r="V205" s="151">
        <v>263.64170000000001</v>
      </c>
      <c r="W205" s="151">
        <v>263.64690000000002</v>
      </c>
      <c r="X205" s="116"/>
      <c r="Y205" s="140">
        <f t="shared" si="30"/>
        <v>263.85150000000004</v>
      </c>
      <c r="Z205" s="140">
        <f t="shared" ref="Z205:Z210" si="34">Z206-5/100</f>
        <v>263.7648428571427</v>
      </c>
      <c r="AA205" s="159">
        <f t="shared" si="31"/>
        <v>-8.6657142857347935E-2</v>
      </c>
      <c r="AB205" s="172">
        <v>102</v>
      </c>
      <c r="AC205" s="158">
        <f t="shared" si="32"/>
        <v>-44.195142857247447</v>
      </c>
      <c r="AD205" s="472"/>
    </row>
    <row r="206" spans="1:30" ht="14.25" x14ac:dyDescent="0.45">
      <c r="A206" s="600"/>
      <c r="B206" s="146">
        <v>5</v>
      </c>
      <c r="C206" s="153">
        <v>264.6703</v>
      </c>
      <c r="D206" s="141">
        <v>264.51389999999998</v>
      </c>
      <c r="E206" s="141">
        <v>263.90089999999998</v>
      </c>
      <c r="F206" s="141">
        <v>263.7833</v>
      </c>
      <c r="G206" s="141">
        <v>263.80829999999997</v>
      </c>
      <c r="H206" s="141">
        <v>263.79489999999998</v>
      </c>
      <c r="I206" s="141">
        <v>263.79599999999999</v>
      </c>
      <c r="J206" s="141">
        <v>263.78739999999999</v>
      </c>
      <c r="K206" s="141">
        <v>263.7971</v>
      </c>
      <c r="L206" s="141">
        <v>263.78809999999999</v>
      </c>
      <c r="M206" s="141">
        <v>263.803</v>
      </c>
      <c r="N206" s="141">
        <v>263.7955</v>
      </c>
      <c r="O206" s="141">
        <v>263.80950000000001</v>
      </c>
      <c r="P206" s="141">
        <v>263.81380000000001</v>
      </c>
      <c r="Q206" s="141">
        <v>263.81450000000001</v>
      </c>
      <c r="R206" s="141">
        <v>263.82209999999998</v>
      </c>
      <c r="S206" s="141">
        <v>263.7903</v>
      </c>
      <c r="T206" s="141">
        <v>263.81099999999998</v>
      </c>
      <c r="U206" s="141">
        <v>263.85410000000002</v>
      </c>
      <c r="V206" s="141">
        <v>263.66609999999997</v>
      </c>
      <c r="W206" s="153">
        <v>263.6825</v>
      </c>
      <c r="X206" s="108"/>
      <c r="Y206" s="141">
        <f t="shared" si="30"/>
        <v>263.87155238095238</v>
      </c>
      <c r="Z206" s="141">
        <f t="shared" si="34"/>
        <v>263.81484285714271</v>
      </c>
      <c r="AA206" s="159">
        <f t="shared" si="31"/>
        <v>-5.6709523809672646E-2</v>
      </c>
      <c r="AB206" s="171">
        <v>102</v>
      </c>
      <c r="AC206" s="160">
        <f t="shared" si="32"/>
        <v>-28.92185714293305</v>
      </c>
      <c r="AD206" s="472"/>
    </row>
    <row r="207" spans="1:30" ht="14.25" x14ac:dyDescent="0.45">
      <c r="A207" s="600"/>
      <c r="B207" s="146">
        <v>10</v>
      </c>
      <c r="C207" s="153">
        <v>263.89030000000002</v>
      </c>
      <c r="D207" s="141">
        <v>263.78710000000001</v>
      </c>
      <c r="E207" s="141">
        <v>263.78550000000001</v>
      </c>
      <c r="F207" s="141">
        <v>263.79730000000001</v>
      </c>
      <c r="G207" s="141">
        <v>263.7783</v>
      </c>
      <c r="H207" s="141">
        <v>263.78289999999998</v>
      </c>
      <c r="I207" s="141">
        <v>263.79320000000001</v>
      </c>
      <c r="J207" s="141">
        <v>263.7654</v>
      </c>
      <c r="K207" s="141">
        <v>263.78960000000001</v>
      </c>
      <c r="L207" s="141">
        <v>263.80070000000001</v>
      </c>
      <c r="M207" s="141">
        <v>263.80020000000002</v>
      </c>
      <c r="N207" s="141">
        <v>263.81</v>
      </c>
      <c r="O207" s="141">
        <v>263.80149999999998</v>
      </c>
      <c r="P207" s="141">
        <v>263.80889999999999</v>
      </c>
      <c r="Q207" s="141">
        <v>263.82130000000001</v>
      </c>
      <c r="R207" s="141">
        <v>263.82929999999999</v>
      </c>
      <c r="S207" s="141">
        <v>263.83089999999999</v>
      </c>
      <c r="T207" s="141">
        <v>263.82220000000001</v>
      </c>
      <c r="U207" s="141">
        <v>263.86320000000001</v>
      </c>
      <c r="V207" s="141">
        <v>263.68799999999999</v>
      </c>
      <c r="W207" s="153">
        <v>263.70870000000002</v>
      </c>
      <c r="X207" s="108"/>
      <c r="Y207" s="141">
        <f t="shared" si="30"/>
        <v>263.79783333333336</v>
      </c>
      <c r="Z207" s="141">
        <f t="shared" si="34"/>
        <v>263.86484285714272</v>
      </c>
      <c r="AA207" s="159">
        <f t="shared" si="31"/>
        <v>6.7009523809360871E-2</v>
      </c>
      <c r="AB207" s="171">
        <v>102</v>
      </c>
      <c r="AC207" s="160">
        <f t="shared" si="32"/>
        <v>34.174857142774044</v>
      </c>
      <c r="AD207" s="472"/>
    </row>
    <row r="208" spans="1:30" ht="14.25" x14ac:dyDescent="0.45">
      <c r="A208" s="600"/>
      <c r="B208" s="146">
        <v>15</v>
      </c>
      <c r="C208" s="153">
        <v>263.79849999999999</v>
      </c>
      <c r="D208" s="141">
        <v>263.80169999999998</v>
      </c>
      <c r="E208" s="141">
        <v>263.80689999999998</v>
      </c>
      <c r="F208" s="141">
        <v>263.78809999999999</v>
      </c>
      <c r="G208" s="141">
        <v>263.77749999999997</v>
      </c>
      <c r="H208" s="141">
        <v>263.78160000000003</v>
      </c>
      <c r="I208" s="141">
        <v>263.76909999999998</v>
      </c>
      <c r="J208" s="141">
        <v>263.75819999999999</v>
      </c>
      <c r="K208" s="141">
        <v>263.78640000000001</v>
      </c>
      <c r="L208" s="141">
        <v>263.7885</v>
      </c>
      <c r="M208" s="141">
        <v>263.81110000000001</v>
      </c>
      <c r="N208" s="141">
        <v>263.8073</v>
      </c>
      <c r="O208" s="141">
        <v>263.7971</v>
      </c>
      <c r="P208" s="141">
        <v>263.80619999999999</v>
      </c>
      <c r="Q208" s="141">
        <v>263.84230000000002</v>
      </c>
      <c r="R208" s="141">
        <v>263.83699999999999</v>
      </c>
      <c r="S208" s="141">
        <v>263.8372</v>
      </c>
      <c r="T208" s="141">
        <v>263.84280000000001</v>
      </c>
      <c r="U208" s="141">
        <v>263.84789999999998</v>
      </c>
      <c r="V208" s="141">
        <v>263.70780000000002</v>
      </c>
      <c r="W208" s="153">
        <v>263.71269999999998</v>
      </c>
      <c r="X208" s="108"/>
      <c r="Y208" s="141">
        <f t="shared" si="30"/>
        <v>263.79551904761905</v>
      </c>
      <c r="Z208" s="141">
        <f t="shared" si="34"/>
        <v>263.91484285714273</v>
      </c>
      <c r="AA208" s="159">
        <f t="shared" si="31"/>
        <v>0.11932380952367794</v>
      </c>
      <c r="AB208" s="171">
        <v>102</v>
      </c>
      <c r="AC208" s="160">
        <f t="shared" si="32"/>
        <v>60.855142857075748</v>
      </c>
      <c r="AD208" s="472"/>
    </row>
    <row r="209" spans="1:30" ht="14.25" x14ac:dyDescent="0.45">
      <c r="A209" s="600"/>
      <c r="B209" s="146">
        <v>20</v>
      </c>
      <c r="C209" s="153">
        <v>263.81549999999999</v>
      </c>
      <c r="D209" s="141">
        <v>263.81920000000002</v>
      </c>
      <c r="E209" s="141">
        <v>263.81479999999999</v>
      </c>
      <c r="F209" s="141">
        <v>263.79649999999998</v>
      </c>
      <c r="G209" s="141">
        <v>263.79309999999998</v>
      </c>
      <c r="H209" s="141">
        <v>263.79680000000002</v>
      </c>
      <c r="I209" s="141">
        <v>263.77440000000001</v>
      </c>
      <c r="J209" s="141">
        <v>263.75490000000002</v>
      </c>
      <c r="K209" s="141">
        <v>263.77800000000002</v>
      </c>
      <c r="L209" s="141">
        <v>263.77980000000002</v>
      </c>
      <c r="M209" s="141">
        <v>263.7971</v>
      </c>
      <c r="N209" s="141">
        <v>263.81580000000002</v>
      </c>
      <c r="O209" s="141">
        <v>263.80900000000003</v>
      </c>
      <c r="P209" s="141">
        <v>263.81380000000001</v>
      </c>
      <c r="Q209" s="141">
        <v>263.82089999999999</v>
      </c>
      <c r="R209" s="141">
        <v>263.84160000000003</v>
      </c>
      <c r="S209" s="141">
        <v>263.85849999999999</v>
      </c>
      <c r="T209" s="141">
        <v>263.86959999999999</v>
      </c>
      <c r="U209" s="141">
        <v>263.85169999999999</v>
      </c>
      <c r="V209" s="141">
        <v>263.73540000000003</v>
      </c>
      <c r="W209" s="153">
        <v>263.73610000000002</v>
      </c>
      <c r="X209" s="108"/>
      <c r="Y209" s="141">
        <f t="shared" si="30"/>
        <v>263.80345238095242</v>
      </c>
      <c r="Z209" s="141">
        <f t="shared" si="34"/>
        <v>263.96484285714274</v>
      </c>
      <c r="AA209" s="159">
        <f t="shared" si="31"/>
        <v>0.16139047619031999</v>
      </c>
      <c r="AB209" s="171">
        <v>102</v>
      </c>
      <c r="AC209" s="160">
        <f t="shared" si="32"/>
        <v>82.309142857063193</v>
      </c>
      <c r="AD209" s="472"/>
    </row>
    <row r="210" spans="1:30" ht="14.25" x14ac:dyDescent="0.45">
      <c r="A210" s="600"/>
      <c r="B210" s="146">
        <v>25</v>
      </c>
      <c r="C210" s="153">
        <v>263.85160000000002</v>
      </c>
      <c r="D210" s="141">
        <v>263.84359999999998</v>
      </c>
      <c r="E210" s="141">
        <v>263.834</v>
      </c>
      <c r="F210" s="141">
        <v>263.80869999999999</v>
      </c>
      <c r="G210" s="141">
        <v>263.80889999999999</v>
      </c>
      <c r="H210" s="141">
        <v>263.8297</v>
      </c>
      <c r="I210" s="141">
        <v>263.80680000000001</v>
      </c>
      <c r="J210" s="141">
        <v>263.76749999999998</v>
      </c>
      <c r="K210" s="141">
        <v>263.77820000000003</v>
      </c>
      <c r="L210" s="141">
        <v>263.78800000000001</v>
      </c>
      <c r="M210" s="141">
        <v>263.77289999999999</v>
      </c>
      <c r="N210" s="141">
        <v>263.78469999999999</v>
      </c>
      <c r="O210" s="141">
        <v>263.80110000000002</v>
      </c>
      <c r="P210" s="141">
        <v>263.82479999999998</v>
      </c>
      <c r="Q210" s="141">
        <v>263.82690000000002</v>
      </c>
      <c r="R210" s="141">
        <v>263.83429999999998</v>
      </c>
      <c r="S210" s="141">
        <v>263.8451</v>
      </c>
      <c r="T210" s="141">
        <v>263.8528</v>
      </c>
      <c r="U210" s="141">
        <v>263.83390000000003</v>
      </c>
      <c r="V210" s="141">
        <v>263.74290000000002</v>
      </c>
      <c r="W210" s="153">
        <v>263.76069999999999</v>
      </c>
      <c r="X210" s="108"/>
      <c r="Y210" s="141">
        <f t="shared" si="30"/>
        <v>263.80938571428567</v>
      </c>
      <c r="Z210" s="141">
        <f t="shared" si="34"/>
        <v>264.01484285714275</v>
      </c>
      <c r="AA210" s="159">
        <f t="shared" si="31"/>
        <v>0.20545714285708527</v>
      </c>
      <c r="AB210" s="171">
        <v>102</v>
      </c>
      <c r="AC210" s="160">
        <f t="shared" si="32"/>
        <v>104.78314285711349</v>
      </c>
      <c r="AD210" s="472"/>
    </row>
    <row r="211" spans="1:30" ht="14.25" x14ac:dyDescent="0.45">
      <c r="A211" s="600"/>
      <c r="B211" s="146">
        <v>30</v>
      </c>
      <c r="C211" s="153">
        <v>263.84379999999999</v>
      </c>
      <c r="D211" s="141">
        <v>263.8544</v>
      </c>
      <c r="E211" s="141">
        <v>263.8476</v>
      </c>
      <c r="F211" s="141">
        <v>263.83030000000002</v>
      </c>
      <c r="G211" s="141">
        <v>263.83929999999998</v>
      </c>
      <c r="H211" s="141">
        <v>263.81490000000002</v>
      </c>
      <c r="I211" s="141">
        <v>263.80919999999998</v>
      </c>
      <c r="J211" s="141">
        <v>263.80279999999999</v>
      </c>
      <c r="K211" s="141">
        <v>263.8116</v>
      </c>
      <c r="L211" s="141">
        <v>263.79520000000002</v>
      </c>
      <c r="M211" s="141">
        <v>263.80650000000003</v>
      </c>
      <c r="N211" s="141">
        <v>263.80950000000001</v>
      </c>
      <c r="O211" s="141">
        <v>263.7885</v>
      </c>
      <c r="P211" s="141">
        <v>263.82209999999998</v>
      </c>
      <c r="Q211" s="141">
        <v>263.83260000000001</v>
      </c>
      <c r="R211" s="141">
        <v>263.8349</v>
      </c>
      <c r="S211" s="141">
        <v>263.81099999999998</v>
      </c>
      <c r="T211" s="141">
        <v>263.83839999999998</v>
      </c>
      <c r="U211" s="141">
        <v>263.8854</v>
      </c>
      <c r="V211" s="141">
        <v>263.74599999999998</v>
      </c>
      <c r="W211" s="153">
        <v>263.76339999999999</v>
      </c>
      <c r="X211" s="108"/>
      <c r="Y211" s="141">
        <f t="shared" si="30"/>
        <v>263.81844761904762</v>
      </c>
      <c r="Z211" s="141">
        <f>Z212-5/100</f>
        <v>264.06484285714276</v>
      </c>
      <c r="AA211" s="159">
        <f t="shared" si="31"/>
        <v>0.24639523809514685</v>
      </c>
      <c r="AB211" s="171">
        <v>102</v>
      </c>
      <c r="AC211" s="160">
        <f t="shared" si="32"/>
        <v>125.66157142852489</v>
      </c>
      <c r="AD211" s="472"/>
    </row>
    <row r="212" spans="1:30" ht="14.25" x14ac:dyDescent="0.45">
      <c r="A212" s="600"/>
      <c r="B212" s="146">
        <v>35</v>
      </c>
      <c r="C212" s="153">
        <v>263.83010000000002</v>
      </c>
      <c r="D212" s="141">
        <v>263.83179999999999</v>
      </c>
      <c r="E212" s="141">
        <v>263.82799999999997</v>
      </c>
      <c r="F212" s="141">
        <v>263.83999999999997</v>
      </c>
      <c r="G212" s="141">
        <v>263.86630000000002</v>
      </c>
      <c r="H212" s="141">
        <v>263.8494</v>
      </c>
      <c r="I212" s="141">
        <v>263.83949999999999</v>
      </c>
      <c r="J212" s="141">
        <v>263.84750000000003</v>
      </c>
      <c r="K212" s="141">
        <v>263.84359999999998</v>
      </c>
      <c r="L212" s="141">
        <v>263.81540000000001</v>
      </c>
      <c r="M212" s="141">
        <v>263.83580000000001</v>
      </c>
      <c r="N212" s="141">
        <v>263.82889999999998</v>
      </c>
      <c r="O212" s="141">
        <v>263.82990000000001</v>
      </c>
      <c r="P212" s="141">
        <v>263.83589999999998</v>
      </c>
      <c r="Q212" s="141">
        <v>263.84739999999999</v>
      </c>
      <c r="R212" s="141">
        <v>263.85309999999998</v>
      </c>
      <c r="S212" s="141">
        <v>263.85539999999997</v>
      </c>
      <c r="T212" s="141">
        <v>263.87479999999999</v>
      </c>
      <c r="U212" s="141">
        <v>263.887</v>
      </c>
      <c r="V212" s="141">
        <v>263.74759999999998</v>
      </c>
      <c r="W212" s="153">
        <v>263.78629999999998</v>
      </c>
      <c r="X212" s="108"/>
      <c r="Y212" s="167">
        <f t="shared" si="30"/>
        <v>263.83684285714281</v>
      </c>
      <c r="Z212" s="167">
        <f>Y212+0.2+0.003+0.075</f>
        <v>264.11484285714278</v>
      </c>
      <c r="AA212" s="159">
        <f t="shared" si="31"/>
        <v>0.27799999999996317</v>
      </c>
      <c r="AB212" s="173">
        <v>102</v>
      </c>
      <c r="AC212" s="160">
        <f t="shared" si="32"/>
        <v>141.77999999998121</v>
      </c>
      <c r="AD212" s="472"/>
    </row>
    <row r="213" spans="1:30" ht="14.25" x14ac:dyDescent="0.45">
      <c r="A213" s="600"/>
      <c r="B213" s="146">
        <v>40</v>
      </c>
      <c r="C213" s="153">
        <v>263.83580000000001</v>
      </c>
      <c r="D213" s="141">
        <v>263.84370000000001</v>
      </c>
      <c r="E213" s="141">
        <v>263.85820000000001</v>
      </c>
      <c r="F213" s="141">
        <v>263.85579999999999</v>
      </c>
      <c r="G213" s="141">
        <v>263.86500000000001</v>
      </c>
      <c r="H213" s="141">
        <v>263.87290000000002</v>
      </c>
      <c r="I213" s="141">
        <v>263.87700000000001</v>
      </c>
      <c r="J213" s="141">
        <v>263.88510000000002</v>
      </c>
      <c r="K213" s="141">
        <v>263.86660000000001</v>
      </c>
      <c r="L213" s="141">
        <v>263.86219999999997</v>
      </c>
      <c r="M213" s="141">
        <v>263.84859999999998</v>
      </c>
      <c r="N213" s="141">
        <v>263.85849999999999</v>
      </c>
      <c r="O213" s="141">
        <v>263.85469999999998</v>
      </c>
      <c r="P213" s="141">
        <v>263.82690000000002</v>
      </c>
      <c r="Q213" s="141">
        <v>263.85950000000003</v>
      </c>
      <c r="R213" s="141">
        <v>263.87049999999999</v>
      </c>
      <c r="S213" s="141">
        <v>263.88650000000001</v>
      </c>
      <c r="T213" s="141">
        <v>263.90370000000001</v>
      </c>
      <c r="U213" s="141">
        <v>263.90120000000002</v>
      </c>
      <c r="V213" s="141">
        <v>263.75779999999997</v>
      </c>
      <c r="W213" s="153">
        <v>263.74119999999999</v>
      </c>
      <c r="X213" s="124"/>
      <c r="Y213" s="141">
        <f t="shared" si="30"/>
        <v>263.85387619047623</v>
      </c>
      <c r="Z213" s="141">
        <f>Z212-5/100</f>
        <v>264.06484285714276</v>
      </c>
      <c r="AA213" s="159">
        <f t="shared" si="31"/>
        <v>0.21096666666653618</v>
      </c>
      <c r="AB213" s="171">
        <v>102</v>
      </c>
      <c r="AC213" s="160">
        <f t="shared" si="32"/>
        <v>107.59299999993345</v>
      </c>
      <c r="AD213" s="472"/>
    </row>
    <row r="214" spans="1:30" ht="14.25" x14ac:dyDescent="0.45">
      <c r="A214" s="600"/>
      <c r="B214" s="146">
        <v>45</v>
      </c>
      <c r="C214" s="153">
        <v>263.81630000000001</v>
      </c>
      <c r="D214" s="141">
        <v>263.8107</v>
      </c>
      <c r="E214" s="141">
        <v>263.82459999999998</v>
      </c>
      <c r="F214" s="141">
        <v>263.84089999999998</v>
      </c>
      <c r="G214" s="141">
        <v>263.87259999999998</v>
      </c>
      <c r="H214" s="141">
        <v>263.87689999999998</v>
      </c>
      <c r="I214" s="141">
        <v>263.8707</v>
      </c>
      <c r="J214" s="141">
        <v>263.9006</v>
      </c>
      <c r="K214" s="141">
        <v>263.86059999999998</v>
      </c>
      <c r="L214" s="141">
        <v>263.85930000000002</v>
      </c>
      <c r="M214" s="141">
        <v>263.82619999999997</v>
      </c>
      <c r="N214" s="141">
        <v>263.84960000000001</v>
      </c>
      <c r="O214" s="141">
        <v>263.81909999999999</v>
      </c>
      <c r="P214" s="141">
        <v>263.81200000000001</v>
      </c>
      <c r="Q214" s="141">
        <v>263.84629999999999</v>
      </c>
      <c r="R214" s="141">
        <v>263.86750000000001</v>
      </c>
      <c r="S214" s="141">
        <v>263.8623</v>
      </c>
      <c r="T214" s="141">
        <v>263.87200000000001</v>
      </c>
      <c r="U214" s="141">
        <v>263.86340000000001</v>
      </c>
      <c r="V214" s="141">
        <v>263.81560000000002</v>
      </c>
      <c r="W214" s="153">
        <v>263.8381</v>
      </c>
      <c r="X214" s="108"/>
      <c r="Y214" s="141">
        <f t="shared" si="30"/>
        <v>263.84787142857141</v>
      </c>
      <c r="Z214" s="141">
        <f t="shared" ref="Z214:Z220" si="35">Z213-5/100</f>
        <v>264.01484285714275</v>
      </c>
      <c r="AA214" s="159">
        <f t="shared" si="31"/>
        <v>0.16697142857134395</v>
      </c>
      <c r="AB214" s="171">
        <v>102</v>
      </c>
      <c r="AC214" s="160">
        <f t="shared" si="32"/>
        <v>85.155428571385414</v>
      </c>
      <c r="AD214" s="472"/>
    </row>
    <row r="215" spans="1:30" ht="14.25" x14ac:dyDescent="0.45">
      <c r="A215" s="600"/>
      <c r="B215" s="146">
        <v>50</v>
      </c>
      <c r="C215" s="153">
        <v>263.80560000000003</v>
      </c>
      <c r="D215" s="141">
        <v>263.84679999999997</v>
      </c>
      <c r="E215" s="141">
        <v>263.78919999999999</v>
      </c>
      <c r="F215" s="141">
        <v>263.83240000000001</v>
      </c>
      <c r="G215" s="141">
        <v>263.86919999999998</v>
      </c>
      <c r="H215" s="141">
        <v>263.88299999999998</v>
      </c>
      <c r="I215" s="141">
        <v>263.86329999999998</v>
      </c>
      <c r="J215" s="141">
        <v>263.88560000000001</v>
      </c>
      <c r="K215" s="141">
        <v>263.87979999999999</v>
      </c>
      <c r="L215" s="141">
        <v>263.8972</v>
      </c>
      <c r="M215" s="141">
        <v>263.9169</v>
      </c>
      <c r="N215" s="141">
        <v>263.88139999999999</v>
      </c>
      <c r="O215" s="141">
        <v>263.86399999999998</v>
      </c>
      <c r="P215" s="141">
        <v>263.87430000000001</v>
      </c>
      <c r="Q215" s="141">
        <v>263.8956</v>
      </c>
      <c r="R215" s="141">
        <v>263.87119999999999</v>
      </c>
      <c r="S215" s="141">
        <v>263.87419999999997</v>
      </c>
      <c r="T215" s="141">
        <v>263.8347</v>
      </c>
      <c r="U215" s="141">
        <v>263.8639</v>
      </c>
      <c r="V215" s="141">
        <v>263.79140000000001</v>
      </c>
      <c r="W215" s="153">
        <v>263.82100000000003</v>
      </c>
      <c r="X215" s="108"/>
      <c r="Y215" s="141">
        <f t="shared" si="30"/>
        <v>263.85908095238096</v>
      </c>
      <c r="Z215" s="141">
        <f t="shared" si="35"/>
        <v>263.96484285714274</v>
      </c>
      <c r="AA215" s="159">
        <f t="shared" si="31"/>
        <v>0.10576190476177771</v>
      </c>
      <c r="AB215" s="171">
        <v>102</v>
      </c>
      <c r="AC215" s="160">
        <f t="shared" si="32"/>
        <v>53.938571428506634</v>
      </c>
      <c r="AD215" s="472"/>
    </row>
    <row r="216" spans="1:30" ht="14.25" x14ac:dyDescent="0.45">
      <c r="A216" s="600"/>
      <c r="B216" s="146">
        <v>55</v>
      </c>
      <c r="C216" s="153">
        <v>263.80410000000001</v>
      </c>
      <c r="D216" s="141">
        <v>263.84550000000002</v>
      </c>
      <c r="E216" s="141">
        <v>263.87180000000001</v>
      </c>
      <c r="F216" s="141">
        <v>263.84179999999998</v>
      </c>
      <c r="G216" s="141">
        <v>263.89359999999999</v>
      </c>
      <c r="H216" s="141">
        <v>263.8716</v>
      </c>
      <c r="I216" s="141">
        <v>263.8843</v>
      </c>
      <c r="J216" s="141">
        <v>263.89409999999998</v>
      </c>
      <c r="K216" s="141">
        <v>263.89519999999999</v>
      </c>
      <c r="L216" s="141">
        <v>263.8845</v>
      </c>
      <c r="M216" s="141">
        <v>263.91539999999998</v>
      </c>
      <c r="N216" s="141">
        <v>263.91239999999999</v>
      </c>
      <c r="O216" s="141">
        <v>263.88630000000001</v>
      </c>
      <c r="P216" s="141">
        <v>263.89749999999998</v>
      </c>
      <c r="Q216" s="141">
        <v>263.9162</v>
      </c>
      <c r="R216" s="141">
        <v>263.92649999999998</v>
      </c>
      <c r="S216" s="141">
        <v>263.91609999999997</v>
      </c>
      <c r="T216" s="141">
        <v>263.88780000000003</v>
      </c>
      <c r="U216" s="141">
        <v>263.84710000000001</v>
      </c>
      <c r="V216" s="141">
        <v>263.78640000000001</v>
      </c>
      <c r="W216" s="153">
        <v>263.80220000000003</v>
      </c>
      <c r="X216" s="108"/>
      <c r="Y216" s="141">
        <f t="shared" si="30"/>
        <v>263.87525714285721</v>
      </c>
      <c r="Z216" s="141">
        <f t="shared" si="35"/>
        <v>263.91484285714273</v>
      </c>
      <c r="AA216" s="159">
        <f t="shared" si="31"/>
        <v>3.9585714285522045E-2</v>
      </c>
      <c r="AB216" s="171">
        <v>102</v>
      </c>
      <c r="AC216" s="160">
        <f t="shared" si="32"/>
        <v>20.188714285616243</v>
      </c>
      <c r="AD216" s="472"/>
    </row>
    <row r="217" spans="1:30" ht="14.25" x14ac:dyDescent="0.45">
      <c r="A217" s="600"/>
      <c r="B217" s="146">
        <v>60</v>
      </c>
      <c r="C217" s="153">
        <v>263.82089999999999</v>
      </c>
      <c r="D217" s="141">
        <v>263.83019999999999</v>
      </c>
      <c r="E217" s="141">
        <v>263.88279999999997</v>
      </c>
      <c r="F217" s="141">
        <v>263.85559999999998</v>
      </c>
      <c r="G217" s="141">
        <v>263.8596</v>
      </c>
      <c r="H217" s="141">
        <v>263.8766</v>
      </c>
      <c r="I217" s="141">
        <v>263.89089999999999</v>
      </c>
      <c r="J217" s="141">
        <v>263.91329999999999</v>
      </c>
      <c r="K217" s="141">
        <v>263.90679999999998</v>
      </c>
      <c r="L217" s="141">
        <v>263.94779999999997</v>
      </c>
      <c r="M217" s="141">
        <v>263.96359999999999</v>
      </c>
      <c r="N217" s="141">
        <v>263.92540000000002</v>
      </c>
      <c r="O217" s="141">
        <v>263.91000000000003</v>
      </c>
      <c r="P217" s="141">
        <v>263.9194</v>
      </c>
      <c r="Q217" s="141">
        <v>263.9393</v>
      </c>
      <c r="R217" s="141">
        <v>263.9529</v>
      </c>
      <c r="S217" s="141">
        <v>263.95209999999997</v>
      </c>
      <c r="T217" s="141">
        <v>263.9282</v>
      </c>
      <c r="U217" s="141">
        <v>263.96109999999999</v>
      </c>
      <c r="V217" s="141">
        <v>263.81619999999998</v>
      </c>
      <c r="W217" s="153">
        <v>263.82249999999999</v>
      </c>
      <c r="X217" s="108"/>
      <c r="Y217" s="141">
        <f t="shared" si="30"/>
        <v>263.8988190476191</v>
      </c>
      <c r="Z217" s="141">
        <f t="shared" si="35"/>
        <v>263.86484285714272</v>
      </c>
      <c r="AA217" s="159">
        <f t="shared" si="31"/>
        <v>-3.3976190476380452E-2</v>
      </c>
      <c r="AB217" s="171">
        <v>102</v>
      </c>
      <c r="AC217" s="160">
        <f t="shared" si="32"/>
        <v>-17.327857142954031</v>
      </c>
      <c r="AD217" s="472"/>
    </row>
    <row r="218" spans="1:30" ht="14.25" x14ac:dyDescent="0.45">
      <c r="A218" s="600"/>
      <c r="B218" s="146">
        <v>65</v>
      </c>
      <c r="C218" s="153">
        <v>263.80329999999998</v>
      </c>
      <c r="D218" s="141">
        <v>263.83170000000001</v>
      </c>
      <c r="E218" s="141">
        <v>263.8646</v>
      </c>
      <c r="F218" s="141">
        <v>263.86450000000002</v>
      </c>
      <c r="G218" s="141">
        <v>263.858</v>
      </c>
      <c r="H218" s="141">
        <v>263.89609999999999</v>
      </c>
      <c r="I218" s="141">
        <v>263.89060000000001</v>
      </c>
      <c r="J218" s="141">
        <v>263.91039999999998</v>
      </c>
      <c r="K218" s="141">
        <v>263.93290000000002</v>
      </c>
      <c r="L218" s="141">
        <v>263.93729999999999</v>
      </c>
      <c r="M218" s="141">
        <v>263.94150000000002</v>
      </c>
      <c r="N218" s="141">
        <v>263.9425</v>
      </c>
      <c r="O218" s="141">
        <v>263.93389999999999</v>
      </c>
      <c r="P218" s="141">
        <v>263.9427</v>
      </c>
      <c r="Q218" s="141">
        <v>263.9599</v>
      </c>
      <c r="R218" s="141">
        <v>263.97430000000003</v>
      </c>
      <c r="S218" s="141">
        <v>263.95429999999999</v>
      </c>
      <c r="T218" s="141">
        <v>263.98469999999998</v>
      </c>
      <c r="U218" s="141">
        <v>263.99900000000002</v>
      </c>
      <c r="V218" s="141">
        <v>263.85789999999997</v>
      </c>
      <c r="W218" s="153">
        <v>263.80970000000002</v>
      </c>
      <c r="X218" s="108"/>
      <c r="Y218" s="141">
        <f t="shared" si="30"/>
        <v>263.90903809523809</v>
      </c>
      <c r="Z218" s="141">
        <f t="shared" si="35"/>
        <v>263.81484285714271</v>
      </c>
      <c r="AA218" s="159">
        <f t="shared" si="31"/>
        <v>-9.4195238095380773E-2</v>
      </c>
      <c r="AB218" s="171">
        <v>102</v>
      </c>
      <c r="AC218" s="160">
        <f t="shared" si="32"/>
        <v>-48.039571428644194</v>
      </c>
      <c r="AD218" s="472"/>
    </row>
    <row r="219" spans="1:30" ht="14.25" x14ac:dyDescent="0.45">
      <c r="A219" s="600"/>
      <c r="B219" s="146">
        <v>70</v>
      </c>
      <c r="C219" s="153">
        <v>263.82440000000003</v>
      </c>
      <c r="D219" s="153">
        <v>263.84230000000002</v>
      </c>
      <c r="E219" s="153">
        <v>263.83350000000002</v>
      </c>
      <c r="F219" s="153">
        <v>263.86470000000003</v>
      </c>
      <c r="G219" s="153">
        <v>263.85489999999999</v>
      </c>
      <c r="H219" s="153">
        <v>263.90730000000002</v>
      </c>
      <c r="I219" s="153">
        <v>263.887</v>
      </c>
      <c r="J219" s="153">
        <v>263.9153</v>
      </c>
      <c r="K219" s="153">
        <v>263.9579</v>
      </c>
      <c r="L219" s="153">
        <v>263.92919999999998</v>
      </c>
      <c r="M219" s="153">
        <v>263.93549999999999</v>
      </c>
      <c r="N219" s="153">
        <v>263.98039999999997</v>
      </c>
      <c r="O219" s="153">
        <v>263.95740000000001</v>
      </c>
      <c r="P219" s="153">
        <v>263.96600000000001</v>
      </c>
      <c r="Q219" s="153">
        <v>263.97969999999998</v>
      </c>
      <c r="R219" s="153">
        <v>263.98950000000002</v>
      </c>
      <c r="S219" s="153">
        <v>263.95819999999998</v>
      </c>
      <c r="T219" s="153">
        <v>263.98779999999999</v>
      </c>
      <c r="U219" s="153">
        <v>264.0292</v>
      </c>
      <c r="V219" s="153">
        <v>263.89620000000002</v>
      </c>
      <c r="W219" s="153">
        <v>263.863</v>
      </c>
      <c r="X219" s="108"/>
      <c r="Y219" s="141">
        <f t="shared" si="30"/>
        <v>263.92187619047621</v>
      </c>
      <c r="Z219" s="141">
        <f t="shared" si="35"/>
        <v>263.7648428571427</v>
      </c>
      <c r="AA219" s="159">
        <f t="shared" si="31"/>
        <v>-0.15703333333351566</v>
      </c>
      <c r="AB219" s="171">
        <v>102</v>
      </c>
      <c r="AC219" s="160">
        <f t="shared" si="32"/>
        <v>-80.087000000092985</v>
      </c>
      <c r="AD219" s="472"/>
    </row>
    <row r="220" spans="1:30" ht="14.25" x14ac:dyDescent="0.45">
      <c r="A220" s="601"/>
      <c r="B220" s="148">
        <v>75</v>
      </c>
      <c r="C220" s="154">
        <v>263.84089999999998</v>
      </c>
      <c r="D220" s="154">
        <v>263.84350000000001</v>
      </c>
      <c r="E220" s="154">
        <v>263.90109999999999</v>
      </c>
      <c r="F220" s="154">
        <v>263.84390000000002</v>
      </c>
      <c r="G220" s="154">
        <v>263.88459999999998</v>
      </c>
      <c r="H220" s="154">
        <v>263.90480000000002</v>
      </c>
      <c r="I220" s="154">
        <v>263.8895</v>
      </c>
      <c r="J220" s="154">
        <v>263.92399999999998</v>
      </c>
      <c r="K220" s="154">
        <v>263.94720000000001</v>
      </c>
      <c r="L220" s="154">
        <v>263.9255</v>
      </c>
      <c r="M220" s="154">
        <v>263.86649999999997</v>
      </c>
      <c r="N220" s="154">
        <v>263.90859999999998</v>
      </c>
      <c r="O220" s="154">
        <v>263.96570000000003</v>
      </c>
      <c r="P220" s="154">
        <v>263.96050000000002</v>
      </c>
      <c r="Q220" s="154">
        <v>263.96109999999999</v>
      </c>
      <c r="R220" s="154">
        <v>263.95299999999997</v>
      </c>
      <c r="S220" s="154">
        <v>264.00510000000003</v>
      </c>
      <c r="T220" s="154">
        <v>264.00650000000002</v>
      </c>
      <c r="U220" s="154">
        <v>264.03710000000001</v>
      </c>
      <c r="V220" s="154">
        <v>263.94</v>
      </c>
      <c r="W220" s="154">
        <v>263.91550000000001</v>
      </c>
      <c r="X220" s="117"/>
      <c r="Y220" s="142">
        <f t="shared" si="30"/>
        <v>263.92498095238096</v>
      </c>
      <c r="Z220" s="142">
        <f t="shared" si="35"/>
        <v>263.71484285714268</v>
      </c>
      <c r="AA220" s="159">
        <f t="shared" si="31"/>
        <v>-0.21013809523827831</v>
      </c>
      <c r="AB220" s="174">
        <v>102</v>
      </c>
      <c r="AC220" s="162">
        <f t="shared" si="32"/>
        <v>-107.17042857152194</v>
      </c>
      <c r="AD220" s="112">
        <f>SUM(AC205:AC220)</f>
        <v>490.69771428458068</v>
      </c>
    </row>
    <row r="221" spans="1:30" ht="14.25" x14ac:dyDescent="0.45">
      <c r="A221" s="599" t="s">
        <v>42</v>
      </c>
      <c r="B221" s="147">
        <v>0</v>
      </c>
      <c r="C221" s="151">
        <v>263.99860000000001</v>
      </c>
      <c r="D221" s="151">
        <v>263.9991</v>
      </c>
      <c r="E221" s="151">
        <v>263.96769999999998</v>
      </c>
      <c r="F221" s="151">
        <v>263.95359999999999</v>
      </c>
      <c r="G221" s="151">
        <v>263.97640000000001</v>
      </c>
      <c r="H221" s="151">
        <v>263.95740000000001</v>
      </c>
      <c r="I221" s="151">
        <v>263.9873</v>
      </c>
      <c r="J221" s="151">
        <v>264.05700000000002</v>
      </c>
      <c r="K221" s="151">
        <v>263.98880000000003</v>
      </c>
      <c r="L221" s="151">
        <v>263.97770000000003</v>
      </c>
      <c r="M221" s="151">
        <v>263.98540000000003</v>
      </c>
      <c r="N221" s="151">
        <v>263.92059999999998</v>
      </c>
      <c r="O221" s="151">
        <v>263.86989999999997</v>
      </c>
      <c r="P221" s="151">
        <v>263.8596</v>
      </c>
      <c r="Q221" s="151">
        <v>263.86309999999997</v>
      </c>
      <c r="R221" s="151">
        <v>263.8417</v>
      </c>
      <c r="S221" s="140"/>
      <c r="T221" s="143"/>
      <c r="U221" s="140"/>
      <c r="V221" s="140"/>
      <c r="W221" s="140"/>
      <c r="X221" s="116"/>
      <c r="Y221" s="140">
        <f t="shared" si="30"/>
        <v>263.95024375000003</v>
      </c>
      <c r="Z221" s="140">
        <f t="shared" ref="Z221:Z228" si="36">Z222-5/100</f>
        <v>263.7748049999999</v>
      </c>
      <c r="AA221" s="157">
        <f t="shared" si="31"/>
        <v>-0.17543875000012576</v>
      </c>
      <c r="AB221" s="172">
        <v>78</v>
      </c>
      <c r="AC221" s="158">
        <f t="shared" si="32"/>
        <v>-68.421112500049048</v>
      </c>
      <c r="AD221" s="472"/>
    </row>
    <row r="222" spans="1:30" ht="14.25" x14ac:dyDescent="0.45">
      <c r="A222" s="600"/>
      <c r="B222" s="146">
        <v>5</v>
      </c>
      <c r="C222" s="153">
        <v>263.9624</v>
      </c>
      <c r="D222" s="141">
        <v>263.96620000000001</v>
      </c>
      <c r="E222" s="141">
        <v>263.93630000000002</v>
      </c>
      <c r="F222" s="141">
        <v>263.93060000000003</v>
      </c>
      <c r="G222" s="141">
        <v>263.93099999999998</v>
      </c>
      <c r="H222" s="141">
        <v>263.92329999999998</v>
      </c>
      <c r="I222" s="141">
        <v>263.96820000000002</v>
      </c>
      <c r="J222" s="141">
        <v>264.00409999999999</v>
      </c>
      <c r="K222" s="141">
        <v>263.92959999999999</v>
      </c>
      <c r="L222" s="141">
        <v>263.94720000000001</v>
      </c>
      <c r="M222" s="141">
        <v>263.96899999999999</v>
      </c>
      <c r="N222" s="141">
        <v>263.91180000000003</v>
      </c>
      <c r="O222" s="141">
        <v>263.84269999999998</v>
      </c>
      <c r="P222" s="141">
        <v>263.84710000000001</v>
      </c>
      <c r="Q222" s="141">
        <v>263.86790000000002</v>
      </c>
      <c r="R222" s="153">
        <v>263.815</v>
      </c>
      <c r="S222" s="141"/>
      <c r="T222" s="144"/>
      <c r="U222" s="141"/>
      <c r="V222" s="141"/>
      <c r="W222" s="141"/>
      <c r="X222" s="108"/>
      <c r="Y222" s="141">
        <f t="shared" si="30"/>
        <v>263.92202500000002</v>
      </c>
      <c r="Z222" s="141">
        <f t="shared" si="36"/>
        <v>263.82480499999991</v>
      </c>
      <c r="AA222" s="159">
        <f t="shared" si="31"/>
        <v>-9.7220000000106666E-2</v>
      </c>
      <c r="AB222" s="171">
        <v>78</v>
      </c>
      <c r="AC222" s="160">
        <f t="shared" si="32"/>
        <v>-37.9158000000416</v>
      </c>
      <c r="AD222" s="472"/>
    </row>
    <row r="223" spans="1:30" ht="14.25" x14ac:dyDescent="0.45">
      <c r="A223" s="600"/>
      <c r="B223" s="146">
        <v>10</v>
      </c>
      <c r="C223" s="153">
        <v>263.8997</v>
      </c>
      <c r="D223" s="141">
        <v>263.89729999999997</v>
      </c>
      <c r="E223" s="141">
        <v>263.90699999999998</v>
      </c>
      <c r="F223" s="141">
        <v>263.92469999999997</v>
      </c>
      <c r="G223" s="141">
        <v>263.9042</v>
      </c>
      <c r="H223" s="141">
        <v>263.92910000000001</v>
      </c>
      <c r="I223" s="141">
        <v>263.93079999999998</v>
      </c>
      <c r="J223" s="141">
        <v>263.96769999999998</v>
      </c>
      <c r="K223" s="141">
        <v>263.8999</v>
      </c>
      <c r="L223" s="141">
        <v>263.92</v>
      </c>
      <c r="M223" s="141">
        <v>263.9092</v>
      </c>
      <c r="N223" s="141">
        <v>263.88830000000002</v>
      </c>
      <c r="O223" s="141">
        <v>263.83960000000002</v>
      </c>
      <c r="P223" s="141">
        <v>263.84620000000001</v>
      </c>
      <c r="Q223" s="141">
        <v>263.87950000000001</v>
      </c>
      <c r="R223" s="153">
        <v>263.8295</v>
      </c>
      <c r="S223" s="141"/>
      <c r="T223" s="141"/>
      <c r="U223" s="144"/>
      <c r="V223" s="141"/>
      <c r="W223" s="141"/>
      <c r="X223" s="108"/>
      <c r="Y223" s="141">
        <f t="shared" si="30"/>
        <v>263.89829374999999</v>
      </c>
      <c r="Z223" s="141">
        <f t="shared" si="36"/>
        <v>263.87480499999992</v>
      </c>
      <c r="AA223" s="159">
        <f t="shared" si="31"/>
        <v>-2.3488750000069558E-2</v>
      </c>
      <c r="AB223" s="171">
        <v>78</v>
      </c>
      <c r="AC223" s="160">
        <f t="shared" si="32"/>
        <v>-9.1606125000271277</v>
      </c>
      <c r="AD223" s="472"/>
    </row>
    <row r="224" spans="1:30" ht="14.25" x14ac:dyDescent="0.45">
      <c r="A224" s="600"/>
      <c r="B224" s="146">
        <v>15</v>
      </c>
      <c r="C224" s="153">
        <v>263.85520000000002</v>
      </c>
      <c r="D224" s="141">
        <v>263.8587</v>
      </c>
      <c r="E224" s="141">
        <v>263.86919999999998</v>
      </c>
      <c r="F224" s="141">
        <v>263.8879</v>
      </c>
      <c r="G224" s="141">
        <v>263.88150000000002</v>
      </c>
      <c r="H224" s="141">
        <v>263.90949999999998</v>
      </c>
      <c r="I224" s="141">
        <v>263.93110000000001</v>
      </c>
      <c r="J224" s="141">
        <v>263.93849999999998</v>
      </c>
      <c r="K224" s="141">
        <v>263.87799999999999</v>
      </c>
      <c r="L224" s="141">
        <v>263.88740000000001</v>
      </c>
      <c r="M224" s="141">
        <v>263.89389999999997</v>
      </c>
      <c r="N224" s="141">
        <v>263.82690000000002</v>
      </c>
      <c r="O224" s="141">
        <v>263.83370000000002</v>
      </c>
      <c r="P224" s="141">
        <v>263.8288</v>
      </c>
      <c r="Q224" s="141">
        <v>263.8227</v>
      </c>
      <c r="R224" s="153">
        <v>263.82150000000001</v>
      </c>
      <c r="S224" s="141"/>
      <c r="T224" s="141"/>
      <c r="U224" s="144"/>
      <c r="V224" s="141"/>
      <c r="W224" s="141"/>
      <c r="X224" s="108"/>
      <c r="Y224" s="141">
        <f t="shared" si="30"/>
        <v>263.87028125000006</v>
      </c>
      <c r="Z224" s="141">
        <f t="shared" si="36"/>
        <v>263.92480499999994</v>
      </c>
      <c r="AA224" s="159">
        <f t="shared" si="31"/>
        <v>5.4523749999873417E-2</v>
      </c>
      <c r="AB224" s="171">
        <v>78</v>
      </c>
      <c r="AC224" s="160">
        <f t="shared" si="32"/>
        <v>21.264262499950632</v>
      </c>
      <c r="AD224" s="472"/>
    </row>
    <row r="225" spans="1:30" ht="14.25" x14ac:dyDescent="0.45">
      <c r="A225" s="600"/>
      <c r="B225" s="146">
        <v>20</v>
      </c>
      <c r="C225" s="153">
        <v>263.84399999999999</v>
      </c>
      <c r="D225" s="141">
        <v>263.82380000000001</v>
      </c>
      <c r="E225" s="141">
        <v>263.84609999999998</v>
      </c>
      <c r="F225" s="141">
        <v>263.86380000000003</v>
      </c>
      <c r="G225" s="141">
        <v>263.834</v>
      </c>
      <c r="H225" s="141">
        <v>263.84739999999999</v>
      </c>
      <c r="I225" s="141">
        <v>263.8646</v>
      </c>
      <c r="J225" s="141">
        <v>263.88690000000003</v>
      </c>
      <c r="K225" s="141">
        <v>263.88600000000002</v>
      </c>
      <c r="L225" s="141">
        <v>263.86079999999998</v>
      </c>
      <c r="M225" s="141">
        <v>263.83710000000002</v>
      </c>
      <c r="N225" s="141">
        <v>263.81810000000002</v>
      </c>
      <c r="O225" s="141">
        <v>263.80470000000003</v>
      </c>
      <c r="P225" s="141">
        <v>263.798</v>
      </c>
      <c r="Q225" s="141">
        <v>263.77859999999998</v>
      </c>
      <c r="R225" s="153">
        <v>263.79309999999998</v>
      </c>
      <c r="S225" s="141"/>
      <c r="T225" s="141"/>
      <c r="U225" s="141"/>
      <c r="V225" s="144"/>
      <c r="W225" s="141"/>
      <c r="X225" s="108"/>
      <c r="Y225" s="141">
        <f t="shared" si="30"/>
        <v>263.83668750000004</v>
      </c>
      <c r="Z225" s="141">
        <f t="shared" si="36"/>
        <v>263.97480499999995</v>
      </c>
      <c r="AA225" s="159">
        <f t="shared" si="31"/>
        <v>0.13811749999990752</v>
      </c>
      <c r="AB225" s="171">
        <v>78</v>
      </c>
      <c r="AC225" s="160">
        <f t="shared" si="32"/>
        <v>53.865824999963934</v>
      </c>
      <c r="AD225" s="472"/>
    </row>
    <row r="226" spans="1:30" ht="14.25" x14ac:dyDescent="0.45">
      <c r="A226" s="600"/>
      <c r="B226" s="146">
        <v>25</v>
      </c>
      <c r="C226" s="153">
        <v>263.81700000000001</v>
      </c>
      <c r="D226" s="141">
        <v>263.8109</v>
      </c>
      <c r="E226" s="141">
        <v>263.82049999999998</v>
      </c>
      <c r="F226" s="141">
        <v>263.81020000000001</v>
      </c>
      <c r="G226" s="141">
        <v>263.81560000000002</v>
      </c>
      <c r="H226" s="141">
        <v>263.81119999999999</v>
      </c>
      <c r="I226" s="141">
        <v>263.83620000000002</v>
      </c>
      <c r="J226" s="141">
        <v>263.84730000000002</v>
      </c>
      <c r="K226" s="141">
        <v>263.93189999999998</v>
      </c>
      <c r="L226" s="141">
        <v>263.84899999999999</v>
      </c>
      <c r="M226" s="141">
        <v>263.83330000000001</v>
      </c>
      <c r="N226" s="141">
        <v>263.80680000000001</v>
      </c>
      <c r="O226" s="141">
        <v>263.77620000000002</v>
      </c>
      <c r="P226" s="141">
        <v>263.75839999999999</v>
      </c>
      <c r="Q226" s="141">
        <v>263.73869999999999</v>
      </c>
      <c r="R226" s="153">
        <v>263.73820000000001</v>
      </c>
      <c r="S226" s="153">
        <v>263.76319999999998</v>
      </c>
      <c r="T226" s="153">
        <v>263.74130000000002</v>
      </c>
      <c r="U226" s="153">
        <v>263.74149999999997</v>
      </c>
      <c r="V226" s="153">
        <v>264.04239999999999</v>
      </c>
      <c r="W226" s="141"/>
      <c r="X226" s="108"/>
      <c r="Y226" s="141">
        <f t="shared" si="30"/>
        <v>263.81449000000003</v>
      </c>
      <c r="Z226" s="141">
        <f t="shared" si="36"/>
        <v>264.02480499999996</v>
      </c>
      <c r="AA226" s="159">
        <f t="shared" si="31"/>
        <v>0.2103149999999232</v>
      </c>
      <c r="AB226" s="171">
        <v>94</v>
      </c>
      <c r="AC226" s="160">
        <f t="shared" si="32"/>
        <v>98.848049999963905</v>
      </c>
      <c r="AD226" s="472"/>
    </row>
    <row r="227" spans="1:30" ht="14.25" x14ac:dyDescent="0.45">
      <c r="A227" s="600"/>
      <c r="B227" s="146">
        <v>30</v>
      </c>
      <c r="C227" s="153">
        <v>263.81979999999999</v>
      </c>
      <c r="D227" s="141">
        <v>263.786</v>
      </c>
      <c r="E227" s="141">
        <v>263.77769999999998</v>
      </c>
      <c r="F227" s="141">
        <v>263.79059999999998</v>
      </c>
      <c r="G227" s="141">
        <v>263.77859999999998</v>
      </c>
      <c r="H227" s="141">
        <v>263.77879999999999</v>
      </c>
      <c r="I227" s="141">
        <v>263.79250000000002</v>
      </c>
      <c r="J227" s="141">
        <v>263.8279</v>
      </c>
      <c r="K227" s="141">
        <v>263.98450000000003</v>
      </c>
      <c r="L227" s="141">
        <v>263.80709999999999</v>
      </c>
      <c r="M227" s="141">
        <v>263.80500000000001</v>
      </c>
      <c r="N227" s="141">
        <v>263.78390000000002</v>
      </c>
      <c r="O227" s="141">
        <v>263.78640000000001</v>
      </c>
      <c r="P227" s="141">
        <v>263.7681</v>
      </c>
      <c r="Q227" s="141">
        <v>263.74689999999998</v>
      </c>
      <c r="R227" s="141">
        <v>263.74</v>
      </c>
      <c r="S227" s="141">
        <v>263.72030000000001</v>
      </c>
      <c r="T227" s="141">
        <v>263.71170000000001</v>
      </c>
      <c r="U227" s="141">
        <v>263.75200000000001</v>
      </c>
      <c r="V227" s="153">
        <v>264.07119999999998</v>
      </c>
      <c r="W227" s="141"/>
      <c r="X227" s="108"/>
      <c r="Y227" s="141">
        <f t="shared" si="30"/>
        <v>263.80144999999999</v>
      </c>
      <c r="Z227" s="141">
        <f t="shared" si="36"/>
        <v>264.07480499999997</v>
      </c>
      <c r="AA227" s="159">
        <f t="shared" si="31"/>
        <v>0.27335499999998092</v>
      </c>
      <c r="AB227" s="171">
        <v>94</v>
      </c>
      <c r="AC227" s="160">
        <f t="shared" si="32"/>
        <v>128.47684999999103</v>
      </c>
      <c r="AD227" s="472"/>
    </row>
    <row r="228" spans="1:30" ht="14.25" x14ac:dyDescent="0.45">
      <c r="A228" s="600"/>
      <c r="B228" s="146">
        <v>35</v>
      </c>
      <c r="C228" s="153">
        <v>263.78980000000001</v>
      </c>
      <c r="D228" s="141">
        <v>263.7679</v>
      </c>
      <c r="E228" s="141">
        <v>263.74950000000001</v>
      </c>
      <c r="F228" s="141">
        <v>263.75819999999999</v>
      </c>
      <c r="G228" s="141">
        <v>263.75240000000002</v>
      </c>
      <c r="H228" s="141">
        <v>263.75080000000003</v>
      </c>
      <c r="I228" s="141">
        <v>263.7559</v>
      </c>
      <c r="J228" s="141">
        <v>263.7747</v>
      </c>
      <c r="K228" s="141">
        <v>263.8768</v>
      </c>
      <c r="L228" s="141">
        <v>263.77690000000001</v>
      </c>
      <c r="M228" s="141">
        <v>263.762</v>
      </c>
      <c r="N228" s="141">
        <v>263.78019999999998</v>
      </c>
      <c r="O228" s="141">
        <v>263.77379999999999</v>
      </c>
      <c r="P228" s="141">
        <v>263.77890000000002</v>
      </c>
      <c r="Q228" s="141">
        <v>263.76330000000002</v>
      </c>
      <c r="R228" s="141">
        <v>263.75200000000001</v>
      </c>
      <c r="S228" s="141">
        <v>263.70929999999998</v>
      </c>
      <c r="T228" s="141">
        <v>263.73039999999997</v>
      </c>
      <c r="U228" s="141">
        <v>263.77629999999999</v>
      </c>
      <c r="V228" s="153">
        <v>263.92669999999998</v>
      </c>
      <c r="W228" s="141"/>
      <c r="X228" s="108"/>
      <c r="Y228" s="141">
        <f t="shared" si="30"/>
        <v>263.77529000000004</v>
      </c>
      <c r="Z228" s="141">
        <f t="shared" si="36"/>
        <v>264.12480499999998</v>
      </c>
      <c r="AA228" s="159">
        <f t="shared" si="31"/>
        <v>0.34951499999993985</v>
      </c>
      <c r="AB228" s="171">
        <v>94</v>
      </c>
      <c r="AC228" s="160">
        <f t="shared" si="32"/>
        <v>164.27204999997173</v>
      </c>
      <c r="AD228" s="472"/>
    </row>
    <row r="229" spans="1:30" ht="14.25" x14ac:dyDescent="0.45">
      <c r="A229" s="600"/>
      <c r="B229" s="146">
        <v>40</v>
      </c>
      <c r="C229" s="153">
        <v>263.77499999999998</v>
      </c>
      <c r="D229" s="141">
        <v>263.76429999999999</v>
      </c>
      <c r="E229" s="141">
        <v>263.75529999999998</v>
      </c>
      <c r="F229" s="141">
        <v>263.745</v>
      </c>
      <c r="G229" s="141">
        <v>263.73809999999997</v>
      </c>
      <c r="H229" s="141">
        <v>263.74509999999998</v>
      </c>
      <c r="I229" s="141">
        <v>263.77569999999997</v>
      </c>
      <c r="J229" s="141">
        <v>263.80149999999998</v>
      </c>
      <c r="K229" s="141">
        <v>263.79610000000002</v>
      </c>
      <c r="L229" s="141">
        <v>263.69330000000002</v>
      </c>
      <c r="M229" s="141">
        <v>263.75400000000002</v>
      </c>
      <c r="N229" s="141">
        <v>263.78840000000002</v>
      </c>
      <c r="O229" s="141">
        <v>263.84469999999999</v>
      </c>
      <c r="P229" s="141">
        <v>263.82389999999998</v>
      </c>
      <c r="Q229" s="141">
        <v>263.79169999999999</v>
      </c>
      <c r="R229" s="141">
        <v>263.77069999999998</v>
      </c>
      <c r="S229" s="141">
        <v>263.77659999999997</v>
      </c>
      <c r="T229" s="141">
        <v>263.75</v>
      </c>
      <c r="U229" s="141">
        <v>263.75889999999998</v>
      </c>
      <c r="V229" s="153">
        <v>263.94830000000002</v>
      </c>
      <c r="W229" s="141"/>
      <c r="X229" s="108"/>
      <c r="Y229" s="141">
        <f t="shared" si="30"/>
        <v>263.77983</v>
      </c>
      <c r="Z229" s="141">
        <f>Z230-5/100</f>
        <v>264.17480499999999</v>
      </c>
      <c r="AA229" s="159">
        <f t="shared" si="31"/>
        <v>0.39497499999998809</v>
      </c>
      <c r="AB229" s="171">
        <v>94</v>
      </c>
      <c r="AC229" s="160">
        <f t="shared" si="32"/>
        <v>185.6382499999944</v>
      </c>
      <c r="AD229" s="472"/>
    </row>
    <row r="230" spans="1:30" ht="14.25" x14ac:dyDescent="0.45">
      <c r="A230" s="600"/>
      <c r="B230" s="146">
        <v>45</v>
      </c>
      <c r="C230" s="153">
        <v>263.7654</v>
      </c>
      <c r="D230" s="141">
        <v>263.7491</v>
      </c>
      <c r="E230" s="141">
        <v>263.7364</v>
      </c>
      <c r="F230" s="141">
        <v>263.77749999999997</v>
      </c>
      <c r="G230" s="141">
        <v>263.84739999999999</v>
      </c>
      <c r="H230" s="141">
        <v>263.99329999999998</v>
      </c>
      <c r="I230" s="141">
        <v>264.03339999999997</v>
      </c>
      <c r="J230" s="141">
        <v>263.89569999999998</v>
      </c>
      <c r="K230" s="141">
        <v>263.83749999999998</v>
      </c>
      <c r="L230" s="141">
        <v>263.72089999999997</v>
      </c>
      <c r="M230" s="141">
        <v>263.7414</v>
      </c>
      <c r="N230" s="141">
        <v>263.7294</v>
      </c>
      <c r="O230" s="141">
        <v>263.75729999999999</v>
      </c>
      <c r="P230" s="141">
        <v>263.74599999999998</v>
      </c>
      <c r="Q230" s="141">
        <v>263.77949999999998</v>
      </c>
      <c r="R230" s="141">
        <v>263.76990000000001</v>
      </c>
      <c r="S230" s="141">
        <v>263.78030000000001</v>
      </c>
      <c r="T230" s="141">
        <v>263.79349999999999</v>
      </c>
      <c r="U230" s="141">
        <v>263.79410000000001</v>
      </c>
      <c r="V230" s="153">
        <v>263.90809999999999</v>
      </c>
      <c r="W230" s="141"/>
      <c r="X230" s="124"/>
      <c r="Y230" s="167">
        <f t="shared" si="30"/>
        <v>263.80780499999997</v>
      </c>
      <c r="Z230" s="167">
        <f>Y230+0.35-0.008+0.075</f>
        <v>264.224805</v>
      </c>
      <c r="AA230" s="168">
        <f t="shared" si="31"/>
        <v>0.41700000000003001</v>
      </c>
      <c r="AB230" s="173">
        <v>94</v>
      </c>
      <c r="AC230" s="160">
        <f t="shared" si="32"/>
        <v>195.99000000001411</v>
      </c>
      <c r="AD230" s="472"/>
    </row>
    <row r="231" spans="1:30" ht="14.25" x14ac:dyDescent="0.45">
      <c r="A231" s="600"/>
      <c r="B231" s="146">
        <v>50</v>
      </c>
      <c r="C231" s="153">
        <v>263.91090000000003</v>
      </c>
      <c r="D231" s="141">
        <v>263.80689999999998</v>
      </c>
      <c r="E231" s="141">
        <v>263.74790000000002</v>
      </c>
      <c r="F231" s="141">
        <v>263.77760000000001</v>
      </c>
      <c r="G231" s="141">
        <v>263.7731</v>
      </c>
      <c r="H231" s="141">
        <v>263.7638</v>
      </c>
      <c r="I231" s="141">
        <v>263.7978</v>
      </c>
      <c r="J231" s="141">
        <v>263.7876</v>
      </c>
      <c r="K231" s="141">
        <v>263.76429999999999</v>
      </c>
      <c r="L231" s="141">
        <v>263.71730000000002</v>
      </c>
      <c r="M231" s="141">
        <v>263.72390000000001</v>
      </c>
      <c r="N231" s="141">
        <v>263.72980000000001</v>
      </c>
      <c r="O231" s="141">
        <v>263.72480000000002</v>
      </c>
      <c r="P231" s="141">
        <v>263.72789999999998</v>
      </c>
      <c r="Q231" s="141">
        <v>263.73570000000001</v>
      </c>
      <c r="R231" s="141">
        <v>263.73430000000002</v>
      </c>
      <c r="S231" s="141">
        <v>263.7441</v>
      </c>
      <c r="T231" s="141">
        <v>263.76479999999998</v>
      </c>
      <c r="U231" s="141">
        <v>263.7867</v>
      </c>
      <c r="V231" s="153">
        <v>263.83479999999997</v>
      </c>
      <c r="W231" s="141"/>
      <c r="X231" s="108"/>
      <c r="Y231" s="141">
        <f t="shared" si="30"/>
        <v>263.76769999999999</v>
      </c>
      <c r="Z231" s="141">
        <f>Z230-5/100</f>
        <v>264.17480499999999</v>
      </c>
      <c r="AA231" s="159">
        <f t="shared" si="31"/>
        <v>0.40710500000000138</v>
      </c>
      <c r="AB231" s="171">
        <v>94</v>
      </c>
      <c r="AC231" s="160">
        <f t="shared" si="32"/>
        <v>191.33935000000065</v>
      </c>
      <c r="AD231" s="472"/>
    </row>
    <row r="232" spans="1:30" ht="14.25" x14ac:dyDescent="0.45">
      <c r="A232" s="600"/>
      <c r="B232" s="146">
        <v>55</v>
      </c>
      <c r="C232" s="153">
        <v>263.7971</v>
      </c>
      <c r="D232" s="141">
        <v>263.77609999999999</v>
      </c>
      <c r="E232" s="141">
        <v>263.75650000000002</v>
      </c>
      <c r="F232" s="141">
        <v>263.75330000000002</v>
      </c>
      <c r="G232" s="141">
        <v>263.74619999999999</v>
      </c>
      <c r="H232" s="141">
        <v>263.74430000000001</v>
      </c>
      <c r="I232" s="141">
        <v>263.75580000000002</v>
      </c>
      <c r="J232" s="141">
        <v>263.77260000000001</v>
      </c>
      <c r="K232" s="141">
        <v>263.77940000000001</v>
      </c>
      <c r="L232" s="141">
        <v>263.77319999999997</v>
      </c>
      <c r="M232" s="141">
        <v>263.69650000000001</v>
      </c>
      <c r="N232" s="141">
        <v>263.71050000000002</v>
      </c>
      <c r="O232" s="141">
        <v>263.71890000000002</v>
      </c>
      <c r="P232" s="141">
        <v>263.73270000000002</v>
      </c>
      <c r="Q232" s="141">
        <v>263.7167</v>
      </c>
      <c r="R232" s="141">
        <v>263.73860000000002</v>
      </c>
      <c r="S232" s="141">
        <v>263.73070000000001</v>
      </c>
      <c r="T232" s="141">
        <v>263.74619999999999</v>
      </c>
      <c r="U232" s="141">
        <v>263.77699999999999</v>
      </c>
      <c r="V232" s="153">
        <v>263.7962</v>
      </c>
      <c r="W232" s="141"/>
      <c r="X232" s="108"/>
      <c r="Y232" s="141">
        <f t="shared" si="30"/>
        <v>263.750925</v>
      </c>
      <c r="Z232" s="141">
        <f t="shared" ref="Z232:Z239" si="37">Z231-5/100</f>
        <v>264.12480499999998</v>
      </c>
      <c r="AA232" s="159">
        <f t="shared" si="31"/>
        <v>0.37387999999998556</v>
      </c>
      <c r="AB232" s="171">
        <v>94</v>
      </c>
      <c r="AC232" s="160">
        <f t="shared" si="32"/>
        <v>175.72359999999321</v>
      </c>
      <c r="AD232" s="472"/>
    </row>
    <row r="233" spans="1:30" ht="14.25" x14ac:dyDescent="0.45">
      <c r="A233" s="600"/>
      <c r="B233" s="146">
        <v>60</v>
      </c>
      <c r="C233" s="153">
        <v>263.7817</v>
      </c>
      <c r="D233" s="141">
        <v>263.77280000000002</v>
      </c>
      <c r="E233" s="141">
        <v>263.74680000000001</v>
      </c>
      <c r="F233" s="141">
        <v>263.74220000000003</v>
      </c>
      <c r="G233" s="141">
        <v>263.76979999999998</v>
      </c>
      <c r="H233" s="141">
        <v>263.77870000000001</v>
      </c>
      <c r="I233" s="141">
        <v>263.78050000000002</v>
      </c>
      <c r="J233" s="141">
        <v>263.77879999999999</v>
      </c>
      <c r="K233" s="141">
        <v>263.75889999999998</v>
      </c>
      <c r="L233" s="141">
        <v>263.82029999999997</v>
      </c>
      <c r="M233" s="141">
        <v>263.72989999999999</v>
      </c>
      <c r="N233" s="141">
        <v>263.72989999999999</v>
      </c>
      <c r="O233" s="141">
        <v>263.7527</v>
      </c>
      <c r="P233" s="141">
        <v>263.7362</v>
      </c>
      <c r="Q233" s="141">
        <v>263.74299999999999</v>
      </c>
      <c r="R233" s="141">
        <v>263.76029999999997</v>
      </c>
      <c r="S233" s="141">
        <v>263.78300000000002</v>
      </c>
      <c r="T233" s="141">
        <v>263.76</v>
      </c>
      <c r="U233" s="141">
        <v>263.79270000000002</v>
      </c>
      <c r="V233" s="153">
        <v>263.77949999999998</v>
      </c>
      <c r="W233" s="141"/>
      <c r="X233" s="108"/>
      <c r="Y233" s="141">
        <f t="shared" si="30"/>
        <v>263.76488499999994</v>
      </c>
      <c r="Z233" s="141">
        <f t="shared" si="37"/>
        <v>264.07480499999997</v>
      </c>
      <c r="AA233" s="159">
        <f t="shared" si="31"/>
        <v>0.30992000000003372</v>
      </c>
      <c r="AB233" s="171">
        <v>94</v>
      </c>
      <c r="AC233" s="160">
        <f t="shared" si="32"/>
        <v>145.66240000001585</v>
      </c>
      <c r="AD233" s="472"/>
    </row>
    <row r="234" spans="1:30" ht="14.25" x14ac:dyDescent="0.45">
      <c r="A234" s="600"/>
      <c r="B234" s="146">
        <v>65</v>
      </c>
      <c r="C234" s="153">
        <v>263.78039999999999</v>
      </c>
      <c r="D234" s="141">
        <v>263.77890000000002</v>
      </c>
      <c r="E234" s="141">
        <v>263.76260000000002</v>
      </c>
      <c r="F234" s="141">
        <v>263.7475</v>
      </c>
      <c r="G234" s="141">
        <v>263.74270000000001</v>
      </c>
      <c r="H234" s="141">
        <v>263.78289999999998</v>
      </c>
      <c r="I234" s="141">
        <v>263.78590000000003</v>
      </c>
      <c r="J234" s="141">
        <v>263.76080000000002</v>
      </c>
      <c r="K234" s="141">
        <v>263.75889999999998</v>
      </c>
      <c r="L234" s="141">
        <v>263.8426</v>
      </c>
      <c r="M234" s="141">
        <v>263.75630000000001</v>
      </c>
      <c r="N234" s="141">
        <v>263.76510000000002</v>
      </c>
      <c r="O234" s="141">
        <v>263.77780000000001</v>
      </c>
      <c r="P234" s="141">
        <v>263.7654</v>
      </c>
      <c r="Q234" s="141">
        <v>263.76749999999998</v>
      </c>
      <c r="R234" s="141">
        <v>263.73930000000001</v>
      </c>
      <c r="S234" s="141">
        <v>263.7663</v>
      </c>
      <c r="T234" s="141">
        <v>263.74689999999998</v>
      </c>
      <c r="U234" s="141">
        <v>263.78840000000002</v>
      </c>
      <c r="V234" s="153">
        <v>263.76979999999998</v>
      </c>
      <c r="W234" s="141"/>
      <c r="X234" s="108"/>
      <c r="Y234" s="141">
        <f t="shared" si="30"/>
        <v>263.76930000000004</v>
      </c>
      <c r="Z234" s="141">
        <f t="shared" si="37"/>
        <v>264.02480499999996</v>
      </c>
      <c r="AA234" s="159">
        <f t="shared" si="31"/>
        <v>0.25550499999991416</v>
      </c>
      <c r="AB234" s="171">
        <v>94</v>
      </c>
      <c r="AC234" s="160">
        <f t="shared" si="32"/>
        <v>120.08734999995966</v>
      </c>
      <c r="AD234" s="472"/>
    </row>
    <row r="235" spans="1:30" ht="14.25" x14ac:dyDescent="0.45">
      <c r="A235" s="600"/>
      <c r="B235" s="146">
        <v>70</v>
      </c>
      <c r="C235" s="153">
        <v>263.75110000000001</v>
      </c>
      <c r="D235" s="141">
        <v>263.75889999999998</v>
      </c>
      <c r="E235" s="141">
        <v>263.76029999999997</v>
      </c>
      <c r="F235" s="141">
        <v>263.77609999999999</v>
      </c>
      <c r="G235" s="141">
        <v>263.77330000000001</v>
      </c>
      <c r="H235" s="141">
        <v>263.77210000000002</v>
      </c>
      <c r="I235" s="141">
        <v>263.75760000000002</v>
      </c>
      <c r="J235" s="141">
        <v>263.77800000000002</v>
      </c>
      <c r="K235" s="141">
        <v>263.82060000000001</v>
      </c>
      <c r="L235" s="141">
        <v>263.83749999999998</v>
      </c>
      <c r="M235" s="141">
        <v>263.78019999999998</v>
      </c>
      <c r="N235" s="141">
        <v>263.77510000000001</v>
      </c>
      <c r="O235" s="141">
        <v>263.78579999999999</v>
      </c>
      <c r="P235" s="141">
        <v>263.78789999999998</v>
      </c>
      <c r="Q235" s="141">
        <v>263.77100000000002</v>
      </c>
      <c r="R235" s="141">
        <v>263.80970000000002</v>
      </c>
      <c r="S235" s="141">
        <v>263.77409999999998</v>
      </c>
      <c r="T235" s="141">
        <v>263.77820000000003</v>
      </c>
      <c r="U235" s="141">
        <v>263.79860000000002</v>
      </c>
      <c r="V235" s="153">
        <v>263.77980000000002</v>
      </c>
      <c r="W235" s="141"/>
      <c r="X235" s="108"/>
      <c r="Y235" s="141">
        <f t="shared" si="30"/>
        <v>263.781295</v>
      </c>
      <c r="Z235" s="141">
        <f t="shared" si="37"/>
        <v>263.97480499999995</v>
      </c>
      <c r="AA235" s="159">
        <f t="shared" si="31"/>
        <v>0.19350999999994656</v>
      </c>
      <c r="AB235" s="171">
        <v>94</v>
      </c>
      <c r="AC235" s="160">
        <f t="shared" si="32"/>
        <v>90.949699999974882</v>
      </c>
      <c r="AD235" s="472"/>
    </row>
    <row r="236" spans="1:30" ht="14.25" x14ac:dyDescent="0.45">
      <c r="A236" s="600"/>
      <c r="B236" s="146">
        <v>75</v>
      </c>
      <c r="C236" s="153">
        <v>263.7251</v>
      </c>
      <c r="D236" s="141">
        <v>263.72519999999997</v>
      </c>
      <c r="E236" s="141">
        <v>263.73379999999997</v>
      </c>
      <c r="F236" s="141">
        <v>263.75040000000001</v>
      </c>
      <c r="G236" s="141">
        <v>263.7747</v>
      </c>
      <c r="H236" s="141">
        <v>263.76850000000002</v>
      </c>
      <c r="I236" s="141">
        <v>263.77</v>
      </c>
      <c r="J236" s="141">
        <v>263.74889999999999</v>
      </c>
      <c r="K236" s="141">
        <v>263.78620000000001</v>
      </c>
      <c r="L236" s="141">
        <v>263.82429999999999</v>
      </c>
      <c r="M236" s="141">
        <v>263.7878</v>
      </c>
      <c r="N236" s="141">
        <v>263.78649999999999</v>
      </c>
      <c r="O236" s="141">
        <v>263.79289999999997</v>
      </c>
      <c r="P236" s="141">
        <v>263.77640000000002</v>
      </c>
      <c r="Q236" s="141">
        <v>263.77080000000001</v>
      </c>
      <c r="R236" s="141">
        <v>263.79230000000001</v>
      </c>
      <c r="S236" s="141">
        <v>263.74979999999999</v>
      </c>
      <c r="T236" s="141">
        <v>263.75650000000002</v>
      </c>
      <c r="U236" s="141">
        <v>263.79649999999998</v>
      </c>
      <c r="V236" s="153">
        <v>263.75749999999999</v>
      </c>
      <c r="W236" s="141"/>
      <c r="X236" s="108"/>
      <c r="Y236" s="141">
        <f t="shared" si="30"/>
        <v>263.76870500000007</v>
      </c>
      <c r="Z236" s="141">
        <f t="shared" si="37"/>
        <v>263.92480499999994</v>
      </c>
      <c r="AA236" s="159">
        <f t="shared" si="31"/>
        <v>0.15609999999986712</v>
      </c>
      <c r="AB236" s="171">
        <v>94</v>
      </c>
      <c r="AC236" s="160">
        <f t="shared" si="32"/>
        <v>73.366999999937548</v>
      </c>
      <c r="AD236" s="472"/>
    </row>
    <row r="237" spans="1:30" ht="14.25" x14ac:dyDescent="0.45">
      <c r="A237" s="600"/>
      <c r="B237" s="146">
        <v>80</v>
      </c>
      <c r="C237" s="153">
        <v>263.68790000000001</v>
      </c>
      <c r="D237" s="141">
        <v>263.70909999999998</v>
      </c>
      <c r="E237" s="141">
        <v>263.72280000000001</v>
      </c>
      <c r="F237" s="141">
        <v>263.72489999999999</v>
      </c>
      <c r="G237" s="141">
        <v>263.70600000000002</v>
      </c>
      <c r="H237" s="141">
        <v>263.72620000000001</v>
      </c>
      <c r="I237" s="141">
        <v>263.76229999999998</v>
      </c>
      <c r="J237" s="141">
        <v>263.79169999999999</v>
      </c>
      <c r="K237" s="141">
        <v>263.79250000000002</v>
      </c>
      <c r="L237" s="141">
        <v>263.851</v>
      </c>
      <c r="M237" s="141">
        <v>263.78280000000001</v>
      </c>
      <c r="N237" s="141">
        <v>263.78750000000002</v>
      </c>
      <c r="O237" s="141">
        <v>263.78859999999997</v>
      </c>
      <c r="P237" s="141">
        <v>263.798</v>
      </c>
      <c r="Q237" s="141">
        <v>263.80290000000002</v>
      </c>
      <c r="R237" s="141">
        <v>263.79070000000002</v>
      </c>
      <c r="S237" s="141">
        <v>263.78309999999999</v>
      </c>
      <c r="T237" s="141">
        <v>263.8168</v>
      </c>
      <c r="U237" s="141">
        <v>263.81799999999998</v>
      </c>
      <c r="V237" s="153">
        <v>263.8039</v>
      </c>
      <c r="W237" s="141"/>
      <c r="X237" s="108"/>
      <c r="Y237" s="141">
        <f t="shared" si="30"/>
        <v>263.772335</v>
      </c>
      <c r="Z237" s="141">
        <f t="shared" si="37"/>
        <v>263.87480499999992</v>
      </c>
      <c r="AA237" s="159">
        <f t="shared" si="31"/>
        <v>0.10246999999992568</v>
      </c>
      <c r="AB237" s="171">
        <v>94</v>
      </c>
      <c r="AC237" s="160">
        <f t="shared" si="32"/>
        <v>48.160899999965068</v>
      </c>
      <c r="AD237" s="472"/>
    </row>
    <row r="238" spans="1:30" ht="14.25" x14ac:dyDescent="0.45">
      <c r="A238" s="600"/>
      <c r="B238" s="146">
        <v>85</v>
      </c>
      <c r="C238" s="153">
        <v>263.70319999999998</v>
      </c>
      <c r="D238" s="141">
        <v>263.68290000000002</v>
      </c>
      <c r="E238" s="141">
        <v>263.72629999999998</v>
      </c>
      <c r="F238" s="141">
        <v>263.7833</v>
      </c>
      <c r="G238" s="141">
        <v>263.7824</v>
      </c>
      <c r="H238" s="141">
        <v>263.87310000000002</v>
      </c>
      <c r="I238" s="141">
        <v>263.94299999999998</v>
      </c>
      <c r="J238" s="141">
        <v>263.92809999999997</v>
      </c>
      <c r="K238" s="141">
        <v>263.95679999999999</v>
      </c>
      <c r="L238" s="141">
        <v>263.95690000000002</v>
      </c>
      <c r="M238" s="141">
        <v>263.82530000000003</v>
      </c>
      <c r="N238" s="141">
        <v>263.82389999999998</v>
      </c>
      <c r="O238" s="141">
        <v>263.81630000000001</v>
      </c>
      <c r="P238" s="141">
        <v>263.8125</v>
      </c>
      <c r="Q238" s="141">
        <v>263.79610000000002</v>
      </c>
      <c r="R238" s="141">
        <v>263.80810000000002</v>
      </c>
      <c r="S238" s="141">
        <v>263.7765</v>
      </c>
      <c r="T238" s="141">
        <v>263.78570000000002</v>
      </c>
      <c r="U238" s="141">
        <v>263.80630000000002</v>
      </c>
      <c r="V238" s="153">
        <v>263.81389999999999</v>
      </c>
      <c r="W238" s="141"/>
      <c r="X238" s="108"/>
      <c r="Y238" s="141">
        <f t="shared" si="30"/>
        <v>263.82003000000003</v>
      </c>
      <c r="Z238" s="141">
        <f t="shared" si="37"/>
        <v>263.82480499999991</v>
      </c>
      <c r="AA238" s="159">
        <f t="shared" si="31"/>
        <v>4.7749999998814019E-3</v>
      </c>
      <c r="AB238" s="171">
        <v>94</v>
      </c>
      <c r="AC238" s="160">
        <f t="shared" si="32"/>
        <v>2.2442499999442589</v>
      </c>
      <c r="AD238" s="472"/>
    </row>
    <row r="239" spans="1:30" ht="14.25" x14ac:dyDescent="0.45">
      <c r="A239" s="601"/>
      <c r="B239" s="148">
        <v>90</v>
      </c>
      <c r="C239" s="154">
        <v>263.84129999999999</v>
      </c>
      <c r="D239" s="154">
        <v>263.8014</v>
      </c>
      <c r="E239" s="154">
        <v>263.81599999999997</v>
      </c>
      <c r="F239" s="154">
        <v>263.81459999999998</v>
      </c>
      <c r="G239" s="154">
        <v>263.79000000000002</v>
      </c>
      <c r="H239" s="154">
        <v>263.80540000000002</v>
      </c>
      <c r="I239" s="154">
        <v>263.81569999999999</v>
      </c>
      <c r="J239" s="154">
        <v>263.79000000000002</v>
      </c>
      <c r="K239" s="154">
        <v>263.8673</v>
      </c>
      <c r="L239" s="154">
        <v>263.89089999999999</v>
      </c>
      <c r="M239" s="154">
        <v>263.84750000000003</v>
      </c>
      <c r="N239" s="154">
        <v>263.84780000000001</v>
      </c>
      <c r="O239" s="154">
        <v>263.85649999999998</v>
      </c>
      <c r="P239" s="154">
        <v>263.83909999999997</v>
      </c>
      <c r="Q239" s="154">
        <v>263.82479999999998</v>
      </c>
      <c r="R239" s="154">
        <v>263.7878</v>
      </c>
      <c r="S239" s="154">
        <v>263.78140000000002</v>
      </c>
      <c r="T239" s="154">
        <v>263.78030000000001</v>
      </c>
      <c r="U239" s="154">
        <v>263.76</v>
      </c>
      <c r="V239" s="154">
        <v>263.77730000000003</v>
      </c>
      <c r="W239" s="142"/>
      <c r="X239" s="117"/>
      <c r="Y239" s="142">
        <f t="shared" si="30"/>
        <v>263.81675499999994</v>
      </c>
      <c r="Z239" s="142">
        <f t="shared" si="37"/>
        <v>263.7748049999999</v>
      </c>
      <c r="AA239" s="161">
        <f t="shared" si="31"/>
        <v>-4.1950000000042564E-2</v>
      </c>
      <c r="AB239" s="174">
        <v>94</v>
      </c>
      <c r="AC239" s="162">
        <f t="shared" si="32"/>
        <v>-19.716500000020005</v>
      </c>
      <c r="AD239" s="112">
        <f>SUM(AC221:AC239)</f>
        <v>1560.6758124995033</v>
      </c>
    </row>
    <row r="240" spans="1:30" ht="14.25" customHeight="1" x14ac:dyDescent="0.45">
      <c r="A240" s="596" t="s">
        <v>295</v>
      </c>
      <c r="B240" s="147">
        <v>0</v>
      </c>
      <c r="C240" s="151">
        <v>263.7978</v>
      </c>
      <c r="D240" s="151">
        <v>263.82659999999998</v>
      </c>
      <c r="E240" s="151">
        <v>263.83150000000001</v>
      </c>
      <c r="F240" s="151">
        <v>263.85329999999999</v>
      </c>
      <c r="G240" s="151">
        <v>263.87709999999998</v>
      </c>
      <c r="H240" s="151">
        <v>263.87189999999998</v>
      </c>
      <c r="I240" s="151">
        <v>263.87889999999999</v>
      </c>
      <c r="J240" s="151">
        <v>263.99459999999999</v>
      </c>
      <c r="K240" s="151">
        <v>263.92930000000001</v>
      </c>
      <c r="L240" s="151">
        <v>263.86340000000001</v>
      </c>
      <c r="M240" s="151">
        <v>263.8458</v>
      </c>
      <c r="N240" s="151">
        <v>263.83909999999997</v>
      </c>
      <c r="O240" s="151">
        <v>263.85239999999999</v>
      </c>
      <c r="P240" s="151">
        <v>263.86110000000002</v>
      </c>
      <c r="Q240" s="151">
        <v>263.89659999999998</v>
      </c>
      <c r="R240" s="151">
        <v>264.84019999999998</v>
      </c>
      <c r="S240" s="151">
        <v>264.11070000000001</v>
      </c>
      <c r="T240" s="151">
        <v>264.07409999999999</v>
      </c>
      <c r="U240" s="140"/>
      <c r="V240" s="140"/>
      <c r="W240" s="140"/>
      <c r="X240" s="116"/>
      <c r="Y240" s="140">
        <f t="shared" si="30"/>
        <v>263.94691111111109</v>
      </c>
      <c r="Z240" s="140">
        <f t="shared" ref="Z240:Z248" si="38">Z241-5/100</f>
        <v>263.77514444444432</v>
      </c>
      <c r="AA240" s="159">
        <f t="shared" si="31"/>
        <v>-0.17176666666676965</v>
      </c>
      <c r="AB240" s="172">
        <v>86</v>
      </c>
      <c r="AC240" s="158">
        <f t="shared" si="32"/>
        <v>-73.85966666671095</v>
      </c>
      <c r="AD240" s="472"/>
    </row>
    <row r="241" spans="1:30" ht="14.25" customHeight="1" x14ac:dyDescent="0.45">
      <c r="A241" s="597"/>
      <c r="B241" s="146">
        <v>5</v>
      </c>
      <c r="C241" s="153">
        <v>263.83030000000002</v>
      </c>
      <c r="D241" s="141">
        <v>263.8562</v>
      </c>
      <c r="E241" s="141">
        <v>263.8503</v>
      </c>
      <c r="F241" s="141">
        <v>263.87200000000001</v>
      </c>
      <c r="G241" s="141">
        <v>263.89789999999999</v>
      </c>
      <c r="H241" s="141">
        <v>263.90929999999997</v>
      </c>
      <c r="I241" s="141">
        <v>264.06270000000001</v>
      </c>
      <c r="J241" s="141">
        <v>263.9896</v>
      </c>
      <c r="K241" s="141">
        <v>264.07040000000001</v>
      </c>
      <c r="L241" s="141">
        <v>263.84190000000001</v>
      </c>
      <c r="M241" s="141">
        <v>263.88810000000001</v>
      </c>
      <c r="N241" s="141">
        <v>263.79790000000003</v>
      </c>
      <c r="O241" s="141">
        <v>263.88459999999998</v>
      </c>
      <c r="P241" s="141">
        <v>263.99439999999998</v>
      </c>
      <c r="Q241" s="141">
        <v>263.8039</v>
      </c>
      <c r="R241" s="141">
        <v>263.86950000000002</v>
      </c>
      <c r="S241" s="141">
        <v>263.8569</v>
      </c>
      <c r="T241" s="153">
        <v>263.95</v>
      </c>
      <c r="U241" s="141"/>
      <c r="V241" s="141"/>
      <c r="W241" s="141"/>
      <c r="X241" s="108"/>
      <c r="Y241" s="141">
        <f t="shared" si="30"/>
        <v>263.90143888888883</v>
      </c>
      <c r="Z241" s="141">
        <f t="shared" si="38"/>
        <v>263.82514444444433</v>
      </c>
      <c r="AA241" s="159">
        <f t="shared" si="31"/>
        <v>-7.6294444444499732E-2</v>
      </c>
      <c r="AB241" s="171">
        <v>86</v>
      </c>
      <c r="AC241" s="160">
        <f t="shared" si="32"/>
        <v>-32.806611111134885</v>
      </c>
      <c r="AD241" s="472"/>
    </row>
    <row r="242" spans="1:30" ht="14.25" customHeight="1" x14ac:dyDescent="0.45">
      <c r="A242" s="597"/>
      <c r="B242" s="146">
        <v>10</v>
      </c>
      <c r="C242" s="153">
        <v>263.85169999999999</v>
      </c>
      <c r="D242" s="141">
        <v>263.82459999999998</v>
      </c>
      <c r="E242" s="141">
        <v>263.87180000000001</v>
      </c>
      <c r="F242" s="141">
        <v>263.87920000000003</v>
      </c>
      <c r="G242" s="141">
        <v>264.1189</v>
      </c>
      <c r="H242" s="141">
        <v>264.24889999999999</v>
      </c>
      <c r="I242" s="141">
        <v>264.18110000000001</v>
      </c>
      <c r="J242" s="141">
        <v>264.44630000000001</v>
      </c>
      <c r="K242" s="141">
        <v>264.45</v>
      </c>
      <c r="L242" s="141">
        <v>263.96370000000002</v>
      </c>
      <c r="M242" s="141">
        <v>263.9359</v>
      </c>
      <c r="N242" s="141">
        <v>263.7593</v>
      </c>
      <c r="O242" s="141">
        <v>263.8766</v>
      </c>
      <c r="P242" s="141">
        <v>263.82190000000003</v>
      </c>
      <c r="Q242" s="141">
        <v>263.82589999999999</v>
      </c>
      <c r="R242" s="141">
        <v>263.84190000000001</v>
      </c>
      <c r="S242" s="141">
        <v>263.84840000000003</v>
      </c>
      <c r="T242" s="153">
        <v>264.01589999999999</v>
      </c>
      <c r="U242" s="141"/>
      <c r="V242" s="141"/>
      <c r="W242" s="141"/>
      <c r="X242" s="108"/>
      <c r="Y242" s="141">
        <f t="shared" si="30"/>
        <v>263.98677777777777</v>
      </c>
      <c r="Z242" s="141">
        <f t="shared" si="38"/>
        <v>263.87514444444435</v>
      </c>
      <c r="AA242" s="159">
        <f t="shared" si="31"/>
        <v>-0.11163333333342962</v>
      </c>
      <c r="AB242" s="171">
        <v>86</v>
      </c>
      <c r="AC242" s="160">
        <f t="shared" si="32"/>
        <v>-48.002333333374736</v>
      </c>
      <c r="AD242" s="472"/>
    </row>
    <row r="243" spans="1:30" ht="14.25" customHeight="1" x14ac:dyDescent="0.45">
      <c r="A243" s="597"/>
      <c r="B243" s="146">
        <v>15</v>
      </c>
      <c r="C243" s="153">
        <v>263.86989999999997</v>
      </c>
      <c r="D243" s="141">
        <v>263.88200000000001</v>
      </c>
      <c r="E243" s="141">
        <v>263.85160000000002</v>
      </c>
      <c r="F243" s="141">
        <v>264.10050000000001</v>
      </c>
      <c r="G243" s="141">
        <v>264.28410000000002</v>
      </c>
      <c r="H243" s="141">
        <v>264.44330000000002</v>
      </c>
      <c r="I243" s="141">
        <v>264.5326</v>
      </c>
      <c r="J243" s="141">
        <v>264.47039999999998</v>
      </c>
      <c r="K243" s="141">
        <v>264.4665</v>
      </c>
      <c r="L243" s="141">
        <v>263.89260000000002</v>
      </c>
      <c r="M243" s="141">
        <v>263.99759999999998</v>
      </c>
      <c r="N243" s="141">
        <v>263.78519999999997</v>
      </c>
      <c r="O243" s="141">
        <v>263.80349999999999</v>
      </c>
      <c r="P243" s="141">
        <v>263.8229</v>
      </c>
      <c r="Q243" s="141">
        <v>263.80500000000001</v>
      </c>
      <c r="R243" s="141">
        <v>263.82310000000001</v>
      </c>
      <c r="S243" s="141">
        <v>263.83139999999997</v>
      </c>
      <c r="T243" s="153">
        <v>264.02159999999998</v>
      </c>
      <c r="U243" s="141"/>
      <c r="V243" s="141"/>
      <c r="W243" s="141"/>
      <c r="X243" s="108"/>
      <c r="Y243" s="141">
        <f t="shared" si="30"/>
        <v>264.03798888888889</v>
      </c>
      <c r="Z243" s="141">
        <f t="shared" si="38"/>
        <v>263.92514444444436</v>
      </c>
      <c r="AA243" s="159">
        <f t="shared" si="31"/>
        <v>-0.11284444444453356</v>
      </c>
      <c r="AB243" s="171">
        <v>86</v>
      </c>
      <c r="AC243" s="160">
        <f t="shared" si="32"/>
        <v>-48.523111111149433</v>
      </c>
      <c r="AD243" s="472"/>
    </row>
    <row r="244" spans="1:30" ht="14.25" customHeight="1" x14ac:dyDescent="0.45">
      <c r="A244" s="597"/>
      <c r="B244" s="146">
        <v>20</v>
      </c>
      <c r="C244" s="153">
        <v>263.93920000000003</v>
      </c>
      <c r="D244" s="141">
        <v>263.95119999999997</v>
      </c>
      <c r="E244" s="141">
        <v>263.90410000000003</v>
      </c>
      <c r="F244" s="141">
        <v>264.19580000000002</v>
      </c>
      <c r="G244" s="141">
        <v>264.23860000000002</v>
      </c>
      <c r="H244" s="141">
        <v>264.35090000000002</v>
      </c>
      <c r="I244" s="141">
        <v>264.09649999999999</v>
      </c>
      <c r="J244" s="141">
        <v>264.06029999999998</v>
      </c>
      <c r="K244" s="141">
        <v>263.97300000000001</v>
      </c>
      <c r="L244" s="141">
        <v>263.97910000000002</v>
      </c>
      <c r="M244" s="141">
        <v>263.79989999999998</v>
      </c>
      <c r="N244" s="141">
        <v>263.78449999999998</v>
      </c>
      <c r="O244" s="141">
        <v>263.80270000000002</v>
      </c>
      <c r="P244" s="141">
        <v>263.82440000000003</v>
      </c>
      <c r="Q244" s="141">
        <v>263.8347</v>
      </c>
      <c r="R244" s="141">
        <v>263.82380000000001</v>
      </c>
      <c r="S244" s="141">
        <v>263.83760000000001</v>
      </c>
      <c r="T244" s="153">
        <v>264.03059999999999</v>
      </c>
      <c r="U244" s="141"/>
      <c r="V244" s="141"/>
      <c r="W244" s="141"/>
      <c r="X244" s="108"/>
      <c r="Y244" s="141">
        <f t="shared" si="30"/>
        <v>263.96816111111116</v>
      </c>
      <c r="Z244" s="141">
        <f t="shared" si="38"/>
        <v>263.97514444444437</v>
      </c>
      <c r="AA244" s="159">
        <f t="shared" si="31"/>
        <v>6.9833333332098846E-3</v>
      </c>
      <c r="AB244" s="171">
        <v>86</v>
      </c>
      <c r="AC244" s="160">
        <f t="shared" si="32"/>
        <v>3.0028333332802504</v>
      </c>
      <c r="AD244" s="472"/>
    </row>
    <row r="245" spans="1:30" ht="14.25" customHeight="1" x14ac:dyDescent="0.45">
      <c r="A245" s="597"/>
      <c r="B245" s="146">
        <v>25</v>
      </c>
      <c r="C245" s="153">
        <v>263.9821</v>
      </c>
      <c r="D245" s="141">
        <v>263.94110000000001</v>
      </c>
      <c r="E245" s="141">
        <v>263.9323</v>
      </c>
      <c r="F245" s="141">
        <v>264.19560000000001</v>
      </c>
      <c r="G245" s="141">
        <v>264.18900000000002</v>
      </c>
      <c r="H245" s="141">
        <v>263.64659999999998</v>
      </c>
      <c r="I245" s="141">
        <v>263.91489999999999</v>
      </c>
      <c r="J245" s="141">
        <v>263.858</v>
      </c>
      <c r="K245" s="141">
        <v>263.82839999999999</v>
      </c>
      <c r="L245" s="141">
        <v>263.82130000000001</v>
      </c>
      <c r="M245" s="141">
        <v>263.8374</v>
      </c>
      <c r="N245" s="141">
        <v>263.8075</v>
      </c>
      <c r="O245" s="141">
        <v>263.82209999999998</v>
      </c>
      <c r="P245" s="141">
        <v>263.82929999999999</v>
      </c>
      <c r="Q245" s="141">
        <v>263.83019999999999</v>
      </c>
      <c r="R245" s="141">
        <v>263.82749999999999</v>
      </c>
      <c r="S245" s="141">
        <v>263.84070000000003</v>
      </c>
      <c r="T245" s="153">
        <v>263.9846</v>
      </c>
      <c r="U245" s="141"/>
      <c r="V245" s="141"/>
      <c r="W245" s="141"/>
      <c r="X245" s="108"/>
      <c r="Y245" s="141">
        <f t="shared" si="30"/>
        <v>263.89381111111106</v>
      </c>
      <c r="Z245" s="141">
        <f t="shared" si="38"/>
        <v>264.02514444444438</v>
      </c>
      <c r="AA245" s="159">
        <f t="shared" si="31"/>
        <v>0.1313333333333162</v>
      </c>
      <c r="AB245" s="171">
        <v>86</v>
      </c>
      <c r="AC245" s="160">
        <f t="shared" si="32"/>
        <v>56.473333333325968</v>
      </c>
      <c r="AD245" s="472"/>
    </row>
    <row r="246" spans="1:30" ht="14.25" customHeight="1" x14ac:dyDescent="0.45">
      <c r="A246" s="597"/>
      <c r="B246" s="146">
        <v>30</v>
      </c>
      <c r="C246" s="153">
        <v>264.36900000000003</v>
      </c>
      <c r="D246" s="141">
        <v>264.1927</v>
      </c>
      <c r="E246" s="141">
        <v>263.827</v>
      </c>
      <c r="F246" s="141">
        <v>263.77420000000001</v>
      </c>
      <c r="G246" s="141">
        <v>263.90359999999998</v>
      </c>
      <c r="H246" s="141">
        <v>263.84160000000003</v>
      </c>
      <c r="I246" s="141">
        <v>263.84949999999998</v>
      </c>
      <c r="J246" s="141">
        <v>263.84480000000002</v>
      </c>
      <c r="K246" s="141">
        <v>263.85070000000002</v>
      </c>
      <c r="L246" s="141">
        <v>263.84140000000002</v>
      </c>
      <c r="M246" s="141">
        <v>263.84429999999998</v>
      </c>
      <c r="N246" s="141">
        <v>263.83510000000001</v>
      </c>
      <c r="O246" s="141">
        <v>263.82510000000002</v>
      </c>
      <c r="P246" s="141">
        <v>263.83510000000001</v>
      </c>
      <c r="Q246" s="141">
        <v>263.83800000000002</v>
      </c>
      <c r="R246" s="141">
        <v>263.84829999999999</v>
      </c>
      <c r="S246" s="141">
        <v>263.8424</v>
      </c>
      <c r="T246" s="153">
        <v>263.99329999999998</v>
      </c>
      <c r="U246" s="141"/>
      <c r="V246" s="141"/>
      <c r="W246" s="141"/>
      <c r="X246" s="108"/>
      <c r="Y246" s="141">
        <f t="shared" si="30"/>
        <v>263.89756111111114</v>
      </c>
      <c r="Z246" s="141">
        <f t="shared" si="38"/>
        <v>264.07514444444439</v>
      </c>
      <c r="AA246" s="159">
        <f t="shared" si="31"/>
        <v>0.17758333333324572</v>
      </c>
      <c r="AB246" s="171">
        <v>86</v>
      </c>
      <c r="AC246" s="160">
        <f t="shared" si="32"/>
        <v>76.360833333295659</v>
      </c>
      <c r="AD246" s="472"/>
    </row>
    <row r="247" spans="1:30" ht="14.25" customHeight="1" x14ac:dyDescent="0.45">
      <c r="A247" s="597"/>
      <c r="B247" s="146">
        <v>35</v>
      </c>
      <c r="C247" s="153">
        <v>264.44850000000002</v>
      </c>
      <c r="D247" s="141">
        <v>264.27510000000001</v>
      </c>
      <c r="E247" s="141">
        <v>263.94209999999998</v>
      </c>
      <c r="F247" s="141">
        <v>263.86649999999997</v>
      </c>
      <c r="G247" s="141">
        <v>263.85579999999999</v>
      </c>
      <c r="H247" s="141">
        <v>263.86700000000002</v>
      </c>
      <c r="I247" s="141">
        <v>263.86070000000001</v>
      </c>
      <c r="J247" s="141">
        <v>263.85000000000002</v>
      </c>
      <c r="K247" s="141">
        <v>263.91750000000002</v>
      </c>
      <c r="L247" s="141">
        <v>263.8562</v>
      </c>
      <c r="M247" s="141">
        <v>263.85899999999998</v>
      </c>
      <c r="N247" s="141">
        <v>263.85239999999999</v>
      </c>
      <c r="O247" s="141">
        <v>263.85820000000001</v>
      </c>
      <c r="P247" s="141">
        <v>263.83980000000003</v>
      </c>
      <c r="Q247" s="141">
        <v>263.84370000000001</v>
      </c>
      <c r="R247" s="141">
        <v>263.839</v>
      </c>
      <c r="S247" s="141">
        <v>263.83730000000003</v>
      </c>
      <c r="T247" s="153">
        <v>263.9402</v>
      </c>
      <c r="U247" s="141"/>
      <c r="V247" s="141"/>
      <c r="W247" s="141"/>
      <c r="X247" s="108"/>
      <c r="Y247" s="141">
        <f t="shared" si="30"/>
        <v>263.92272222222232</v>
      </c>
      <c r="Z247" s="141">
        <f t="shared" si="38"/>
        <v>264.1251444444444</v>
      </c>
      <c r="AA247" s="159">
        <f t="shared" si="31"/>
        <v>0.20242222222208284</v>
      </c>
      <c r="AB247" s="171">
        <v>86</v>
      </c>
      <c r="AC247" s="160">
        <f t="shared" si="32"/>
        <v>87.04155555549562</v>
      </c>
      <c r="AD247" s="472"/>
    </row>
    <row r="248" spans="1:30" ht="14.25" customHeight="1" x14ac:dyDescent="0.45">
      <c r="A248" s="597"/>
      <c r="B248" s="146">
        <v>40</v>
      </c>
      <c r="C248" s="153">
        <v>263.90129999999999</v>
      </c>
      <c r="D248" s="141">
        <v>263.85449999999997</v>
      </c>
      <c r="E248" s="141">
        <v>263.87389999999999</v>
      </c>
      <c r="F248" s="141">
        <v>263.85140000000001</v>
      </c>
      <c r="G248" s="141">
        <v>263.87380000000002</v>
      </c>
      <c r="H248" s="141">
        <v>263.87700000000001</v>
      </c>
      <c r="I248" s="141">
        <v>263.88459999999998</v>
      </c>
      <c r="J248" s="141">
        <v>263.89240000000001</v>
      </c>
      <c r="K248" s="141">
        <v>263.96409999999997</v>
      </c>
      <c r="L248" s="141">
        <v>263.87569999999999</v>
      </c>
      <c r="M248" s="141">
        <v>263.87509999999997</v>
      </c>
      <c r="N248" s="141">
        <v>263.86770000000001</v>
      </c>
      <c r="O248" s="141">
        <v>263.86590000000001</v>
      </c>
      <c r="P248" s="141">
        <v>263.85309999999998</v>
      </c>
      <c r="Q248" s="141">
        <v>263.8383</v>
      </c>
      <c r="R248" s="141">
        <v>263.83519999999999</v>
      </c>
      <c r="S248" s="141">
        <v>263.84230000000002</v>
      </c>
      <c r="T248" s="153">
        <v>263.86799999999999</v>
      </c>
      <c r="U248" s="141"/>
      <c r="V248" s="141"/>
      <c r="W248" s="141"/>
      <c r="X248" s="108"/>
      <c r="Y248" s="141">
        <f t="shared" si="30"/>
        <v>263.8719055555556</v>
      </c>
      <c r="Z248" s="141">
        <f t="shared" si="38"/>
        <v>264.17514444444441</v>
      </c>
      <c r="AA248" s="159">
        <f t="shared" si="31"/>
        <v>0.30323888888881356</v>
      </c>
      <c r="AB248" s="171">
        <v>86</v>
      </c>
      <c r="AC248" s="160">
        <f t="shared" si="32"/>
        <v>130.39272222218983</v>
      </c>
      <c r="AD248" s="472"/>
    </row>
    <row r="249" spans="1:30" ht="14.25" customHeight="1" x14ac:dyDescent="0.45">
      <c r="A249" s="597"/>
      <c r="B249" s="146">
        <v>45</v>
      </c>
      <c r="C249" s="153">
        <v>263.86709999999999</v>
      </c>
      <c r="D249" s="141">
        <v>263.87819999999999</v>
      </c>
      <c r="E249" s="141">
        <v>263.88119999999998</v>
      </c>
      <c r="F249" s="141">
        <v>263.86810000000003</v>
      </c>
      <c r="G249" s="141">
        <v>263.87270000000001</v>
      </c>
      <c r="H249" s="141">
        <v>263.88630000000001</v>
      </c>
      <c r="I249" s="141">
        <v>263.88229999999999</v>
      </c>
      <c r="J249" s="141">
        <v>263.90769999999998</v>
      </c>
      <c r="K249" s="141">
        <v>264.01519999999999</v>
      </c>
      <c r="L249" s="141">
        <v>263.91379999999998</v>
      </c>
      <c r="M249" s="141">
        <v>263.90719999999999</v>
      </c>
      <c r="N249" s="141">
        <v>263.90190000000001</v>
      </c>
      <c r="O249" s="141">
        <v>263.8879</v>
      </c>
      <c r="P249" s="141">
        <v>263.87049999999999</v>
      </c>
      <c r="Q249" s="141">
        <v>263.86160000000001</v>
      </c>
      <c r="R249" s="141">
        <v>263.86410000000001</v>
      </c>
      <c r="S249" s="141">
        <v>263.85090000000002</v>
      </c>
      <c r="T249" s="153">
        <v>263.85599999999999</v>
      </c>
      <c r="U249" s="141"/>
      <c r="V249" s="141"/>
      <c r="W249" s="141"/>
      <c r="X249" s="108"/>
      <c r="Y249" s="141">
        <f t="shared" si="30"/>
        <v>263.88737222222221</v>
      </c>
      <c r="Z249" s="141">
        <f>Z250-5/100</f>
        <v>264.22514444444442</v>
      </c>
      <c r="AA249" s="159">
        <f t="shared" si="31"/>
        <v>0.33777222222221326</v>
      </c>
      <c r="AB249" s="171">
        <v>86</v>
      </c>
      <c r="AC249" s="160">
        <f t="shared" si="32"/>
        <v>145.2420555555517</v>
      </c>
      <c r="AD249" s="472"/>
    </row>
    <row r="250" spans="1:30" ht="14.25" customHeight="1" x14ac:dyDescent="0.45">
      <c r="A250" s="597"/>
      <c r="B250" s="146">
        <v>50</v>
      </c>
      <c r="C250" s="153">
        <v>263.87630000000001</v>
      </c>
      <c r="D250" s="141">
        <v>263.8938</v>
      </c>
      <c r="E250" s="141">
        <v>263.88639999999998</v>
      </c>
      <c r="F250" s="141">
        <v>263.86470000000003</v>
      </c>
      <c r="G250" s="141">
        <v>263.86430000000001</v>
      </c>
      <c r="H250" s="141">
        <v>263.89330000000001</v>
      </c>
      <c r="I250" s="141">
        <v>263.89859999999999</v>
      </c>
      <c r="J250" s="141">
        <v>263.90429999999998</v>
      </c>
      <c r="K250" s="141">
        <v>263.97730000000001</v>
      </c>
      <c r="L250" s="141">
        <v>263.9298</v>
      </c>
      <c r="M250" s="141">
        <v>263.95370000000003</v>
      </c>
      <c r="N250" s="141">
        <v>263.94099999999997</v>
      </c>
      <c r="O250" s="141">
        <v>263.9271</v>
      </c>
      <c r="P250" s="141">
        <v>263.91239999999999</v>
      </c>
      <c r="Q250" s="141">
        <v>263.88920000000002</v>
      </c>
      <c r="R250" s="141">
        <v>263.88959999999997</v>
      </c>
      <c r="S250" s="141">
        <v>263.87380000000002</v>
      </c>
      <c r="T250" s="153">
        <v>263.88099999999997</v>
      </c>
      <c r="U250" s="141"/>
      <c r="V250" s="141"/>
      <c r="W250" s="141"/>
      <c r="X250" s="124"/>
      <c r="Y250" s="167">
        <f t="shared" si="30"/>
        <v>263.90314444444448</v>
      </c>
      <c r="Z250" s="167">
        <f>Y250+0.4-0.003+0.075-0.1</f>
        <v>264.27514444444444</v>
      </c>
      <c r="AA250" s="159">
        <f t="shared" si="31"/>
        <v>0.37199999999995725</v>
      </c>
      <c r="AB250" s="173">
        <v>86</v>
      </c>
      <c r="AC250" s="160">
        <f t="shared" si="32"/>
        <v>159.95999999998162</v>
      </c>
      <c r="AD250" s="472"/>
    </row>
    <row r="251" spans="1:30" ht="14.25" customHeight="1" x14ac:dyDescent="0.45">
      <c r="A251" s="597"/>
      <c r="B251" s="146">
        <v>55</v>
      </c>
      <c r="C251" s="153">
        <v>263.85050000000001</v>
      </c>
      <c r="D251" s="141">
        <v>263.87270000000001</v>
      </c>
      <c r="E251" s="141">
        <v>263.88749999999999</v>
      </c>
      <c r="F251" s="141">
        <v>263.87290000000002</v>
      </c>
      <c r="G251" s="141">
        <v>263.90069999999997</v>
      </c>
      <c r="H251" s="141">
        <v>263.90069999999997</v>
      </c>
      <c r="I251" s="141">
        <v>263.90980000000002</v>
      </c>
      <c r="J251" s="141">
        <v>263.91219999999998</v>
      </c>
      <c r="K251" s="141">
        <v>263.99590000000001</v>
      </c>
      <c r="L251" s="141">
        <v>263.93130000000002</v>
      </c>
      <c r="M251" s="141">
        <v>263.95119999999997</v>
      </c>
      <c r="N251" s="141">
        <v>263.94630000000001</v>
      </c>
      <c r="O251" s="141">
        <v>263.93790000000001</v>
      </c>
      <c r="P251" s="141">
        <v>263.935</v>
      </c>
      <c r="Q251" s="141">
        <v>263.93189999999998</v>
      </c>
      <c r="R251" s="141">
        <v>263.92919999999998</v>
      </c>
      <c r="S251" s="141">
        <v>263.91120000000001</v>
      </c>
      <c r="T251" s="153">
        <v>263.90750000000003</v>
      </c>
      <c r="U251" s="141"/>
      <c r="V251" s="141"/>
      <c r="W251" s="141"/>
      <c r="X251" s="108"/>
      <c r="Y251" s="141">
        <f t="shared" si="30"/>
        <v>263.91579999999999</v>
      </c>
      <c r="Z251" s="141">
        <f>Z250-5/100</f>
        <v>264.22514444444442</v>
      </c>
      <c r="AA251" s="159">
        <f t="shared" si="31"/>
        <v>0.30934444444443443</v>
      </c>
      <c r="AB251" s="171">
        <v>86</v>
      </c>
      <c r="AC251" s="160">
        <f t="shared" si="32"/>
        <v>133.0181111111068</v>
      </c>
      <c r="AD251" s="472"/>
    </row>
    <row r="252" spans="1:30" ht="14.25" customHeight="1" x14ac:dyDescent="0.45">
      <c r="A252" s="597"/>
      <c r="B252" s="146">
        <v>60</v>
      </c>
      <c r="C252" s="153">
        <v>263.82119999999998</v>
      </c>
      <c r="D252" s="141">
        <v>263.84109999999998</v>
      </c>
      <c r="E252" s="141">
        <v>263.85770000000002</v>
      </c>
      <c r="F252" s="141">
        <v>263.85700000000003</v>
      </c>
      <c r="G252" s="141">
        <v>263.87729999999999</v>
      </c>
      <c r="H252" s="141">
        <v>263.89600000000002</v>
      </c>
      <c r="I252" s="141">
        <v>263.92</v>
      </c>
      <c r="J252" s="141">
        <v>263.95490000000001</v>
      </c>
      <c r="K252" s="141">
        <v>264.0213</v>
      </c>
      <c r="L252" s="141">
        <v>263.94130000000001</v>
      </c>
      <c r="M252" s="141">
        <v>263.94409999999999</v>
      </c>
      <c r="N252" s="141">
        <v>263.94639999999998</v>
      </c>
      <c r="O252" s="141">
        <v>263.95350000000002</v>
      </c>
      <c r="P252" s="141">
        <v>263.9538</v>
      </c>
      <c r="Q252" s="141">
        <v>263.95519999999999</v>
      </c>
      <c r="R252" s="141">
        <v>263.95139999999998</v>
      </c>
      <c r="S252" s="141">
        <v>263.94560000000001</v>
      </c>
      <c r="T252" s="153">
        <v>263.92680000000001</v>
      </c>
      <c r="U252" s="141"/>
      <c r="V252" s="141"/>
      <c r="W252" s="141"/>
      <c r="X252" s="108"/>
      <c r="Y252" s="141">
        <f t="shared" si="30"/>
        <v>263.92025555555557</v>
      </c>
      <c r="Z252" s="141">
        <f t="shared" ref="Z252:Z260" si="39">Z251-5/100</f>
        <v>264.17514444444441</v>
      </c>
      <c r="AA252" s="159">
        <f t="shared" si="31"/>
        <v>0.25488888888884276</v>
      </c>
      <c r="AB252" s="171">
        <v>86</v>
      </c>
      <c r="AC252" s="160">
        <f t="shared" si="32"/>
        <v>109.60222222220239</v>
      </c>
      <c r="AD252" s="472"/>
    </row>
    <row r="253" spans="1:30" ht="14.25" customHeight="1" x14ac:dyDescent="0.45">
      <c r="A253" s="597"/>
      <c r="B253" s="146">
        <v>65</v>
      </c>
      <c r="C253" s="153">
        <v>263.8578</v>
      </c>
      <c r="D253" s="141">
        <v>263.87400000000002</v>
      </c>
      <c r="E253" s="141">
        <v>263.83510000000001</v>
      </c>
      <c r="F253" s="141">
        <v>263.87430000000001</v>
      </c>
      <c r="G253" s="141">
        <v>263.87040000000002</v>
      </c>
      <c r="H253" s="141">
        <v>263.8956</v>
      </c>
      <c r="I253" s="141">
        <v>263.90640000000002</v>
      </c>
      <c r="J253" s="141">
        <v>263.95049999999998</v>
      </c>
      <c r="K253" s="141">
        <v>264.02260000000001</v>
      </c>
      <c r="L253" s="141">
        <v>263.94330000000002</v>
      </c>
      <c r="M253" s="141">
        <v>263.94589999999999</v>
      </c>
      <c r="N253" s="141">
        <v>263.964</v>
      </c>
      <c r="O253" s="141">
        <v>263.96420000000001</v>
      </c>
      <c r="P253" s="141">
        <v>263.95870000000002</v>
      </c>
      <c r="Q253" s="141">
        <v>263.95519999999999</v>
      </c>
      <c r="R253" s="141">
        <v>263.95830000000001</v>
      </c>
      <c r="S253" s="141">
        <v>263.97469999999998</v>
      </c>
      <c r="T253" s="153">
        <v>263.96589999999998</v>
      </c>
      <c r="U253" s="141"/>
      <c r="V253" s="141"/>
      <c r="W253" s="141"/>
      <c r="X253" s="108"/>
      <c r="Y253" s="141">
        <f t="shared" si="30"/>
        <v>263.92871666666662</v>
      </c>
      <c r="Z253" s="141">
        <f t="shared" si="39"/>
        <v>264.1251444444444</v>
      </c>
      <c r="AA253" s="159">
        <f t="shared" si="31"/>
        <v>0.1964277777777852</v>
      </c>
      <c r="AB253" s="171">
        <v>86</v>
      </c>
      <c r="AC253" s="160">
        <f t="shared" si="32"/>
        <v>84.463944444447634</v>
      </c>
      <c r="AD253" s="472"/>
    </row>
    <row r="254" spans="1:30" ht="14.25" customHeight="1" x14ac:dyDescent="0.45">
      <c r="A254" s="597"/>
      <c r="B254" s="146">
        <v>70</v>
      </c>
      <c r="C254" s="153">
        <v>263.87709999999998</v>
      </c>
      <c r="D254" s="141">
        <v>263.90050000000002</v>
      </c>
      <c r="E254" s="141">
        <v>263.85019999999997</v>
      </c>
      <c r="F254" s="141">
        <v>263.87549999999999</v>
      </c>
      <c r="G254" s="141">
        <v>263.87240000000003</v>
      </c>
      <c r="H254" s="141">
        <v>263.88010000000003</v>
      </c>
      <c r="I254" s="141">
        <v>263.91370000000001</v>
      </c>
      <c r="J254" s="141">
        <v>263.94240000000002</v>
      </c>
      <c r="K254" s="141">
        <v>264.0317</v>
      </c>
      <c r="L254" s="141">
        <v>263.96420000000001</v>
      </c>
      <c r="M254" s="141">
        <v>263.99299999999999</v>
      </c>
      <c r="N254" s="141">
        <v>263.98829999999998</v>
      </c>
      <c r="O254" s="141">
        <v>263.96129999999999</v>
      </c>
      <c r="P254" s="141">
        <v>263.98070000000001</v>
      </c>
      <c r="Q254" s="141">
        <v>263.96789999999999</v>
      </c>
      <c r="R254" s="141">
        <v>263.96780000000001</v>
      </c>
      <c r="S254" s="141">
        <v>263.97640000000001</v>
      </c>
      <c r="T254" s="153">
        <v>263.99299999999999</v>
      </c>
      <c r="U254" s="141"/>
      <c r="V254" s="141"/>
      <c r="W254" s="141"/>
      <c r="X254" s="108"/>
      <c r="Y254" s="141">
        <f t="shared" si="30"/>
        <v>263.9409</v>
      </c>
      <c r="Z254" s="141">
        <f t="shared" si="39"/>
        <v>264.07514444444439</v>
      </c>
      <c r="AA254" s="159">
        <f t="shared" si="31"/>
        <v>0.13424444444439132</v>
      </c>
      <c r="AB254" s="171">
        <v>86</v>
      </c>
      <c r="AC254" s="160">
        <f t="shared" si="32"/>
        <v>57.725111111088268</v>
      </c>
      <c r="AD254" s="472"/>
    </row>
    <row r="255" spans="1:30" ht="14.25" customHeight="1" x14ac:dyDescent="0.45">
      <c r="A255" s="597"/>
      <c r="B255" s="146">
        <v>75</v>
      </c>
      <c r="C255" s="153">
        <v>263.92329999999998</v>
      </c>
      <c r="D255" s="141">
        <v>263.92500000000001</v>
      </c>
      <c r="E255" s="141">
        <v>263.93490000000003</v>
      </c>
      <c r="F255" s="141">
        <v>263.89249999999998</v>
      </c>
      <c r="G255" s="141">
        <v>263.88709999999998</v>
      </c>
      <c r="H255" s="141">
        <v>263.86279999999999</v>
      </c>
      <c r="I255" s="141">
        <v>263.88389999999998</v>
      </c>
      <c r="J255" s="141">
        <v>263.92469999999997</v>
      </c>
      <c r="K255" s="141">
        <v>264.06900000000002</v>
      </c>
      <c r="L255" s="141">
        <v>263.96690000000001</v>
      </c>
      <c r="M255" s="141">
        <v>264.01560000000001</v>
      </c>
      <c r="N255" s="141">
        <v>263.99860000000001</v>
      </c>
      <c r="O255" s="141">
        <v>264.00139999999999</v>
      </c>
      <c r="P255" s="141">
        <v>264.01190000000003</v>
      </c>
      <c r="Q255" s="141">
        <v>263.99650000000003</v>
      </c>
      <c r="R255" s="141">
        <v>263.98559999999998</v>
      </c>
      <c r="S255" s="141">
        <v>264.0052</v>
      </c>
      <c r="T255" s="153">
        <v>264.03559999999999</v>
      </c>
      <c r="U255" s="141"/>
      <c r="V255" s="141"/>
      <c r="W255" s="141"/>
      <c r="X255" s="108"/>
      <c r="Y255" s="141">
        <f t="shared" si="30"/>
        <v>263.96224999999998</v>
      </c>
      <c r="Z255" s="141">
        <f t="shared" si="39"/>
        <v>264.02514444444438</v>
      </c>
      <c r="AA255" s="159">
        <f t="shared" si="31"/>
        <v>6.2894444444395958E-2</v>
      </c>
      <c r="AB255" s="171">
        <v>86</v>
      </c>
      <c r="AC255" s="160">
        <f t="shared" si="32"/>
        <v>27.044611111090262</v>
      </c>
      <c r="AD255" s="472"/>
    </row>
    <row r="256" spans="1:30" ht="14.25" customHeight="1" x14ac:dyDescent="0.45">
      <c r="A256" s="597"/>
      <c r="B256" s="146">
        <v>80</v>
      </c>
      <c r="C256" s="153">
        <v>263.94749999999999</v>
      </c>
      <c r="D256" s="141">
        <v>263.9658</v>
      </c>
      <c r="E256" s="141">
        <v>263.96170000000001</v>
      </c>
      <c r="F256" s="141">
        <v>263.93360000000001</v>
      </c>
      <c r="G256" s="141">
        <v>263.91320000000002</v>
      </c>
      <c r="H256" s="141">
        <v>263.91340000000002</v>
      </c>
      <c r="I256" s="141">
        <v>263.93009999999998</v>
      </c>
      <c r="J256" s="141">
        <v>263.93599999999998</v>
      </c>
      <c r="K256" s="141">
        <v>264.03019999999998</v>
      </c>
      <c r="L256" s="141">
        <v>263.98989999999998</v>
      </c>
      <c r="M256" s="141">
        <v>264.0129</v>
      </c>
      <c r="N256" s="141">
        <v>264.0283</v>
      </c>
      <c r="O256" s="141">
        <v>264.05630000000002</v>
      </c>
      <c r="P256" s="141">
        <v>264.04689999999999</v>
      </c>
      <c r="Q256" s="141">
        <v>264.03699999999998</v>
      </c>
      <c r="R256" s="141">
        <v>264.01549999999997</v>
      </c>
      <c r="S256" s="141">
        <v>264.02910000000003</v>
      </c>
      <c r="T256" s="153">
        <v>264.11430000000001</v>
      </c>
      <c r="U256" s="141"/>
      <c r="V256" s="141"/>
      <c r="W256" s="141"/>
      <c r="X256" s="108"/>
      <c r="Y256" s="141">
        <f t="shared" si="30"/>
        <v>263.99231666666668</v>
      </c>
      <c r="Z256" s="141">
        <f t="shared" si="39"/>
        <v>263.97514444444437</v>
      </c>
      <c r="AA256" s="159">
        <f t="shared" si="31"/>
        <v>-1.7172222222313849E-2</v>
      </c>
      <c r="AB256" s="171">
        <v>86</v>
      </c>
      <c r="AC256" s="160">
        <f t="shared" si="32"/>
        <v>-7.384055555594955</v>
      </c>
      <c r="AD256" s="472"/>
    </row>
    <row r="257" spans="1:30" ht="14.25" customHeight="1" x14ac:dyDescent="0.45">
      <c r="A257" s="597"/>
      <c r="B257" s="146">
        <v>85</v>
      </c>
      <c r="C257" s="153">
        <v>263.9873</v>
      </c>
      <c r="D257" s="141">
        <v>264.00909999999999</v>
      </c>
      <c r="E257" s="141">
        <v>263.99220000000003</v>
      </c>
      <c r="F257" s="141">
        <v>263.99259999999998</v>
      </c>
      <c r="G257" s="141">
        <v>263.95150000000001</v>
      </c>
      <c r="H257" s="141">
        <v>263.96050000000002</v>
      </c>
      <c r="I257" s="141">
        <v>263.97370000000001</v>
      </c>
      <c r="J257" s="141">
        <v>263.95940000000002</v>
      </c>
      <c r="K257" s="141">
        <v>264.06169999999997</v>
      </c>
      <c r="L257" s="141">
        <v>263.97750000000002</v>
      </c>
      <c r="M257" s="141">
        <v>263.99979999999999</v>
      </c>
      <c r="N257" s="141">
        <v>264.01589999999999</v>
      </c>
      <c r="O257" s="141">
        <v>264.04899999999998</v>
      </c>
      <c r="P257" s="141">
        <v>264.0455</v>
      </c>
      <c r="Q257" s="141">
        <v>264.05669999999998</v>
      </c>
      <c r="R257" s="141">
        <v>264.04360000000003</v>
      </c>
      <c r="S257" s="141">
        <v>264.06659999999999</v>
      </c>
      <c r="T257" s="153">
        <v>264.13130000000001</v>
      </c>
      <c r="U257" s="141"/>
      <c r="V257" s="141"/>
      <c r="W257" s="141"/>
      <c r="X257" s="108"/>
      <c r="Y257" s="141">
        <f t="shared" si="30"/>
        <v>264.01521666666667</v>
      </c>
      <c r="Z257" s="141">
        <f t="shared" si="39"/>
        <v>263.92514444444436</v>
      </c>
      <c r="AA257" s="159">
        <f t="shared" si="31"/>
        <v>-9.0072222222318032E-2</v>
      </c>
      <c r="AB257" s="171">
        <v>86</v>
      </c>
      <c r="AC257" s="160">
        <f t="shared" si="32"/>
        <v>-38.731055555596754</v>
      </c>
      <c r="AD257" s="472"/>
    </row>
    <row r="258" spans="1:30" ht="14.25" customHeight="1" x14ac:dyDescent="0.45">
      <c r="A258" s="597"/>
      <c r="B258" s="146">
        <v>90</v>
      </c>
      <c r="C258" s="153">
        <v>264.005</v>
      </c>
      <c r="D258" s="141">
        <v>264.00049999999999</v>
      </c>
      <c r="E258" s="141">
        <v>264.02809999999999</v>
      </c>
      <c r="F258" s="141">
        <v>264.02850000000001</v>
      </c>
      <c r="G258" s="141">
        <v>264.02539999999999</v>
      </c>
      <c r="H258" s="141">
        <v>263.9864</v>
      </c>
      <c r="I258" s="141">
        <v>263.99369999999999</v>
      </c>
      <c r="J258" s="141">
        <v>264.00049999999999</v>
      </c>
      <c r="K258" s="141">
        <v>264.08159999999998</v>
      </c>
      <c r="L258" s="141">
        <v>263.98379999999997</v>
      </c>
      <c r="M258" s="141">
        <v>263.9896</v>
      </c>
      <c r="N258" s="141">
        <v>264.03190000000001</v>
      </c>
      <c r="O258" s="141">
        <v>264.03980000000001</v>
      </c>
      <c r="P258" s="141">
        <v>264.06909999999999</v>
      </c>
      <c r="Q258" s="141">
        <v>264.08269999999999</v>
      </c>
      <c r="R258" s="141">
        <v>264.07920000000001</v>
      </c>
      <c r="S258" s="141">
        <v>264.08</v>
      </c>
      <c r="T258" s="153">
        <v>264.01659999999998</v>
      </c>
      <c r="U258" s="141"/>
      <c r="V258" s="141"/>
      <c r="W258" s="141"/>
      <c r="X258" s="108"/>
      <c r="Y258" s="141">
        <f t="shared" si="30"/>
        <v>264.02902222222224</v>
      </c>
      <c r="Z258" s="141">
        <f t="shared" si="39"/>
        <v>263.87514444444435</v>
      </c>
      <c r="AA258" s="159">
        <f t="shared" si="31"/>
        <v>-0.15387777777789324</v>
      </c>
      <c r="AB258" s="171">
        <v>86</v>
      </c>
      <c r="AC258" s="160">
        <f t="shared" si="32"/>
        <v>-66.167444444494095</v>
      </c>
      <c r="AD258" s="472"/>
    </row>
    <row r="259" spans="1:30" ht="14.25" customHeight="1" x14ac:dyDescent="0.45">
      <c r="A259" s="597"/>
      <c r="B259" s="146">
        <v>95</v>
      </c>
      <c r="C259" s="153">
        <v>264.0181</v>
      </c>
      <c r="D259" s="141">
        <v>264.01209999999998</v>
      </c>
      <c r="E259" s="141">
        <v>264.01459999999997</v>
      </c>
      <c r="F259" s="141">
        <v>264.04610000000002</v>
      </c>
      <c r="G259" s="141">
        <v>264.03649999999999</v>
      </c>
      <c r="H259" s="141">
        <v>264.02440000000001</v>
      </c>
      <c r="I259" s="141">
        <v>264.05439999999999</v>
      </c>
      <c r="J259" s="141">
        <v>264.06169999999997</v>
      </c>
      <c r="K259" s="141">
        <v>264.21469999999999</v>
      </c>
      <c r="L259" s="141">
        <v>264.06830000000002</v>
      </c>
      <c r="M259" s="141">
        <v>264.00630000000001</v>
      </c>
      <c r="N259" s="141">
        <v>264.02530000000002</v>
      </c>
      <c r="O259" s="141">
        <v>264.0564</v>
      </c>
      <c r="P259" s="141">
        <v>264.06880000000001</v>
      </c>
      <c r="Q259" s="141">
        <v>264.0797</v>
      </c>
      <c r="R259" s="141">
        <v>264.11070000000001</v>
      </c>
      <c r="S259" s="141">
        <v>264.12220000000002</v>
      </c>
      <c r="T259" s="153">
        <v>264.11250000000001</v>
      </c>
      <c r="U259" s="141"/>
      <c r="V259" s="141"/>
      <c r="W259" s="141"/>
      <c r="X259" s="108"/>
      <c r="Y259" s="141">
        <f t="shared" ref="Y259:Y260" si="40">AVERAGE(C259:X259)</f>
        <v>264.06293333333332</v>
      </c>
      <c r="Z259" s="141">
        <f t="shared" si="39"/>
        <v>263.82514444444433</v>
      </c>
      <c r="AA259" s="159">
        <f t="shared" si="31"/>
        <v>-0.23778888888898564</v>
      </c>
      <c r="AB259" s="171">
        <v>86</v>
      </c>
      <c r="AC259" s="160">
        <f t="shared" si="32"/>
        <v>-102.24922222226382</v>
      </c>
      <c r="AD259" s="472"/>
    </row>
    <row r="260" spans="1:30" ht="14.65" customHeight="1" x14ac:dyDescent="0.45">
      <c r="A260" s="603"/>
      <c r="B260" s="148">
        <v>100</v>
      </c>
      <c r="C260" s="154">
        <v>264.02999999999997</v>
      </c>
      <c r="D260" s="154">
        <v>264.01589999999999</v>
      </c>
      <c r="E260" s="154">
        <v>264.03590000000003</v>
      </c>
      <c r="F260" s="154">
        <v>264.04109999999997</v>
      </c>
      <c r="G260" s="154">
        <v>264.05290000000002</v>
      </c>
      <c r="H260" s="154">
        <v>264.07859999999999</v>
      </c>
      <c r="I260" s="154">
        <v>264.07420000000002</v>
      </c>
      <c r="J260" s="154">
        <v>264.12329999999997</v>
      </c>
      <c r="K260" s="154">
        <v>264.27780000000001</v>
      </c>
      <c r="L260" s="154">
        <v>264.09109999999998</v>
      </c>
      <c r="M260" s="154">
        <v>264.08940000000001</v>
      </c>
      <c r="N260" s="154">
        <v>264.09120000000001</v>
      </c>
      <c r="O260" s="154">
        <v>264.06229999999999</v>
      </c>
      <c r="P260" s="154">
        <v>264.07769999999999</v>
      </c>
      <c r="Q260" s="154">
        <v>264.07159999999999</v>
      </c>
      <c r="R260" s="154">
        <v>264.10210000000001</v>
      </c>
      <c r="S260" s="154">
        <v>264.12490000000003</v>
      </c>
      <c r="T260" s="154">
        <v>264.05560000000003</v>
      </c>
      <c r="U260" s="142"/>
      <c r="V260" s="142"/>
      <c r="W260" s="142"/>
      <c r="X260" s="117"/>
      <c r="Y260" s="142">
        <f t="shared" si="40"/>
        <v>264.08308888888882</v>
      </c>
      <c r="Z260" s="142">
        <f t="shared" si="39"/>
        <v>263.77514444444432</v>
      </c>
      <c r="AA260" s="159">
        <f t="shared" ref="AA260" si="41">Z260-Y260</f>
        <v>-0.30794444444450164</v>
      </c>
      <c r="AB260" s="174">
        <v>86</v>
      </c>
      <c r="AC260" s="162">
        <f t="shared" ref="AC260" si="42">AB260*AA260*5</f>
        <v>-132.41611111113571</v>
      </c>
      <c r="AD260" s="112">
        <f>SUM(AC240:AC260)</f>
        <v>520.18772222160067</v>
      </c>
    </row>
    <row r="261" spans="1:30" ht="14.25" customHeight="1" x14ac:dyDescent="0.45">
      <c r="A261" s="472"/>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164"/>
      <c r="Z261" s="164"/>
      <c r="AA261" s="164"/>
      <c r="AB261" s="164"/>
      <c r="AC261" s="164"/>
      <c r="AD261" s="112"/>
    </row>
    <row r="262" spans="1:30" ht="14.25" customHeight="1" x14ac:dyDescent="0.45"/>
    <row r="263" spans="1:30" ht="14.25" customHeight="1" x14ac:dyDescent="0.45"/>
    <row r="264" spans="1:30" ht="14.25" customHeight="1" x14ac:dyDescent="0.45"/>
    <row r="265" spans="1:30" ht="14.25" customHeight="1" x14ac:dyDescent="0.45"/>
    <row r="266" spans="1:30" ht="14.25" customHeight="1" x14ac:dyDescent="0.45"/>
    <row r="267" spans="1:30" ht="14.25" customHeight="1" x14ac:dyDescent="0.45"/>
    <row r="268" spans="1:30" ht="14.25" customHeight="1" x14ac:dyDescent="0.45">
      <c r="A268" s="598">
        <v>1</v>
      </c>
      <c r="B268" s="218"/>
      <c r="C268" s="219">
        <v>0</v>
      </c>
      <c r="D268" s="219">
        <v>5</v>
      </c>
      <c r="E268" s="219">
        <v>10</v>
      </c>
      <c r="F268" s="219">
        <v>15</v>
      </c>
      <c r="G268" s="219">
        <v>20</v>
      </c>
      <c r="H268" s="219">
        <v>25</v>
      </c>
      <c r="I268" s="219">
        <v>30</v>
      </c>
      <c r="J268" s="219">
        <v>35</v>
      </c>
      <c r="K268" s="219">
        <v>40</v>
      </c>
      <c r="L268" s="219">
        <v>45</v>
      </c>
      <c r="M268" s="219">
        <v>50</v>
      </c>
      <c r="N268" s="219">
        <v>55</v>
      </c>
      <c r="O268" s="219">
        <v>60</v>
      </c>
      <c r="P268" s="219">
        <v>65</v>
      </c>
      <c r="Q268" s="219">
        <v>70</v>
      </c>
      <c r="R268" s="219">
        <v>75</v>
      </c>
      <c r="S268" s="219">
        <v>80</v>
      </c>
      <c r="T268" s="219">
        <v>85</v>
      </c>
      <c r="U268" s="219">
        <v>90</v>
      </c>
      <c r="V268" s="219">
        <v>95</v>
      </c>
      <c r="W268" s="219">
        <v>100</v>
      </c>
      <c r="X268" s="219">
        <v>105</v>
      </c>
      <c r="Y268" s="220" t="s">
        <v>1072</v>
      </c>
      <c r="Z268" s="220" t="s">
        <v>1073</v>
      </c>
      <c r="AA268" s="220" t="s">
        <v>1070</v>
      </c>
      <c r="AB268" s="220" t="s">
        <v>769</v>
      </c>
      <c r="AC268" s="220" t="s">
        <v>293</v>
      </c>
      <c r="AD268" s="218"/>
    </row>
    <row r="269" spans="1:30" ht="14.25" customHeight="1" x14ac:dyDescent="0.45">
      <c r="A269" s="598"/>
      <c r="B269" s="219">
        <v>0</v>
      </c>
      <c r="C269" s="94"/>
      <c r="D269" s="94"/>
      <c r="E269" s="94"/>
      <c r="F269" s="94"/>
      <c r="G269" s="94"/>
      <c r="H269" s="94"/>
      <c r="I269" s="94"/>
      <c r="J269" s="94"/>
      <c r="K269" s="94"/>
      <c r="L269" s="214"/>
      <c r="M269" s="221">
        <v>264.54989999999998</v>
      </c>
      <c r="N269" s="221">
        <v>264.24709999999999</v>
      </c>
      <c r="O269" s="221">
        <v>264.07220000000001</v>
      </c>
      <c r="P269" s="221">
        <v>264.04680000000002</v>
      </c>
      <c r="Q269" s="221">
        <v>264.029</v>
      </c>
      <c r="R269" s="221">
        <v>264.01170000000002</v>
      </c>
      <c r="S269" s="221">
        <v>264.00720000000001</v>
      </c>
      <c r="T269" s="221">
        <v>264.02879999999999</v>
      </c>
      <c r="U269" s="221">
        <v>264</v>
      </c>
      <c r="V269" s="221">
        <v>264.01979999999998</v>
      </c>
      <c r="W269" s="94"/>
      <c r="X269" s="94"/>
      <c r="Y269" s="94">
        <f>AVERAGE(C269:X269)</f>
        <v>264.10125000000005</v>
      </c>
      <c r="Z269" s="94">
        <f t="shared" ref="Z269:Z270" si="43">Z270</f>
        <v>263.67500000000001</v>
      </c>
      <c r="AA269" s="94">
        <f t="shared" ref="AA269:AA272" si="44">Z269-Y269</f>
        <v>-0.42625000000003865</v>
      </c>
      <c r="AB269" s="1">
        <f>COUNTIF(C269:X269,"&gt;0")*5</f>
        <v>50</v>
      </c>
      <c r="AC269" s="1">
        <f t="shared" ref="AC269:AC272" si="45">AA269*AB269*5</f>
        <v>-106.56250000000966</v>
      </c>
    </row>
    <row r="270" spans="1:30" ht="14.25" customHeight="1" x14ac:dyDescent="0.45">
      <c r="A270" s="598"/>
      <c r="B270" s="219">
        <v>5</v>
      </c>
      <c r="C270" s="94"/>
      <c r="D270" s="94"/>
      <c r="E270" s="94"/>
      <c r="F270" s="94"/>
      <c r="G270" s="94"/>
      <c r="H270" s="94"/>
      <c r="I270" s="94"/>
      <c r="J270" s="221">
        <v>264.85680000000002</v>
      </c>
      <c r="K270" s="221">
        <v>264.22289999999998</v>
      </c>
      <c r="L270" s="221">
        <v>264.1635</v>
      </c>
      <c r="M270" s="221">
        <v>264.11770000000001</v>
      </c>
      <c r="N270" s="221">
        <v>264.21600000000001</v>
      </c>
      <c r="O270" s="221">
        <v>264.0215</v>
      </c>
      <c r="P270" s="221">
        <v>264.02699999999999</v>
      </c>
      <c r="Q270" s="221">
        <v>264.02640000000002</v>
      </c>
      <c r="R270" s="221">
        <v>263.98829999999998</v>
      </c>
      <c r="S270" s="221">
        <v>263.9649</v>
      </c>
      <c r="T270" s="221">
        <v>263.94650000000001</v>
      </c>
      <c r="U270" s="221">
        <v>263.93349999999998</v>
      </c>
      <c r="V270" s="221">
        <v>263.97680000000003</v>
      </c>
      <c r="W270" s="94"/>
      <c r="X270" s="94"/>
      <c r="Y270" s="94">
        <f>AVERAGE(C270:X270)</f>
        <v>264.11244615384618</v>
      </c>
      <c r="Z270" s="94">
        <f t="shared" si="43"/>
        <v>263.67500000000001</v>
      </c>
      <c r="AA270" s="94">
        <f t="shared" si="44"/>
        <v>-0.43744615384616736</v>
      </c>
      <c r="AB270" s="1">
        <f>COUNTIF(C270:X270,"&gt;0")*5</f>
        <v>65</v>
      </c>
      <c r="AC270" s="1">
        <f t="shared" si="45"/>
        <v>-142.17000000000439</v>
      </c>
    </row>
    <row r="271" spans="1:30" ht="14.25" customHeight="1" x14ac:dyDescent="0.45">
      <c r="A271" s="598"/>
      <c r="B271" s="219">
        <v>10</v>
      </c>
      <c r="C271" s="94"/>
      <c r="D271" s="94"/>
      <c r="E271" s="94"/>
      <c r="F271" s="214"/>
      <c r="G271" s="221">
        <v>264.7</v>
      </c>
      <c r="H271" s="221">
        <v>264.1225</v>
      </c>
      <c r="I271" s="221">
        <v>264.02260000000001</v>
      </c>
      <c r="J271" s="221">
        <v>264.00790000000001</v>
      </c>
      <c r="K271" s="221">
        <v>264.0489</v>
      </c>
      <c r="L271" s="221">
        <v>264.01280000000003</v>
      </c>
      <c r="M271" s="221">
        <v>264.08370000000002</v>
      </c>
      <c r="N271" s="221">
        <v>264.19159999999999</v>
      </c>
      <c r="O271" s="221">
        <v>264.0487</v>
      </c>
      <c r="P271" s="221">
        <v>263.99380000000002</v>
      </c>
      <c r="Q271" s="221">
        <v>263.96339999999998</v>
      </c>
      <c r="R271" s="221">
        <v>263.94830000000002</v>
      </c>
      <c r="S271" s="221">
        <v>263.88729999999998</v>
      </c>
      <c r="T271" s="221">
        <v>263.8836</v>
      </c>
      <c r="U271" s="221">
        <v>263.92329999999998</v>
      </c>
      <c r="V271" s="221">
        <v>263.89670000000001</v>
      </c>
      <c r="W271" s="221">
        <v>263.93009999999998</v>
      </c>
      <c r="X271" s="94"/>
      <c r="Y271" s="94">
        <f>AVERAGE(C271:X271)</f>
        <v>264.03912941176469</v>
      </c>
      <c r="Z271" s="94">
        <f>Z272</f>
        <v>263.67500000000001</v>
      </c>
      <c r="AA271" s="94">
        <f t="shared" si="44"/>
        <v>-0.36412941176467939</v>
      </c>
      <c r="AB271" s="1">
        <f>COUNTIF(C271:X271,"&gt;0")*5</f>
        <v>85</v>
      </c>
      <c r="AC271" s="1">
        <f t="shared" si="45"/>
        <v>-154.75499999998874</v>
      </c>
    </row>
    <row r="272" spans="1:30" ht="14.25" customHeight="1" x14ac:dyDescent="0.45">
      <c r="A272" s="598"/>
      <c r="B272" s="219">
        <v>15</v>
      </c>
      <c r="C272" s="214"/>
      <c r="D272" s="214"/>
      <c r="E272" s="221">
        <v>264.19409999999999</v>
      </c>
      <c r="F272" s="221">
        <v>264.02109999999999</v>
      </c>
      <c r="G272" s="221">
        <v>263.99860000000001</v>
      </c>
      <c r="H272" s="221">
        <v>263.9991</v>
      </c>
      <c r="I272" s="221">
        <v>263.96769999999998</v>
      </c>
      <c r="J272" s="221">
        <v>263.95359999999999</v>
      </c>
      <c r="K272" s="221">
        <v>263.97640000000001</v>
      </c>
      <c r="L272" s="221">
        <v>263.95740000000001</v>
      </c>
      <c r="M272" s="221">
        <v>263.9873</v>
      </c>
      <c r="N272" s="221">
        <v>264.05700000000002</v>
      </c>
      <c r="O272" s="221">
        <v>263.98880000000003</v>
      </c>
      <c r="P272" s="221">
        <v>263.97770000000003</v>
      </c>
      <c r="Q272" s="221">
        <v>263.98540000000003</v>
      </c>
      <c r="R272" s="221">
        <v>263.92059999999998</v>
      </c>
      <c r="S272" s="221">
        <v>263.86989999999997</v>
      </c>
      <c r="T272" s="221">
        <v>263.8596</v>
      </c>
      <c r="U272" s="221">
        <v>263.86309999999997</v>
      </c>
      <c r="V272" s="221">
        <v>263.8417</v>
      </c>
      <c r="W272" s="221">
        <v>263.82810000000001</v>
      </c>
      <c r="X272" s="214"/>
      <c r="Y272" s="94">
        <f>AVERAGE(C272:X272)</f>
        <v>263.96037894736838</v>
      </c>
      <c r="Z272" s="222">
        <v>263.67500000000001</v>
      </c>
      <c r="AA272" s="94">
        <f t="shared" si="44"/>
        <v>-0.28537894736837188</v>
      </c>
      <c r="AB272" s="1">
        <f>COUNTIF(C272:X272,"&gt;0")*5</f>
        <v>95</v>
      </c>
      <c r="AC272" s="1">
        <f t="shared" si="45"/>
        <v>-135.55499999997664</v>
      </c>
      <c r="AD272" s="306">
        <f>SUM(AC269:AC272)</f>
        <v>-539.04249999997944</v>
      </c>
    </row>
    <row r="277" spans="1:29" ht="14.25" customHeight="1" x14ac:dyDescent="0.45">
      <c r="A277" s="598">
        <v>2</v>
      </c>
      <c r="B277" s="219">
        <v>0</v>
      </c>
      <c r="C277" s="223">
        <v>264.48899999999998</v>
      </c>
      <c r="D277" s="223">
        <v>263.94959999999998</v>
      </c>
      <c r="E277" s="223">
        <v>263.94569999999999</v>
      </c>
      <c r="F277" s="223">
        <v>263.93779999999998</v>
      </c>
      <c r="G277" s="94"/>
      <c r="H277" s="94"/>
      <c r="I277" s="94"/>
      <c r="J277" s="94"/>
      <c r="K277" s="94"/>
      <c r="L277" s="94"/>
      <c r="M277" s="94"/>
      <c r="N277" s="94"/>
      <c r="O277" s="94"/>
      <c r="P277" s="94"/>
      <c r="Q277" s="94"/>
      <c r="R277" s="94"/>
      <c r="S277" s="94"/>
      <c r="T277" s="94"/>
      <c r="U277" s="94"/>
      <c r="V277" s="94"/>
      <c r="W277" s="94"/>
      <c r="X277" s="94"/>
      <c r="Y277" s="94">
        <f t="shared" ref="Y277:Y294" si="46">AVERAGE(C277:X277)</f>
        <v>264.08052499999997</v>
      </c>
      <c r="Z277" s="94">
        <f t="shared" ref="Z277:Z284" si="47">Z278-5/100</f>
        <v>263.67480499999988</v>
      </c>
      <c r="AA277" s="94">
        <f>Z277-Y277</f>
        <v>-0.40572000000008757</v>
      </c>
      <c r="AB277" s="1">
        <f t="shared" ref="AB277:AB294" si="48">COUNTIF(C277:X277,"&gt;0")*5</f>
        <v>20</v>
      </c>
      <c r="AC277" s="1">
        <f>AA277*AB277*5</f>
        <v>-40.572000000008757</v>
      </c>
    </row>
    <row r="278" spans="1:29" ht="14.25" customHeight="1" x14ac:dyDescent="0.45">
      <c r="A278" s="598"/>
      <c r="B278" s="219">
        <v>5</v>
      </c>
      <c r="C278" s="223">
        <v>264.5301</v>
      </c>
      <c r="D278" s="223">
        <v>263.96260000000001</v>
      </c>
      <c r="E278" s="223">
        <v>263.89010000000002</v>
      </c>
      <c r="F278" s="223">
        <v>263.89280000000002</v>
      </c>
      <c r="G278" s="94"/>
      <c r="H278" s="94"/>
      <c r="I278" s="94"/>
      <c r="J278" s="94"/>
      <c r="K278" s="94"/>
      <c r="L278" s="94"/>
      <c r="M278" s="94"/>
      <c r="N278" s="94"/>
      <c r="O278" s="94"/>
      <c r="P278" s="94"/>
      <c r="Q278" s="94"/>
      <c r="R278" s="94"/>
      <c r="S278" s="94"/>
      <c r="T278" s="94"/>
      <c r="U278" s="94"/>
      <c r="V278" s="94"/>
      <c r="W278" s="94"/>
      <c r="X278" s="94"/>
      <c r="Y278" s="94">
        <f t="shared" si="46"/>
        <v>264.06890000000004</v>
      </c>
      <c r="Z278" s="94">
        <f t="shared" si="47"/>
        <v>263.72480499999989</v>
      </c>
      <c r="AA278" s="94">
        <f t="shared" ref="AA278:AA294" si="49">Z278-Y278</f>
        <v>-0.34409500000015214</v>
      </c>
      <c r="AB278" s="1">
        <f t="shared" si="48"/>
        <v>20</v>
      </c>
      <c r="AC278" s="1">
        <f t="shared" ref="AC278:AC294" si="50">AA278*AB278*5</f>
        <v>-34.409500000015214</v>
      </c>
    </row>
    <row r="279" spans="1:29" ht="14.25" customHeight="1" x14ac:dyDescent="0.45">
      <c r="A279" s="598"/>
      <c r="B279" s="219">
        <v>10</v>
      </c>
      <c r="C279" s="223">
        <v>264.47480000000002</v>
      </c>
      <c r="D279" s="223">
        <v>264.02449999999999</v>
      </c>
      <c r="E279" s="223">
        <v>263.84039999999999</v>
      </c>
      <c r="F279" s="223">
        <v>263.85640000000001</v>
      </c>
      <c r="G279" s="94"/>
      <c r="H279" s="94"/>
      <c r="I279" s="94"/>
      <c r="J279" s="94"/>
      <c r="K279" s="94"/>
      <c r="L279" s="94"/>
      <c r="M279" s="94"/>
      <c r="N279" s="94"/>
      <c r="O279" s="94"/>
      <c r="P279" s="94"/>
      <c r="Q279" s="94"/>
      <c r="R279" s="94"/>
      <c r="S279" s="94"/>
      <c r="T279" s="94"/>
      <c r="U279" s="94"/>
      <c r="V279" s="94"/>
      <c r="W279" s="94"/>
      <c r="X279" s="94"/>
      <c r="Y279" s="94">
        <f t="shared" si="46"/>
        <v>264.04902500000003</v>
      </c>
      <c r="Z279" s="94">
        <f t="shared" si="47"/>
        <v>263.7748049999999</v>
      </c>
      <c r="AA279" s="94">
        <f t="shared" si="49"/>
        <v>-0.27422000000012758</v>
      </c>
      <c r="AB279" s="1">
        <f t="shared" si="48"/>
        <v>20</v>
      </c>
      <c r="AC279" s="1">
        <f t="shared" si="50"/>
        <v>-27.422000000012758</v>
      </c>
    </row>
    <row r="280" spans="1:29" ht="14.25" customHeight="1" x14ac:dyDescent="0.45">
      <c r="A280" s="598"/>
      <c r="B280" s="219">
        <v>15</v>
      </c>
      <c r="C280" s="215"/>
      <c r="D280" s="223">
        <v>263.96199999999999</v>
      </c>
      <c r="E280" s="223">
        <v>263.82220000000001</v>
      </c>
      <c r="F280" s="223">
        <v>263.84140000000002</v>
      </c>
      <c r="G280" s="94"/>
      <c r="H280" s="94"/>
      <c r="I280" s="94"/>
      <c r="J280" s="94"/>
      <c r="K280" s="94"/>
      <c r="L280" s="94"/>
      <c r="M280" s="94"/>
      <c r="N280" s="94"/>
      <c r="O280" s="94"/>
      <c r="P280" s="94"/>
      <c r="Q280" s="94"/>
      <c r="R280" s="94"/>
      <c r="S280" s="94"/>
      <c r="T280" s="94"/>
      <c r="U280" s="94"/>
      <c r="V280" s="94"/>
      <c r="W280" s="94"/>
      <c r="X280" s="94"/>
      <c r="Y280" s="94">
        <f t="shared" si="46"/>
        <v>263.87520000000001</v>
      </c>
      <c r="Z280" s="94">
        <f t="shared" si="47"/>
        <v>263.82480499999991</v>
      </c>
      <c r="AA280" s="94">
        <f t="shared" si="49"/>
        <v>-5.0395000000094115E-2</v>
      </c>
      <c r="AB280" s="1">
        <f t="shared" si="48"/>
        <v>15</v>
      </c>
      <c r="AC280" s="1">
        <f t="shared" si="50"/>
        <v>-3.7796250000070586</v>
      </c>
    </row>
    <row r="281" spans="1:29" ht="14.25" customHeight="1" x14ac:dyDescent="0.45">
      <c r="A281" s="598"/>
      <c r="B281" s="219">
        <v>20</v>
      </c>
      <c r="C281" s="215"/>
      <c r="D281" s="223">
        <v>264.07429999999999</v>
      </c>
      <c r="E281" s="223">
        <v>263.8569</v>
      </c>
      <c r="F281" s="223">
        <v>263.8458</v>
      </c>
      <c r="G281" s="94"/>
      <c r="H281" s="94"/>
      <c r="I281" s="94"/>
      <c r="J281" s="94"/>
      <c r="K281" s="94"/>
      <c r="L281" s="94"/>
      <c r="M281" s="94"/>
      <c r="N281" s="94"/>
      <c r="O281" s="94"/>
      <c r="P281" s="94"/>
      <c r="Q281" s="94"/>
      <c r="R281" s="94"/>
      <c r="S281" s="94"/>
      <c r="T281" s="94"/>
      <c r="U281" s="94"/>
      <c r="V281" s="94"/>
      <c r="W281" s="94"/>
      <c r="X281" s="94"/>
      <c r="Y281" s="94">
        <f t="shared" si="46"/>
        <v>263.9256666666667</v>
      </c>
      <c r="Z281" s="94">
        <f t="shared" si="47"/>
        <v>263.87480499999992</v>
      </c>
      <c r="AA281" s="94">
        <f t="shared" si="49"/>
        <v>-5.0861666666776273E-2</v>
      </c>
      <c r="AB281" s="1">
        <f t="shared" si="48"/>
        <v>15</v>
      </c>
      <c r="AC281" s="1">
        <f t="shared" si="50"/>
        <v>-3.8146250000082205</v>
      </c>
    </row>
    <row r="282" spans="1:29" ht="14.25" customHeight="1" x14ac:dyDescent="0.45">
      <c r="A282" s="598"/>
      <c r="B282" s="219">
        <v>25</v>
      </c>
      <c r="C282" s="215"/>
      <c r="D282" s="223">
        <v>264.18860000000001</v>
      </c>
      <c r="E282" s="223">
        <v>263.83690000000001</v>
      </c>
      <c r="F282" s="223">
        <v>263.83640000000003</v>
      </c>
      <c r="G282" s="94"/>
      <c r="H282" s="94"/>
      <c r="I282" s="94"/>
      <c r="J282" s="94"/>
      <c r="K282" s="94"/>
      <c r="L282" s="94"/>
      <c r="M282" s="94"/>
      <c r="N282" s="94"/>
      <c r="O282" s="94"/>
      <c r="P282" s="94"/>
      <c r="Q282" s="94"/>
      <c r="R282" s="94"/>
      <c r="S282" s="94"/>
      <c r="T282" s="94"/>
      <c r="U282" s="94"/>
      <c r="V282" s="94"/>
      <c r="W282" s="94"/>
      <c r="X282" s="94"/>
      <c r="Y282" s="94">
        <f t="shared" si="46"/>
        <v>263.95396666666664</v>
      </c>
      <c r="Z282" s="94">
        <f t="shared" si="47"/>
        <v>263.92480499999994</v>
      </c>
      <c r="AA282" s="94">
        <f t="shared" si="49"/>
        <v>-2.9161666666709607E-2</v>
      </c>
      <c r="AB282" s="1">
        <f t="shared" si="48"/>
        <v>15</v>
      </c>
      <c r="AC282" s="1">
        <f t="shared" si="50"/>
        <v>-2.1871250000032205</v>
      </c>
    </row>
    <row r="283" spans="1:29" ht="14.25" customHeight="1" x14ac:dyDescent="0.45">
      <c r="A283" s="598"/>
      <c r="B283" s="219">
        <v>30</v>
      </c>
      <c r="C283" s="215"/>
      <c r="D283" s="223">
        <v>264.1687</v>
      </c>
      <c r="E283" s="223">
        <v>263.81380000000001</v>
      </c>
      <c r="F283" s="223">
        <v>263.83510000000001</v>
      </c>
      <c r="G283" s="94"/>
      <c r="H283" s="94"/>
      <c r="I283" s="94"/>
      <c r="J283" s="94"/>
      <c r="K283" s="94"/>
      <c r="L283" s="94"/>
      <c r="M283" s="94"/>
      <c r="N283" s="94"/>
      <c r="O283" s="94"/>
      <c r="P283" s="94"/>
      <c r="Q283" s="94"/>
      <c r="R283" s="94"/>
      <c r="S283" s="94"/>
      <c r="T283" s="94"/>
      <c r="U283" s="94"/>
      <c r="V283" s="94"/>
      <c r="W283" s="94"/>
      <c r="X283" s="94"/>
      <c r="Y283" s="94">
        <f t="shared" si="46"/>
        <v>263.93920000000003</v>
      </c>
      <c r="Z283" s="94">
        <f t="shared" si="47"/>
        <v>263.97480499999995</v>
      </c>
      <c r="AA283" s="94">
        <f t="shared" si="49"/>
        <v>3.5604999999918618E-2</v>
      </c>
      <c r="AB283" s="1">
        <f t="shared" si="48"/>
        <v>15</v>
      </c>
      <c r="AC283" s="1">
        <f t="shared" si="50"/>
        <v>2.6703749999938964</v>
      </c>
    </row>
    <row r="284" spans="1:29" ht="14.25" customHeight="1" x14ac:dyDescent="0.45">
      <c r="A284" s="598"/>
      <c r="B284" s="219">
        <v>35</v>
      </c>
      <c r="C284" s="215"/>
      <c r="D284" s="223">
        <v>264.20350000000002</v>
      </c>
      <c r="E284" s="223">
        <v>263.83479999999997</v>
      </c>
      <c r="F284" s="223">
        <v>263.81180000000001</v>
      </c>
      <c r="G284" s="94"/>
      <c r="H284" s="94"/>
      <c r="I284" s="94"/>
      <c r="J284" s="94"/>
      <c r="K284" s="94"/>
      <c r="L284" s="94"/>
      <c r="M284" s="94"/>
      <c r="N284" s="94"/>
      <c r="O284" s="94"/>
      <c r="P284" s="94"/>
      <c r="Q284" s="94"/>
      <c r="R284" s="94"/>
      <c r="S284" s="94"/>
      <c r="T284" s="94"/>
      <c r="U284" s="94"/>
      <c r="V284" s="94"/>
      <c r="W284" s="94"/>
      <c r="X284" s="94"/>
      <c r="Y284" s="94">
        <f t="shared" si="46"/>
        <v>263.95003333333329</v>
      </c>
      <c r="Z284" s="94">
        <f t="shared" si="47"/>
        <v>264.02480499999996</v>
      </c>
      <c r="AA284" s="94">
        <f t="shared" si="49"/>
        <v>7.477166666666335E-2</v>
      </c>
      <c r="AB284" s="1">
        <f t="shared" si="48"/>
        <v>15</v>
      </c>
      <c r="AC284" s="1">
        <f t="shared" si="50"/>
        <v>5.6078749999997513</v>
      </c>
    </row>
    <row r="285" spans="1:29" ht="14.25" customHeight="1" x14ac:dyDescent="0.45">
      <c r="A285" s="598"/>
      <c r="B285" s="219">
        <v>40</v>
      </c>
      <c r="C285" s="215"/>
      <c r="D285" s="223">
        <v>264.31169999999997</v>
      </c>
      <c r="E285" s="223">
        <v>263.82900000000001</v>
      </c>
      <c r="F285" s="223">
        <v>263.7912</v>
      </c>
      <c r="G285" s="94"/>
      <c r="H285" s="94"/>
      <c r="I285" s="94"/>
      <c r="J285" s="94"/>
      <c r="K285" s="94"/>
      <c r="L285" s="94"/>
      <c r="M285" s="94"/>
      <c r="N285" s="94"/>
      <c r="O285" s="94"/>
      <c r="P285" s="94"/>
      <c r="Q285" s="94"/>
      <c r="R285" s="94"/>
      <c r="S285" s="94"/>
      <c r="T285" s="94"/>
      <c r="U285" s="94"/>
      <c r="V285" s="94"/>
      <c r="W285" s="94"/>
      <c r="X285" s="94"/>
      <c r="Y285" s="94">
        <f t="shared" si="46"/>
        <v>263.97729999999996</v>
      </c>
      <c r="Z285" s="94">
        <f>Z286-5/100</f>
        <v>264.07480499999997</v>
      </c>
      <c r="AA285" s="94">
        <f t="shared" si="49"/>
        <v>9.7505000000012387E-2</v>
      </c>
      <c r="AB285" s="1">
        <f t="shared" si="48"/>
        <v>15</v>
      </c>
      <c r="AC285" s="1">
        <f t="shared" si="50"/>
        <v>7.312875000000929</v>
      </c>
    </row>
    <row r="286" spans="1:29" ht="14.25" customHeight="1" x14ac:dyDescent="0.45">
      <c r="A286" s="598"/>
      <c r="B286" s="219">
        <v>45</v>
      </c>
      <c r="C286" s="215"/>
      <c r="D286" s="215"/>
      <c r="E286" s="223">
        <v>264.1558</v>
      </c>
      <c r="F286" s="223">
        <v>264.04700000000003</v>
      </c>
      <c r="G286" s="94"/>
      <c r="H286" s="94"/>
      <c r="I286" s="94"/>
      <c r="J286" s="94"/>
      <c r="K286" s="94"/>
      <c r="L286" s="94"/>
      <c r="M286" s="94"/>
      <c r="N286" s="94"/>
      <c r="O286" s="94"/>
      <c r="P286" s="94"/>
      <c r="Q286" s="94"/>
      <c r="R286" s="94"/>
      <c r="S286" s="94"/>
      <c r="T286" s="94"/>
      <c r="U286" s="94"/>
      <c r="V286" s="94"/>
      <c r="W286" s="94"/>
      <c r="X286" s="94"/>
      <c r="Y286" s="94">
        <f t="shared" si="46"/>
        <v>264.10140000000001</v>
      </c>
      <c r="Z286" s="222">
        <f>Z230-0.1</f>
        <v>264.12480499999998</v>
      </c>
      <c r="AA286" s="94">
        <f t="shared" si="49"/>
        <v>2.3404999999968368E-2</v>
      </c>
      <c r="AB286" s="1">
        <f t="shared" si="48"/>
        <v>10</v>
      </c>
      <c r="AC286" s="1">
        <f t="shared" si="50"/>
        <v>1.1702499999984184</v>
      </c>
    </row>
    <row r="287" spans="1:29" ht="14.25" customHeight="1" x14ac:dyDescent="0.45">
      <c r="A287" s="598"/>
      <c r="B287" s="219">
        <v>50</v>
      </c>
      <c r="C287" s="215"/>
      <c r="D287" s="215"/>
      <c r="E287" s="223">
        <v>263.96980000000002</v>
      </c>
      <c r="F287" s="223">
        <v>263.8329</v>
      </c>
      <c r="G287" s="94"/>
      <c r="H287" s="94"/>
      <c r="I287" s="94"/>
      <c r="J287" s="94"/>
      <c r="K287" s="94"/>
      <c r="L287" s="94"/>
      <c r="M287" s="94"/>
      <c r="N287" s="94"/>
      <c r="O287" s="94"/>
      <c r="P287" s="94"/>
      <c r="Q287" s="94"/>
      <c r="R287" s="94"/>
      <c r="S287" s="94"/>
      <c r="T287" s="94"/>
      <c r="U287" s="94"/>
      <c r="V287" s="94"/>
      <c r="W287" s="94"/>
      <c r="X287" s="94"/>
      <c r="Y287" s="94">
        <f t="shared" si="46"/>
        <v>263.90134999999998</v>
      </c>
      <c r="Z287" s="94">
        <f>Z286-5/100</f>
        <v>264.07480499999997</v>
      </c>
      <c r="AA287" s="94">
        <f t="shared" si="49"/>
        <v>0.17345499999998992</v>
      </c>
      <c r="AB287" s="1">
        <f t="shared" si="48"/>
        <v>10</v>
      </c>
      <c r="AC287" s="1">
        <f t="shared" si="50"/>
        <v>8.6727499999994961</v>
      </c>
    </row>
    <row r="288" spans="1:29" ht="14.25" customHeight="1" x14ac:dyDescent="0.45">
      <c r="A288" s="598"/>
      <c r="B288" s="219">
        <v>55</v>
      </c>
      <c r="C288" s="215"/>
      <c r="D288" s="215"/>
      <c r="E288" s="223">
        <v>264.05739999999997</v>
      </c>
      <c r="F288" s="223">
        <v>263.7833</v>
      </c>
      <c r="G288" s="94"/>
      <c r="H288" s="94"/>
      <c r="I288" s="94"/>
      <c r="J288" s="94"/>
      <c r="K288" s="94"/>
      <c r="L288" s="94"/>
      <c r="M288" s="94"/>
      <c r="N288" s="94"/>
      <c r="O288" s="94"/>
      <c r="P288" s="94"/>
      <c r="Q288" s="94"/>
      <c r="R288" s="94"/>
      <c r="S288" s="94"/>
      <c r="T288" s="94"/>
      <c r="U288" s="94"/>
      <c r="V288" s="94"/>
      <c r="W288" s="94"/>
      <c r="X288" s="94"/>
      <c r="Y288" s="94">
        <f t="shared" si="46"/>
        <v>263.92034999999998</v>
      </c>
      <c r="Z288" s="94">
        <f t="shared" ref="Z288:Z294" si="51">Z287-5/100</f>
        <v>264.02480499999996</v>
      </c>
      <c r="AA288" s="94">
        <f t="shared" si="49"/>
        <v>0.1044549999999731</v>
      </c>
      <c r="AB288" s="1">
        <f t="shared" si="48"/>
        <v>10</v>
      </c>
      <c r="AC288" s="1">
        <f t="shared" si="50"/>
        <v>5.2227499999986549</v>
      </c>
    </row>
    <row r="289" spans="1:30" ht="14.25" customHeight="1" x14ac:dyDescent="0.45">
      <c r="A289" s="598"/>
      <c r="B289" s="219">
        <v>60</v>
      </c>
      <c r="C289" s="215"/>
      <c r="D289" s="215"/>
      <c r="E289" s="223">
        <v>264.0702</v>
      </c>
      <c r="F289" s="223">
        <v>263.75659999999999</v>
      </c>
      <c r="G289" s="94"/>
      <c r="H289" s="94"/>
      <c r="I289" s="94"/>
      <c r="J289" s="94"/>
      <c r="K289" s="94"/>
      <c r="L289" s="94"/>
      <c r="M289" s="94"/>
      <c r="N289" s="94"/>
      <c r="O289" s="94"/>
      <c r="P289" s="94"/>
      <c r="Q289" s="94"/>
      <c r="R289" s="94"/>
      <c r="S289" s="94"/>
      <c r="T289" s="94"/>
      <c r="U289" s="94"/>
      <c r="V289" s="94"/>
      <c r="W289" s="94"/>
      <c r="X289" s="94"/>
      <c r="Y289" s="94">
        <f t="shared" si="46"/>
        <v>263.91340000000002</v>
      </c>
      <c r="Z289" s="94">
        <f t="shared" si="51"/>
        <v>263.97480499999995</v>
      </c>
      <c r="AA289" s="94">
        <f t="shared" si="49"/>
        <v>6.1404999999922438E-2</v>
      </c>
      <c r="AB289" s="1">
        <f t="shared" si="48"/>
        <v>10</v>
      </c>
      <c r="AC289" s="1">
        <f t="shared" si="50"/>
        <v>3.0702499999961219</v>
      </c>
    </row>
    <row r="290" spans="1:30" ht="14.25" customHeight="1" x14ac:dyDescent="0.45">
      <c r="A290" s="598"/>
      <c r="B290" s="219">
        <v>65</v>
      </c>
      <c r="C290" s="215"/>
      <c r="D290" s="215"/>
      <c r="E290" s="223">
        <v>264.1721</v>
      </c>
      <c r="F290" s="223">
        <v>263.70929999999998</v>
      </c>
      <c r="G290" s="94"/>
      <c r="H290" s="94"/>
      <c r="I290" s="94"/>
      <c r="J290" s="94"/>
      <c r="K290" s="94"/>
      <c r="L290" s="94"/>
      <c r="M290" s="94"/>
      <c r="N290" s="94"/>
      <c r="O290" s="94"/>
      <c r="P290" s="94"/>
      <c r="Q290" s="94"/>
      <c r="R290" s="94"/>
      <c r="S290" s="94"/>
      <c r="T290" s="94"/>
      <c r="U290" s="94"/>
      <c r="V290" s="94"/>
      <c r="W290" s="94"/>
      <c r="X290" s="94"/>
      <c r="Y290" s="94">
        <f t="shared" si="46"/>
        <v>263.94069999999999</v>
      </c>
      <c r="Z290" s="94">
        <f t="shared" si="51"/>
        <v>263.92480499999994</v>
      </c>
      <c r="AA290" s="94">
        <f t="shared" si="49"/>
        <v>-1.589500000005728E-2</v>
      </c>
      <c r="AB290" s="1">
        <f t="shared" si="48"/>
        <v>10</v>
      </c>
      <c r="AC290" s="1">
        <f t="shared" si="50"/>
        <v>-0.794750000002864</v>
      </c>
    </row>
    <row r="291" spans="1:30" ht="14.25" customHeight="1" x14ac:dyDescent="0.45">
      <c r="A291" s="598"/>
      <c r="B291" s="219">
        <v>70</v>
      </c>
      <c r="C291" s="215"/>
      <c r="D291" s="215"/>
      <c r="E291" s="223">
        <v>264.19139999999999</v>
      </c>
      <c r="F291" s="223">
        <v>263.7251</v>
      </c>
      <c r="G291" s="94"/>
      <c r="H291" s="94"/>
      <c r="I291" s="94"/>
      <c r="J291" s="94"/>
      <c r="K291" s="94"/>
      <c r="L291" s="94"/>
      <c r="M291" s="94"/>
      <c r="N291" s="94"/>
      <c r="O291" s="94"/>
      <c r="P291" s="94"/>
      <c r="Q291" s="94"/>
      <c r="R291" s="94"/>
      <c r="S291" s="94"/>
      <c r="T291" s="94"/>
      <c r="U291" s="94"/>
      <c r="V291" s="94"/>
      <c r="W291" s="94"/>
      <c r="X291" s="94"/>
      <c r="Y291" s="94">
        <f t="shared" si="46"/>
        <v>263.95825000000002</v>
      </c>
      <c r="Z291" s="94">
        <f t="shared" si="51"/>
        <v>263.87480499999992</v>
      </c>
      <c r="AA291" s="94">
        <f t="shared" si="49"/>
        <v>-8.3445000000097025E-2</v>
      </c>
      <c r="AB291" s="1">
        <f t="shared" si="48"/>
        <v>10</v>
      </c>
      <c r="AC291" s="1">
        <f t="shared" si="50"/>
        <v>-4.1722500000048512</v>
      </c>
    </row>
    <row r="292" spans="1:30" ht="14.25" customHeight="1" x14ac:dyDescent="0.45">
      <c r="A292" s="598"/>
      <c r="B292" s="219">
        <v>75</v>
      </c>
      <c r="C292" s="215"/>
      <c r="D292" s="215"/>
      <c r="E292" s="223">
        <v>264.12180000000001</v>
      </c>
      <c r="F292" s="223">
        <v>263.68360000000001</v>
      </c>
      <c r="G292" s="94"/>
      <c r="H292" s="94"/>
      <c r="I292" s="94"/>
      <c r="J292" s="94"/>
      <c r="K292" s="94"/>
      <c r="L292" s="94"/>
      <c r="M292" s="94"/>
      <c r="N292" s="94"/>
      <c r="O292" s="94"/>
      <c r="P292" s="94"/>
      <c r="Q292" s="94"/>
      <c r="R292" s="94"/>
      <c r="S292" s="94"/>
      <c r="T292" s="94"/>
      <c r="U292" s="94"/>
      <c r="V292" s="94"/>
      <c r="W292" s="94"/>
      <c r="X292" s="94"/>
      <c r="Y292" s="94">
        <f t="shared" si="46"/>
        <v>263.90269999999998</v>
      </c>
      <c r="Z292" s="94">
        <f t="shared" si="51"/>
        <v>263.82480499999991</v>
      </c>
      <c r="AA292" s="94">
        <f t="shared" si="49"/>
        <v>-7.7895000000069103E-2</v>
      </c>
      <c r="AB292" s="1">
        <f t="shared" si="48"/>
        <v>10</v>
      </c>
      <c r="AC292" s="1">
        <f t="shared" si="50"/>
        <v>-3.8947500000034552</v>
      </c>
    </row>
    <row r="293" spans="1:30" ht="14.25" customHeight="1" x14ac:dyDescent="0.45">
      <c r="A293" s="598"/>
      <c r="B293" s="219">
        <v>80</v>
      </c>
      <c r="C293" s="215"/>
      <c r="D293" s="215"/>
      <c r="E293" s="215"/>
      <c r="F293" s="223">
        <v>263.69600000000003</v>
      </c>
      <c r="G293" s="94"/>
      <c r="H293" s="94"/>
      <c r="I293" s="94"/>
      <c r="J293" s="94"/>
      <c r="K293" s="94"/>
      <c r="L293" s="94"/>
      <c r="M293" s="94"/>
      <c r="N293" s="94"/>
      <c r="O293" s="94"/>
      <c r="P293" s="94"/>
      <c r="Q293" s="94"/>
      <c r="R293" s="94"/>
      <c r="S293" s="94"/>
      <c r="T293" s="94"/>
      <c r="U293" s="94"/>
      <c r="V293" s="94"/>
      <c r="W293" s="94"/>
      <c r="X293" s="94"/>
      <c r="Y293" s="94">
        <f t="shared" si="46"/>
        <v>263.69600000000003</v>
      </c>
      <c r="Z293" s="94">
        <f t="shared" si="51"/>
        <v>263.7748049999999</v>
      </c>
      <c r="AA293" s="94">
        <f t="shared" si="49"/>
        <v>7.8804999999874781E-2</v>
      </c>
      <c r="AB293" s="1">
        <f t="shared" si="48"/>
        <v>5</v>
      </c>
      <c r="AC293" s="1">
        <f t="shared" si="50"/>
        <v>1.9701249999968695</v>
      </c>
    </row>
    <row r="294" spans="1:30" ht="14.25" customHeight="1" x14ac:dyDescent="0.45">
      <c r="A294" s="598"/>
      <c r="B294" s="219">
        <v>85</v>
      </c>
      <c r="C294" s="215"/>
      <c r="D294" s="215"/>
      <c r="E294" s="215"/>
      <c r="F294" s="223">
        <v>263.87939999999998</v>
      </c>
      <c r="G294" s="94"/>
      <c r="H294" s="94"/>
      <c r="I294" s="94"/>
      <c r="J294" s="94"/>
      <c r="K294" s="94"/>
      <c r="L294" s="94"/>
      <c r="M294" s="94"/>
      <c r="N294" s="94"/>
      <c r="O294" s="94"/>
      <c r="P294" s="94"/>
      <c r="Q294" s="94"/>
      <c r="R294" s="94"/>
      <c r="S294" s="94"/>
      <c r="T294" s="94"/>
      <c r="U294" s="94"/>
      <c r="V294" s="94"/>
      <c r="W294" s="94"/>
      <c r="X294" s="94"/>
      <c r="Y294" s="94">
        <f t="shared" si="46"/>
        <v>263.87939999999998</v>
      </c>
      <c r="Z294" s="94">
        <f t="shared" si="51"/>
        <v>263.72480499999989</v>
      </c>
      <c r="AA294" s="94">
        <f t="shared" si="49"/>
        <v>-0.15459500000008575</v>
      </c>
      <c r="AB294" s="1">
        <f t="shared" si="48"/>
        <v>5</v>
      </c>
      <c r="AC294" s="1">
        <f t="shared" si="50"/>
        <v>-3.8648750000021437</v>
      </c>
      <c r="AD294" s="306">
        <f>SUM(AC277:AC294)</f>
        <v>-89.214250000084405</v>
      </c>
    </row>
    <row r="295" spans="1:30" ht="14.25" customHeight="1" x14ac:dyDescent="0.45">
      <c r="A295" s="79"/>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spans="1:30" ht="14.25" customHeight="1" x14ac:dyDescent="0.45">
      <c r="A296" s="79"/>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spans="1:30" ht="14.25" customHeight="1" x14ac:dyDescent="0.45">
      <c r="A297" s="79"/>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spans="1:30" ht="14.25" customHeight="1" x14ac:dyDescent="0.45">
      <c r="A298" s="598">
        <v>3</v>
      </c>
      <c r="B298" s="219">
        <v>0</v>
      </c>
      <c r="C298" s="224">
        <v>263.95030000000003</v>
      </c>
      <c r="D298" s="224">
        <v>263.79349999999999</v>
      </c>
      <c r="E298" s="224">
        <v>263.80509999999998</v>
      </c>
      <c r="F298" s="224">
        <v>263.79270000000002</v>
      </c>
      <c r="G298" s="224">
        <v>263.83940000000001</v>
      </c>
      <c r="H298" s="224">
        <v>263.82350000000002</v>
      </c>
      <c r="I298" s="224">
        <v>263.82060000000001</v>
      </c>
      <c r="J298" s="224">
        <v>263.87470000000002</v>
      </c>
      <c r="K298" s="224">
        <v>263.78399999999999</v>
      </c>
      <c r="L298" s="224">
        <v>263.92009999999999</v>
      </c>
      <c r="M298" s="224">
        <v>263.85629999999998</v>
      </c>
      <c r="N298" s="224">
        <v>263.86610000000002</v>
      </c>
      <c r="O298" s="224">
        <v>263.84719999999999</v>
      </c>
      <c r="P298" s="224">
        <v>263.85739999999998</v>
      </c>
      <c r="Q298" s="224">
        <v>263.85140000000001</v>
      </c>
      <c r="R298" s="224">
        <v>263.85340000000002</v>
      </c>
      <c r="S298" s="224">
        <v>263.8297</v>
      </c>
      <c r="T298" s="224">
        <v>263.82130000000001</v>
      </c>
      <c r="U298" s="224">
        <v>263.80939999999998</v>
      </c>
      <c r="V298" s="224">
        <v>263.8073</v>
      </c>
      <c r="W298" s="94"/>
      <c r="X298" s="94"/>
      <c r="Y298" s="94">
        <f>AVERAGE(C298:X298)</f>
        <v>263.84017000000006</v>
      </c>
      <c r="Z298" s="94">
        <f>Z299</f>
        <v>263.6751444444443</v>
      </c>
      <c r="AA298" s="94">
        <f t="shared" ref="AA298:AA299" si="52">Z298-Y298</f>
        <v>-0.16502555555575782</v>
      </c>
      <c r="AB298" s="1">
        <f>COUNTIF(C298:X298,"&gt;0")*5</f>
        <v>100</v>
      </c>
      <c r="AC298" s="1">
        <f t="shared" ref="AC298:AC299" si="53">AA298*AB298*5</f>
        <v>-82.51277777787891</v>
      </c>
    </row>
    <row r="299" spans="1:30" ht="14.25" customHeight="1" x14ac:dyDescent="0.45">
      <c r="A299" s="598"/>
      <c r="B299" s="219">
        <v>5</v>
      </c>
      <c r="C299" s="224">
        <v>263.89510000000001</v>
      </c>
      <c r="D299" s="224">
        <v>263.79180000000002</v>
      </c>
      <c r="E299" s="224">
        <v>263.78489999999999</v>
      </c>
      <c r="F299" s="224">
        <v>263.80829999999997</v>
      </c>
      <c r="G299" s="224">
        <v>263.82819999999998</v>
      </c>
      <c r="H299" s="224">
        <v>263.81920000000002</v>
      </c>
      <c r="I299" s="224">
        <v>263.82190000000003</v>
      </c>
      <c r="J299" s="224">
        <v>263.83</v>
      </c>
      <c r="K299" s="224">
        <v>263.82799999999997</v>
      </c>
      <c r="L299" s="224">
        <v>263.88159999999999</v>
      </c>
      <c r="M299" s="224">
        <v>263.83569999999997</v>
      </c>
      <c r="N299" s="224">
        <v>263.8356</v>
      </c>
      <c r="O299" s="224">
        <v>263.83100000000002</v>
      </c>
      <c r="P299" s="224">
        <v>263.86009999999999</v>
      </c>
      <c r="Q299" s="224">
        <v>263.81450000000001</v>
      </c>
      <c r="R299" s="224">
        <v>263.84640000000002</v>
      </c>
      <c r="S299" s="224">
        <v>263.8562</v>
      </c>
      <c r="T299" s="224">
        <v>263.85739999999998</v>
      </c>
      <c r="U299" s="224">
        <v>263.83800000000002</v>
      </c>
      <c r="V299" s="224">
        <v>263.9049</v>
      </c>
      <c r="W299" s="94"/>
      <c r="X299" s="94"/>
      <c r="Y299" s="94">
        <f>AVERAGE(C299:X299)</f>
        <v>263.83843999999999</v>
      </c>
      <c r="Z299" s="222">
        <f>Z240-5/100-0.05</f>
        <v>263.6751444444443</v>
      </c>
      <c r="AA299" s="94">
        <f t="shared" si="52"/>
        <v>-0.16329555555569186</v>
      </c>
      <c r="AB299" s="1">
        <f>COUNTIF(C299:X299,"&gt;0")*5</f>
        <v>100</v>
      </c>
      <c r="AC299" s="1">
        <f t="shared" si="53"/>
        <v>-81.647777777845931</v>
      </c>
      <c r="AD299" s="306">
        <f>SUM(AC298:AC299)</f>
        <v>-164.16055555572484</v>
      </c>
    </row>
    <row r="300" spans="1:30" ht="14.25" customHeight="1" x14ac:dyDescent="0.45">
      <c r="A300" s="79"/>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spans="1:30" ht="14.25" customHeight="1" x14ac:dyDescent="0.45">
      <c r="A301" s="79"/>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spans="1:30" ht="14.25" customHeight="1" x14ac:dyDescent="0.45">
      <c r="A302" s="79"/>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spans="1:30" ht="14.25" customHeight="1" x14ac:dyDescent="0.45">
      <c r="A303" s="598">
        <v>4</v>
      </c>
      <c r="B303" s="219">
        <v>0</v>
      </c>
      <c r="C303" s="225">
        <v>263.9624</v>
      </c>
      <c r="D303" s="225">
        <v>263.80160000000001</v>
      </c>
      <c r="E303" s="225">
        <v>263.81610000000001</v>
      </c>
      <c r="F303" s="94"/>
      <c r="G303" s="94"/>
      <c r="H303" s="94"/>
      <c r="I303" s="94"/>
      <c r="J303" s="94"/>
      <c r="K303" s="94"/>
      <c r="L303" s="94"/>
      <c r="M303" s="94"/>
      <c r="N303" s="94"/>
      <c r="O303" s="94"/>
      <c r="P303" s="94"/>
      <c r="Q303" s="94"/>
      <c r="R303" s="94"/>
      <c r="S303" s="94"/>
      <c r="T303" s="94"/>
      <c r="U303" s="94"/>
      <c r="V303" s="94"/>
      <c r="W303" s="94"/>
      <c r="X303" s="94"/>
      <c r="Y303" s="94">
        <f t="shared" ref="Y303:Y322" si="54">AVERAGE(C303:X303)</f>
        <v>263.86003333333332</v>
      </c>
      <c r="Z303" s="94">
        <f t="shared" ref="Z303:Z310" si="55">Z304-5/100</f>
        <v>263.6751444444443</v>
      </c>
      <c r="AA303" s="94">
        <f t="shared" ref="AA303:AA322" si="56">Z303-Y303</f>
        <v>-0.18488888888902011</v>
      </c>
      <c r="AB303" s="1">
        <f t="shared" ref="AB303:AB322" si="57">COUNTIF(C303:X303,"&gt;0")*5</f>
        <v>15</v>
      </c>
      <c r="AC303" s="1">
        <f t="shared" ref="AC303:AC322" si="58">AA303*AB303*5</f>
        <v>-13.866666666676508</v>
      </c>
    </row>
    <row r="304" spans="1:30" ht="14.25" customHeight="1" x14ac:dyDescent="0.45">
      <c r="A304" s="598"/>
      <c r="B304" s="219">
        <v>5</v>
      </c>
      <c r="C304" s="225">
        <v>264.20510000000002</v>
      </c>
      <c r="D304" s="225">
        <v>263.79860000000002</v>
      </c>
      <c r="E304" s="225">
        <v>263.81849999999997</v>
      </c>
      <c r="F304" s="94"/>
      <c r="G304" s="94"/>
      <c r="H304" s="94"/>
      <c r="I304" s="94"/>
      <c r="J304" s="94"/>
      <c r="K304" s="94"/>
      <c r="L304" s="94"/>
      <c r="M304" s="94"/>
      <c r="N304" s="94"/>
      <c r="O304" s="94"/>
      <c r="P304" s="94"/>
      <c r="Q304" s="94"/>
      <c r="R304" s="94"/>
      <c r="S304" s="94"/>
      <c r="T304" s="94"/>
      <c r="U304" s="94"/>
      <c r="V304" s="94"/>
      <c r="W304" s="94"/>
      <c r="X304" s="94"/>
      <c r="Y304" s="94">
        <f t="shared" si="54"/>
        <v>263.9407333333333</v>
      </c>
      <c r="Z304" s="94">
        <f t="shared" si="55"/>
        <v>263.72514444444431</v>
      </c>
      <c r="AA304" s="94">
        <f t="shared" si="56"/>
        <v>-0.21558888888898764</v>
      </c>
      <c r="AB304" s="1">
        <f t="shared" si="57"/>
        <v>15</v>
      </c>
      <c r="AC304" s="1">
        <f t="shared" si="58"/>
        <v>-16.169166666674073</v>
      </c>
    </row>
    <row r="305" spans="1:29" ht="14.25" customHeight="1" x14ac:dyDescent="0.45">
      <c r="A305" s="598"/>
      <c r="B305" s="219">
        <v>10</v>
      </c>
      <c r="C305" s="225">
        <v>264.23669999999998</v>
      </c>
      <c r="D305" s="225">
        <v>263.82080000000002</v>
      </c>
      <c r="E305" s="225">
        <v>263.82900000000001</v>
      </c>
      <c r="F305" s="94"/>
      <c r="G305" s="94"/>
      <c r="H305" s="94"/>
      <c r="I305" s="94"/>
      <c r="J305" s="94"/>
      <c r="K305" s="94"/>
      <c r="L305" s="94"/>
      <c r="M305" s="94"/>
      <c r="N305" s="94"/>
      <c r="O305" s="94"/>
      <c r="P305" s="94"/>
      <c r="Q305" s="94"/>
      <c r="R305" s="94"/>
      <c r="S305" s="94"/>
      <c r="T305" s="94"/>
      <c r="U305" s="94"/>
      <c r="V305" s="94"/>
      <c r="W305" s="94"/>
      <c r="X305" s="94"/>
      <c r="Y305" s="94">
        <f t="shared" si="54"/>
        <v>263.96216666666669</v>
      </c>
      <c r="Z305" s="94">
        <f t="shared" si="55"/>
        <v>263.77514444444432</v>
      </c>
      <c r="AA305" s="94">
        <f t="shared" si="56"/>
        <v>-0.18702222222236742</v>
      </c>
      <c r="AB305" s="1">
        <f t="shared" si="57"/>
        <v>15</v>
      </c>
      <c r="AC305" s="1">
        <f t="shared" si="58"/>
        <v>-14.026666666677556</v>
      </c>
    </row>
    <row r="306" spans="1:29" ht="14.25" customHeight="1" x14ac:dyDescent="0.45">
      <c r="A306" s="598"/>
      <c r="B306" s="219">
        <v>15</v>
      </c>
      <c r="C306" s="225">
        <v>264.29430000000002</v>
      </c>
      <c r="D306" s="225">
        <v>263.8476</v>
      </c>
      <c r="E306" s="225">
        <v>263.86660000000001</v>
      </c>
      <c r="F306" s="94"/>
      <c r="G306" s="94"/>
      <c r="H306" s="94"/>
      <c r="I306" s="94"/>
      <c r="J306" s="94"/>
      <c r="K306" s="94"/>
      <c r="L306" s="94"/>
      <c r="M306" s="94"/>
      <c r="N306" s="94"/>
      <c r="O306" s="94"/>
      <c r="P306" s="94"/>
      <c r="Q306" s="94"/>
      <c r="R306" s="94"/>
      <c r="S306" s="94"/>
      <c r="T306" s="94"/>
      <c r="U306" s="94"/>
      <c r="V306" s="94"/>
      <c r="W306" s="94"/>
      <c r="X306" s="94"/>
      <c r="Y306" s="94">
        <f t="shared" si="54"/>
        <v>264.0028333333334</v>
      </c>
      <c r="Z306" s="94">
        <f t="shared" si="55"/>
        <v>263.82514444444433</v>
      </c>
      <c r="AA306" s="94">
        <f t="shared" si="56"/>
        <v>-0.17768888888906531</v>
      </c>
      <c r="AB306" s="1">
        <f t="shared" si="57"/>
        <v>15</v>
      </c>
      <c r="AC306" s="1">
        <f t="shared" si="58"/>
        <v>-13.326666666679898</v>
      </c>
    </row>
    <row r="307" spans="1:29" ht="14.25" customHeight="1" x14ac:dyDescent="0.45">
      <c r="A307" s="598"/>
      <c r="B307" s="219">
        <v>20</v>
      </c>
      <c r="C307" s="225">
        <v>264.3098</v>
      </c>
      <c r="D307" s="225">
        <v>263.88459999999998</v>
      </c>
      <c r="E307" s="225">
        <v>263.9273</v>
      </c>
      <c r="F307" s="94"/>
      <c r="G307" s="94"/>
      <c r="H307" s="94"/>
      <c r="I307" s="94"/>
      <c r="J307" s="94"/>
      <c r="K307" s="94"/>
      <c r="L307" s="94"/>
      <c r="M307" s="94"/>
      <c r="N307" s="94"/>
      <c r="O307" s="94"/>
      <c r="P307" s="94"/>
      <c r="Q307" s="94"/>
      <c r="R307" s="94"/>
      <c r="S307" s="94"/>
      <c r="T307" s="94"/>
      <c r="U307" s="94"/>
      <c r="V307" s="94"/>
      <c r="W307" s="94"/>
      <c r="X307" s="94"/>
      <c r="Y307" s="94">
        <f t="shared" si="54"/>
        <v>264.04056666666662</v>
      </c>
      <c r="Z307" s="94">
        <f t="shared" si="55"/>
        <v>263.87514444444435</v>
      </c>
      <c r="AA307" s="94">
        <f t="shared" si="56"/>
        <v>-0.16542222222227565</v>
      </c>
      <c r="AB307" s="1">
        <f t="shared" si="57"/>
        <v>15</v>
      </c>
      <c r="AC307" s="1">
        <f t="shared" si="58"/>
        <v>-12.406666666670674</v>
      </c>
    </row>
    <row r="308" spans="1:29" ht="14.25" customHeight="1" x14ac:dyDescent="0.45">
      <c r="A308" s="598"/>
      <c r="B308" s="219">
        <v>25</v>
      </c>
      <c r="C308" s="225">
        <v>264.33980000000003</v>
      </c>
      <c r="D308" s="225">
        <v>263.916</v>
      </c>
      <c r="E308" s="225">
        <v>263.94940000000003</v>
      </c>
      <c r="F308" s="94"/>
      <c r="G308" s="94"/>
      <c r="H308" s="94"/>
      <c r="I308" s="94"/>
      <c r="J308" s="94"/>
      <c r="K308" s="94"/>
      <c r="L308" s="94"/>
      <c r="M308" s="94"/>
      <c r="N308" s="94"/>
      <c r="O308" s="94"/>
      <c r="P308" s="94"/>
      <c r="Q308" s="94"/>
      <c r="R308" s="94"/>
      <c r="S308" s="94"/>
      <c r="T308" s="94"/>
      <c r="U308" s="94"/>
      <c r="V308" s="94"/>
      <c r="W308" s="94"/>
      <c r="X308" s="94"/>
      <c r="Y308" s="94">
        <f t="shared" si="54"/>
        <v>264.06840000000005</v>
      </c>
      <c r="Z308" s="94">
        <f t="shared" si="55"/>
        <v>263.92514444444436</v>
      </c>
      <c r="AA308" s="94">
        <f t="shared" si="56"/>
        <v>-0.14325555555569736</v>
      </c>
      <c r="AB308" s="1">
        <f t="shared" si="57"/>
        <v>15</v>
      </c>
      <c r="AC308" s="1">
        <f t="shared" si="58"/>
        <v>-10.744166666677302</v>
      </c>
    </row>
    <row r="309" spans="1:29" ht="14.25" customHeight="1" x14ac:dyDescent="0.45">
      <c r="A309" s="598"/>
      <c r="B309" s="219">
        <v>30</v>
      </c>
      <c r="C309" s="225">
        <v>264.29750000000001</v>
      </c>
      <c r="D309" s="225">
        <v>264.36270000000002</v>
      </c>
      <c r="E309" s="225">
        <v>264.46159999999998</v>
      </c>
      <c r="F309" s="94"/>
      <c r="G309" s="94"/>
      <c r="H309" s="94"/>
      <c r="I309" s="94"/>
      <c r="J309" s="94"/>
      <c r="K309" s="94"/>
      <c r="L309" s="94"/>
      <c r="M309" s="94"/>
      <c r="N309" s="94"/>
      <c r="O309" s="94"/>
      <c r="P309" s="94"/>
      <c r="Q309" s="94"/>
      <c r="R309" s="94"/>
      <c r="S309" s="94"/>
      <c r="T309" s="94"/>
      <c r="U309" s="94"/>
      <c r="V309" s="94"/>
      <c r="W309" s="94"/>
      <c r="X309" s="94"/>
      <c r="Y309" s="94">
        <f t="shared" si="54"/>
        <v>264.37393333333335</v>
      </c>
      <c r="Z309" s="94">
        <f t="shared" si="55"/>
        <v>263.97514444444437</v>
      </c>
      <c r="AA309" s="94">
        <f t="shared" si="56"/>
        <v>-0.398788888888987</v>
      </c>
      <c r="AB309" s="1">
        <f t="shared" si="57"/>
        <v>15</v>
      </c>
      <c r="AC309" s="1">
        <f t="shared" si="58"/>
        <v>-29.909166666674025</v>
      </c>
    </row>
    <row r="310" spans="1:29" ht="14.25" customHeight="1" x14ac:dyDescent="0.45">
      <c r="A310" s="598"/>
      <c r="B310" s="219">
        <v>35</v>
      </c>
      <c r="C310" s="225">
        <v>264.08330000000001</v>
      </c>
      <c r="D310" s="225">
        <v>264.24270000000001</v>
      </c>
      <c r="E310" s="225">
        <v>264.27870000000001</v>
      </c>
      <c r="F310" s="94"/>
      <c r="G310" s="94"/>
      <c r="H310" s="94"/>
      <c r="I310" s="94"/>
      <c r="J310" s="94"/>
      <c r="K310" s="94"/>
      <c r="L310" s="94"/>
      <c r="M310" s="94"/>
      <c r="N310" s="94"/>
      <c r="O310" s="94"/>
      <c r="P310" s="94"/>
      <c r="Q310" s="94"/>
      <c r="R310" s="94"/>
      <c r="S310" s="94"/>
      <c r="T310" s="94"/>
      <c r="U310" s="94"/>
      <c r="V310" s="94"/>
      <c r="W310" s="94"/>
      <c r="X310" s="94"/>
      <c r="Y310" s="94">
        <f t="shared" si="54"/>
        <v>264.20156666666668</v>
      </c>
      <c r="Z310" s="94">
        <f t="shared" si="55"/>
        <v>264.02514444444438</v>
      </c>
      <c r="AA310" s="94">
        <f t="shared" si="56"/>
        <v>-0.17642222222229975</v>
      </c>
      <c r="AB310" s="1">
        <f t="shared" si="57"/>
        <v>15</v>
      </c>
      <c r="AC310" s="1">
        <f t="shared" si="58"/>
        <v>-13.231666666672481</v>
      </c>
    </row>
    <row r="311" spans="1:29" ht="14.25" customHeight="1" x14ac:dyDescent="0.45">
      <c r="A311" s="598"/>
      <c r="B311" s="219">
        <v>40</v>
      </c>
      <c r="C311" s="94"/>
      <c r="D311" s="225">
        <v>264.18520000000001</v>
      </c>
      <c r="E311" s="225">
        <v>264.31439999999998</v>
      </c>
      <c r="F311" s="94"/>
      <c r="G311" s="94"/>
      <c r="H311" s="94"/>
      <c r="I311" s="94"/>
      <c r="J311" s="94"/>
      <c r="K311" s="94"/>
      <c r="L311" s="94"/>
      <c r="M311" s="94"/>
      <c r="N311" s="94"/>
      <c r="O311" s="94"/>
      <c r="P311" s="94"/>
      <c r="Q311" s="94"/>
      <c r="R311" s="94"/>
      <c r="S311" s="94"/>
      <c r="T311" s="94"/>
      <c r="U311" s="94"/>
      <c r="V311" s="94"/>
      <c r="W311" s="94"/>
      <c r="X311" s="94"/>
      <c r="Y311" s="94">
        <f t="shared" si="54"/>
        <v>264.24979999999999</v>
      </c>
      <c r="Z311" s="94">
        <f>Z312-5/100</f>
        <v>264.07514444444439</v>
      </c>
      <c r="AA311" s="94">
        <f t="shared" si="56"/>
        <v>-0.17465555555560286</v>
      </c>
      <c r="AB311" s="1">
        <f t="shared" si="57"/>
        <v>10</v>
      </c>
      <c r="AC311" s="1">
        <f t="shared" si="58"/>
        <v>-8.732777777780143</v>
      </c>
    </row>
    <row r="312" spans="1:29" ht="14.25" customHeight="1" x14ac:dyDescent="0.45">
      <c r="A312" s="598"/>
      <c r="B312" s="219">
        <v>45</v>
      </c>
      <c r="C312" s="94"/>
      <c r="D312" s="225">
        <v>263.87310000000002</v>
      </c>
      <c r="E312" s="225">
        <v>263.85489999999999</v>
      </c>
      <c r="F312" s="94"/>
      <c r="G312" s="94"/>
      <c r="H312" s="94"/>
      <c r="I312" s="94"/>
      <c r="J312" s="94"/>
      <c r="K312" s="94"/>
      <c r="L312" s="94"/>
      <c r="M312" s="94"/>
      <c r="N312" s="94"/>
      <c r="O312" s="94"/>
      <c r="P312" s="94"/>
      <c r="Q312" s="94"/>
      <c r="R312" s="94"/>
      <c r="S312" s="94"/>
      <c r="T312" s="94"/>
      <c r="U312" s="94"/>
      <c r="V312" s="94"/>
      <c r="W312" s="94"/>
      <c r="X312" s="94"/>
      <c r="Y312" s="94">
        <f t="shared" si="54"/>
        <v>263.86400000000003</v>
      </c>
      <c r="Z312" s="94">
        <f>Z313-5/100</f>
        <v>264.1251444444444</v>
      </c>
      <c r="AA312" s="94">
        <f t="shared" si="56"/>
        <v>0.26114444444436913</v>
      </c>
      <c r="AB312" s="1">
        <f t="shared" si="57"/>
        <v>10</v>
      </c>
      <c r="AC312" s="1">
        <f t="shared" si="58"/>
        <v>13.057222222218456</v>
      </c>
    </row>
    <row r="313" spans="1:29" ht="14.25" customHeight="1" x14ac:dyDescent="0.45">
      <c r="A313" s="598"/>
      <c r="B313" s="219">
        <v>50</v>
      </c>
      <c r="C313" s="94"/>
      <c r="D313" s="225">
        <v>263.87450000000001</v>
      </c>
      <c r="E313" s="225">
        <v>263.83960000000002</v>
      </c>
      <c r="F313" s="94"/>
      <c r="G313" s="94"/>
      <c r="H313" s="94"/>
      <c r="I313" s="94"/>
      <c r="J313" s="94"/>
      <c r="K313" s="94"/>
      <c r="L313" s="94"/>
      <c r="M313" s="94"/>
      <c r="N313" s="94"/>
      <c r="O313" s="94"/>
      <c r="P313" s="94"/>
      <c r="Q313" s="94"/>
      <c r="R313" s="94"/>
      <c r="S313" s="94"/>
      <c r="T313" s="94"/>
      <c r="U313" s="94"/>
      <c r="V313" s="94"/>
      <c r="W313" s="94"/>
      <c r="X313" s="94"/>
      <c r="Y313" s="94">
        <f t="shared" si="54"/>
        <v>263.85705000000002</v>
      </c>
      <c r="Z313" s="222">
        <f>Z250-0.1</f>
        <v>264.17514444444441</v>
      </c>
      <c r="AA313" s="94">
        <f t="shared" si="56"/>
        <v>0.31809444444439805</v>
      </c>
      <c r="AB313" s="1">
        <f t="shared" si="57"/>
        <v>10</v>
      </c>
      <c r="AC313" s="1">
        <f t="shared" si="58"/>
        <v>15.904722222219903</v>
      </c>
    </row>
    <row r="314" spans="1:29" ht="14.25" customHeight="1" x14ac:dyDescent="0.45">
      <c r="A314" s="598"/>
      <c r="B314" s="219">
        <v>55</v>
      </c>
      <c r="C314" s="94"/>
      <c r="D314" s="225">
        <v>263.95499999999998</v>
      </c>
      <c r="E314" s="225">
        <v>263.83890000000002</v>
      </c>
      <c r="F314" s="94"/>
      <c r="G314" s="94"/>
      <c r="H314" s="94"/>
      <c r="I314" s="94"/>
      <c r="J314" s="94"/>
      <c r="K314" s="94"/>
      <c r="L314" s="94"/>
      <c r="M314" s="94"/>
      <c r="N314" s="94"/>
      <c r="O314" s="94"/>
      <c r="P314" s="94"/>
      <c r="Q314" s="94"/>
      <c r="R314" s="94"/>
      <c r="S314" s="94"/>
      <c r="T314" s="94"/>
      <c r="U314" s="94"/>
      <c r="V314" s="94"/>
      <c r="W314" s="94"/>
      <c r="X314" s="94"/>
      <c r="Y314" s="94">
        <f t="shared" si="54"/>
        <v>263.89695</v>
      </c>
      <c r="Z314" s="94">
        <f>Z313-5/100</f>
        <v>264.1251444444444</v>
      </c>
      <c r="AA314" s="94">
        <f t="shared" si="56"/>
        <v>0.22819444444439796</v>
      </c>
      <c r="AB314" s="1">
        <f t="shared" si="57"/>
        <v>10</v>
      </c>
      <c r="AC314" s="1">
        <f t="shared" si="58"/>
        <v>11.409722222219898</v>
      </c>
    </row>
    <row r="315" spans="1:29" ht="14.25" customHeight="1" x14ac:dyDescent="0.45">
      <c r="A315" s="598"/>
      <c r="B315" s="219">
        <v>60</v>
      </c>
      <c r="C315" s="94"/>
      <c r="D315" s="225">
        <v>264.04070000000002</v>
      </c>
      <c r="E315" s="225">
        <v>263.85219999999998</v>
      </c>
      <c r="F315" s="94"/>
      <c r="G315" s="94"/>
      <c r="H315" s="94"/>
      <c r="I315" s="94"/>
      <c r="J315" s="94"/>
      <c r="K315" s="94"/>
      <c r="L315" s="94"/>
      <c r="M315" s="94"/>
      <c r="N315" s="94"/>
      <c r="O315" s="94"/>
      <c r="P315" s="94"/>
      <c r="Q315" s="94"/>
      <c r="R315" s="94"/>
      <c r="S315" s="94"/>
      <c r="T315" s="94"/>
      <c r="U315" s="94"/>
      <c r="V315" s="94"/>
      <c r="W315" s="94"/>
      <c r="X315" s="94"/>
      <c r="Y315" s="94">
        <f t="shared" si="54"/>
        <v>263.94645000000003</v>
      </c>
      <c r="Z315" s="94">
        <f t="shared" ref="Z315:Z322" si="59">Z314-5/100</f>
        <v>264.07514444444439</v>
      </c>
      <c r="AA315" s="94">
        <f t="shared" si="56"/>
        <v>0.1286944444443634</v>
      </c>
      <c r="AB315" s="1">
        <f t="shared" si="57"/>
        <v>10</v>
      </c>
      <c r="AC315" s="1">
        <f t="shared" si="58"/>
        <v>6.4347222222181699</v>
      </c>
    </row>
    <row r="316" spans="1:29" ht="14.25" customHeight="1" x14ac:dyDescent="0.45">
      <c r="A316" s="598"/>
      <c r="B316" s="219">
        <v>65</v>
      </c>
      <c r="C316" s="94"/>
      <c r="D316" s="225">
        <v>264.04509999999999</v>
      </c>
      <c r="E316" s="225">
        <v>263.85579999999999</v>
      </c>
      <c r="F316" s="94"/>
      <c r="G316" s="94"/>
      <c r="H316" s="94"/>
      <c r="I316" s="94"/>
      <c r="J316" s="94"/>
      <c r="K316" s="94"/>
      <c r="L316" s="94"/>
      <c r="M316" s="94"/>
      <c r="N316" s="94"/>
      <c r="O316" s="94"/>
      <c r="P316" s="94"/>
      <c r="Q316" s="94"/>
      <c r="R316" s="94"/>
      <c r="S316" s="94"/>
      <c r="T316" s="94"/>
      <c r="U316" s="94"/>
      <c r="V316" s="94"/>
      <c r="W316" s="94"/>
      <c r="X316" s="94"/>
      <c r="Y316" s="94">
        <f t="shared" si="54"/>
        <v>263.95044999999999</v>
      </c>
      <c r="Z316" s="94">
        <f t="shared" si="59"/>
        <v>264.02514444444438</v>
      </c>
      <c r="AA316" s="94">
        <f t="shared" si="56"/>
        <v>7.4694444444389774E-2</v>
      </c>
      <c r="AB316" s="1">
        <f t="shared" si="57"/>
        <v>10</v>
      </c>
      <c r="AC316" s="1">
        <f t="shared" si="58"/>
        <v>3.7347222222194887</v>
      </c>
    </row>
    <row r="317" spans="1:29" ht="14.25" customHeight="1" x14ac:dyDescent="0.45">
      <c r="A317" s="598"/>
      <c r="B317" s="219">
        <v>70</v>
      </c>
      <c r="C317" s="94"/>
      <c r="D317" s="225">
        <v>264.06369999999998</v>
      </c>
      <c r="E317" s="225">
        <v>263.8854</v>
      </c>
      <c r="F317" s="94"/>
      <c r="G317" s="94"/>
      <c r="H317" s="94"/>
      <c r="I317" s="94"/>
      <c r="J317" s="94"/>
      <c r="K317" s="94"/>
      <c r="L317" s="94"/>
      <c r="M317" s="94"/>
      <c r="N317" s="94"/>
      <c r="O317" s="94"/>
      <c r="P317" s="94"/>
      <c r="Q317" s="94"/>
      <c r="R317" s="94"/>
      <c r="S317" s="94"/>
      <c r="T317" s="94"/>
      <c r="U317" s="94"/>
      <c r="V317" s="94"/>
      <c r="W317" s="94"/>
      <c r="X317" s="94"/>
      <c r="Y317" s="94">
        <f t="shared" si="54"/>
        <v>263.97455000000002</v>
      </c>
      <c r="Z317" s="94">
        <f t="shared" si="59"/>
        <v>263.97514444444437</v>
      </c>
      <c r="AA317" s="94">
        <f t="shared" si="56"/>
        <v>5.9444444434575416E-4</v>
      </c>
      <c r="AB317" s="1">
        <f t="shared" si="57"/>
        <v>10</v>
      </c>
      <c r="AC317" s="1">
        <f t="shared" si="58"/>
        <v>2.9722222217287708E-2</v>
      </c>
    </row>
    <row r="318" spans="1:29" ht="14.25" customHeight="1" x14ac:dyDescent="0.45">
      <c r="A318" s="598"/>
      <c r="B318" s="219">
        <v>75</v>
      </c>
      <c r="C318" s="94"/>
      <c r="D318" s="225">
        <v>264.09840000000003</v>
      </c>
      <c r="E318" s="225">
        <v>263.93990000000002</v>
      </c>
      <c r="F318" s="94"/>
      <c r="G318" s="94"/>
      <c r="H318" s="94"/>
      <c r="I318" s="94"/>
      <c r="J318" s="94"/>
      <c r="K318" s="94"/>
      <c r="L318" s="94"/>
      <c r="M318" s="94"/>
      <c r="N318" s="94"/>
      <c r="O318" s="94"/>
      <c r="P318" s="94"/>
      <c r="Q318" s="94"/>
      <c r="R318" s="94"/>
      <c r="S318" s="94"/>
      <c r="T318" s="94"/>
      <c r="U318" s="94"/>
      <c r="V318" s="94"/>
      <c r="W318" s="94"/>
      <c r="X318" s="94"/>
      <c r="Y318" s="94">
        <f t="shared" si="54"/>
        <v>264.01915000000002</v>
      </c>
      <c r="Z318" s="94">
        <f t="shared" si="59"/>
        <v>263.92514444444436</v>
      </c>
      <c r="AA318" s="94">
        <f t="shared" si="56"/>
        <v>-9.4005555555668252E-2</v>
      </c>
      <c r="AB318" s="1">
        <f t="shared" si="57"/>
        <v>10</v>
      </c>
      <c r="AC318" s="1">
        <f t="shared" si="58"/>
        <v>-4.7002777777834126</v>
      </c>
    </row>
    <row r="319" spans="1:29" ht="14.25" customHeight="1" x14ac:dyDescent="0.45">
      <c r="A319" s="598"/>
      <c r="B319" s="219">
        <v>80</v>
      </c>
      <c r="C319" s="94"/>
      <c r="D319" s="225">
        <v>264.13229999999999</v>
      </c>
      <c r="E319" s="225">
        <v>264.0052</v>
      </c>
      <c r="F319" s="94"/>
      <c r="G319" s="94"/>
      <c r="H319" s="94"/>
      <c r="I319" s="94"/>
      <c r="J319" s="94"/>
      <c r="K319" s="94"/>
      <c r="L319" s="94"/>
      <c r="M319" s="94"/>
      <c r="N319" s="94"/>
      <c r="O319" s="94"/>
      <c r="P319" s="94"/>
      <c r="Q319" s="94"/>
      <c r="R319" s="94"/>
      <c r="S319" s="94"/>
      <c r="T319" s="94"/>
      <c r="U319" s="94"/>
      <c r="V319" s="94"/>
      <c r="W319" s="94"/>
      <c r="X319" s="94"/>
      <c r="Y319" s="94">
        <f t="shared" si="54"/>
        <v>264.06875000000002</v>
      </c>
      <c r="Z319" s="94">
        <f t="shared" si="59"/>
        <v>263.87514444444435</v>
      </c>
      <c r="AA319" s="94">
        <f t="shared" si="56"/>
        <v>-0.19360555555567771</v>
      </c>
      <c r="AB319" s="1">
        <f t="shared" si="57"/>
        <v>10</v>
      </c>
      <c r="AC319" s="1">
        <f t="shared" si="58"/>
        <v>-9.6802777777838855</v>
      </c>
    </row>
    <row r="320" spans="1:29" ht="14.25" customHeight="1" x14ac:dyDescent="0.45">
      <c r="A320" s="598"/>
      <c r="B320" s="219">
        <v>85</v>
      </c>
      <c r="C320" s="94"/>
      <c r="D320" s="94"/>
      <c r="E320" s="225">
        <v>264.08100000000002</v>
      </c>
      <c r="F320" s="94"/>
      <c r="G320" s="94"/>
      <c r="H320" s="94"/>
      <c r="I320" s="94"/>
      <c r="J320" s="94"/>
      <c r="K320" s="94"/>
      <c r="L320" s="94"/>
      <c r="M320" s="94"/>
      <c r="N320" s="94"/>
      <c r="O320" s="94"/>
      <c r="P320" s="94"/>
      <c r="Q320" s="94"/>
      <c r="R320" s="94"/>
      <c r="S320" s="94"/>
      <c r="T320" s="94"/>
      <c r="U320" s="94"/>
      <c r="V320" s="94"/>
      <c r="W320" s="94"/>
      <c r="X320" s="94"/>
      <c r="Y320" s="94">
        <f t="shared" si="54"/>
        <v>264.08100000000002</v>
      </c>
      <c r="Z320" s="94">
        <f t="shared" si="59"/>
        <v>263.82514444444433</v>
      </c>
      <c r="AA320" s="94">
        <f t="shared" si="56"/>
        <v>-0.25585555555568362</v>
      </c>
      <c r="AB320" s="1">
        <f t="shared" si="57"/>
        <v>5</v>
      </c>
      <c r="AC320" s="1">
        <f t="shared" si="58"/>
        <v>-6.3963888888920906</v>
      </c>
    </row>
    <row r="321" spans="1:30" ht="14.25" customHeight="1" x14ac:dyDescent="0.45">
      <c r="A321" s="598"/>
      <c r="B321" s="219">
        <v>90</v>
      </c>
      <c r="C321" s="94"/>
      <c r="D321" s="94"/>
      <c r="E321" s="225">
        <v>264.16019999999997</v>
      </c>
      <c r="F321" s="94"/>
      <c r="G321" s="94"/>
      <c r="H321" s="94"/>
      <c r="I321" s="94"/>
      <c r="J321" s="94"/>
      <c r="K321" s="94"/>
      <c r="L321" s="94"/>
      <c r="M321" s="94"/>
      <c r="N321" s="94"/>
      <c r="O321" s="94"/>
      <c r="P321" s="94"/>
      <c r="Q321" s="94"/>
      <c r="R321" s="94"/>
      <c r="S321" s="94"/>
      <c r="T321" s="94"/>
      <c r="U321" s="94"/>
      <c r="V321" s="94"/>
      <c r="W321" s="94"/>
      <c r="X321" s="94"/>
      <c r="Y321" s="94">
        <f t="shared" si="54"/>
        <v>264.16019999999997</v>
      </c>
      <c r="Z321" s="94">
        <f t="shared" si="59"/>
        <v>263.77514444444432</v>
      </c>
      <c r="AA321" s="94">
        <f t="shared" si="56"/>
        <v>-0.38505555555565252</v>
      </c>
      <c r="AB321" s="1">
        <f t="shared" si="57"/>
        <v>5</v>
      </c>
      <c r="AC321" s="1">
        <f t="shared" si="58"/>
        <v>-9.6263888888913129</v>
      </c>
    </row>
    <row r="322" spans="1:30" ht="14.25" customHeight="1" x14ac:dyDescent="0.45">
      <c r="A322" s="598"/>
      <c r="B322" s="219">
        <v>95</v>
      </c>
      <c r="C322" s="94"/>
      <c r="D322" s="94"/>
      <c r="E322" s="225">
        <v>264.31740000000002</v>
      </c>
      <c r="F322" s="94"/>
      <c r="G322" s="94"/>
      <c r="H322" s="94"/>
      <c r="I322" s="94"/>
      <c r="J322" s="94"/>
      <c r="K322" s="94"/>
      <c r="L322" s="94"/>
      <c r="M322" s="94"/>
      <c r="N322" s="94"/>
      <c r="O322" s="94"/>
      <c r="P322" s="94"/>
      <c r="Q322" s="94"/>
      <c r="R322" s="94"/>
      <c r="S322" s="94"/>
      <c r="T322" s="94"/>
      <c r="U322" s="94"/>
      <c r="V322" s="94"/>
      <c r="W322" s="94"/>
      <c r="X322" s="94"/>
      <c r="Y322" s="94">
        <f t="shared" si="54"/>
        <v>264.31740000000002</v>
      </c>
      <c r="Z322" s="94">
        <f t="shared" si="59"/>
        <v>263.72514444444431</v>
      </c>
      <c r="AA322" s="94">
        <f t="shared" si="56"/>
        <v>-0.59225555555570963</v>
      </c>
      <c r="AB322" s="1">
        <f t="shared" si="57"/>
        <v>5</v>
      </c>
      <c r="AC322" s="1">
        <f t="shared" si="58"/>
        <v>-14.806388888892741</v>
      </c>
      <c r="AD322" s="306">
        <f>SUM(AC303:AC322)</f>
        <v>-127.0525000001129</v>
      </c>
    </row>
    <row r="323" spans="1:30" ht="14.25" customHeight="1" x14ac:dyDescent="0.45">
      <c r="A323" s="79"/>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spans="1:30" ht="14.25" customHeight="1" x14ac:dyDescent="0.45">
      <c r="A324" s="79"/>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spans="1:30" ht="14.25" customHeight="1" x14ac:dyDescent="0.45">
      <c r="A325" s="79"/>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spans="1:30" ht="14.25" customHeight="1" x14ac:dyDescent="0.45">
      <c r="A326" s="79"/>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spans="1:30" ht="14.25" customHeight="1" x14ac:dyDescent="0.45">
      <c r="A327" s="79">
        <v>5</v>
      </c>
      <c r="B327" s="219">
        <v>0</v>
      </c>
      <c r="C327" s="226">
        <v>264.48520000000002</v>
      </c>
      <c r="D327" s="226">
        <v>264.02999999999997</v>
      </c>
      <c r="E327" s="226">
        <v>264.01589999999999</v>
      </c>
      <c r="F327" s="226">
        <v>264.03590000000003</v>
      </c>
      <c r="G327" s="226">
        <v>264.04109999999997</v>
      </c>
      <c r="H327" s="226">
        <v>264.05290000000002</v>
      </c>
      <c r="I327" s="226">
        <v>264.07859999999999</v>
      </c>
      <c r="J327" s="226">
        <v>264.07420000000002</v>
      </c>
      <c r="K327" s="226">
        <v>264.12329999999997</v>
      </c>
      <c r="L327" s="226">
        <v>264.27780000000001</v>
      </c>
      <c r="M327" s="226">
        <v>264.09109999999998</v>
      </c>
      <c r="N327" s="226">
        <v>264.08940000000001</v>
      </c>
      <c r="O327" s="226">
        <v>264.09120000000001</v>
      </c>
      <c r="P327" s="226">
        <v>264.06229999999999</v>
      </c>
      <c r="Q327" s="226">
        <v>264.07769999999999</v>
      </c>
      <c r="R327" s="226">
        <v>264.07159999999999</v>
      </c>
      <c r="S327" s="226">
        <v>264.10210000000001</v>
      </c>
      <c r="T327" s="226">
        <v>264.12490000000003</v>
      </c>
      <c r="U327" s="226">
        <v>264.05560000000003</v>
      </c>
      <c r="V327" s="226">
        <v>265.52980000000002</v>
      </c>
      <c r="W327" s="94"/>
      <c r="X327" s="94"/>
      <c r="Y327" s="94">
        <f>AVERAGE(C327:X327)</f>
        <v>264.17552999999998</v>
      </c>
      <c r="Z327" s="222">
        <f>Z260-0.2</f>
        <v>263.57514444444433</v>
      </c>
      <c r="AA327" s="94">
        <f t="shared" ref="AA327" si="60">Z327-Y327</f>
        <v>-0.60038555555564699</v>
      </c>
      <c r="AB327" s="1">
        <f>COUNTIF(C327:X327,"&gt;0")*5</f>
        <v>100</v>
      </c>
      <c r="AC327" s="1">
        <f t="shared" ref="AC327" si="61">AA327*AB327*5</f>
        <v>-300.19277777782349</v>
      </c>
      <c r="AD327" s="307">
        <f>SUM(AC327:AC327)</f>
        <v>-300.19277777782349</v>
      </c>
    </row>
    <row r="328" spans="1:30" ht="14.25" customHeight="1" x14ac:dyDescent="0.45">
      <c r="A328" s="79"/>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spans="1:30" ht="14.25" customHeight="1" x14ac:dyDescent="0.45">
      <c r="A329" s="79"/>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spans="1:30" ht="14.25" customHeight="1" x14ac:dyDescent="0.45">
      <c r="A330" s="79"/>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spans="1:30" ht="14.25" customHeight="1" x14ac:dyDescent="0.45">
      <c r="A331" s="598">
        <v>6</v>
      </c>
      <c r="B331" s="219">
        <v>0</v>
      </c>
      <c r="C331" s="308"/>
      <c r="D331" s="227">
        <v>264.23110000000003</v>
      </c>
      <c r="E331" s="94"/>
      <c r="F331" s="94"/>
      <c r="G331" s="94"/>
      <c r="H331" s="94"/>
      <c r="I331" s="94"/>
      <c r="J331" s="94"/>
      <c r="K331" s="94"/>
      <c r="L331" s="94"/>
      <c r="M331" s="94"/>
      <c r="N331" s="94"/>
      <c r="O331" s="94"/>
      <c r="P331" s="94"/>
      <c r="Q331" s="94"/>
      <c r="R331" s="94"/>
      <c r="S331" s="94"/>
      <c r="T331" s="94"/>
      <c r="U331" s="94"/>
      <c r="V331" s="94"/>
      <c r="W331" s="94"/>
      <c r="X331" s="94"/>
      <c r="Y331" s="94">
        <f t="shared" ref="Y331:Y336" si="62">AVERAGE(C331:X331)</f>
        <v>264.23110000000003</v>
      </c>
      <c r="Z331" s="94">
        <f t="shared" ref="Z331:Z334" si="63">Z332+5/100</f>
        <v>263.82514444444439</v>
      </c>
      <c r="AA331" s="94">
        <f t="shared" ref="AA331:AA336" si="64">Z331-Y331</f>
        <v>-0.40595555555563578</v>
      </c>
      <c r="AB331" s="1">
        <f t="shared" ref="AB331:AB336" si="65">COUNTIF(C331:X331,"&gt;0")*5</f>
        <v>5</v>
      </c>
      <c r="AC331" s="1">
        <f t="shared" ref="AC331:AC336" si="66">AA331*AB331*5</f>
        <v>-10.148888888890895</v>
      </c>
    </row>
    <row r="332" spans="1:30" ht="14.25" customHeight="1" x14ac:dyDescent="0.45">
      <c r="A332" s="598"/>
      <c r="B332" s="219">
        <v>5</v>
      </c>
      <c r="C332" s="308"/>
      <c r="D332" s="227">
        <v>264.31020000000001</v>
      </c>
      <c r="E332" s="94"/>
      <c r="F332" s="94"/>
      <c r="G332" s="94"/>
      <c r="H332" s="94"/>
      <c r="I332" s="94"/>
      <c r="J332" s="94"/>
      <c r="K332" s="94"/>
      <c r="L332" s="94"/>
      <c r="M332" s="94"/>
      <c r="N332" s="94"/>
      <c r="O332" s="94"/>
      <c r="P332" s="94"/>
      <c r="Q332" s="94"/>
      <c r="R332" s="94"/>
      <c r="S332" s="94"/>
      <c r="T332" s="94"/>
      <c r="U332" s="94"/>
      <c r="V332" s="94"/>
      <c r="W332" s="94"/>
      <c r="X332" s="94"/>
      <c r="Y332" s="94">
        <f t="shared" si="62"/>
        <v>264.31020000000001</v>
      </c>
      <c r="Z332" s="94">
        <f t="shared" si="63"/>
        <v>263.77514444444438</v>
      </c>
      <c r="AA332" s="94">
        <f t="shared" si="64"/>
        <v>-0.53505555555562978</v>
      </c>
      <c r="AB332" s="1">
        <f t="shared" si="65"/>
        <v>5</v>
      </c>
      <c r="AC332" s="1">
        <f t="shared" si="66"/>
        <v>-13.376388888890745</v>
      </c>
    </row>
    <row r="333" spans="1:30" ht="14.25" customHeight="1" x14ac:dyDescent="0.45">
      <c r="A333" s="598"/>
      <c r="B333" s="219">
        <v>10</v>
      </c>
      <c r="C333" s="308"/>
      <c r="D333" s="227">
        <v>265.10849999999999</v>
      </c>
      <c r="E333" s="94"/>
      <c r="F333" s="94"/>
      <c r="G333" s="94"/>
      <c r="H333" s="94"/>
      <c r="I333" s="94"/>
      <c r="J333" s="94"/>
      <c r="K333" s="94"/>
      <c r="L333" s="94"/>
      <c r="M333" s="94"/>
      <c r="N333" s="94"/>
      <c r="O333" s="94"/>
      <c r="P333" s="94"/>
      <c r="Q333" s="94"/>
      <c r="R333" s="94"/>
      <c r="S333" s="94"/>
      <c r="T333" s="94"/>
      <c r="U333" s="94"/>
      <c r="V333" s="94"/>
      <c r="W333" s="94"/>
      <c r="X333" s="94"/>
      <c r="Y333" s="94">
        <f t="shared" si="62"/>
        <v>265.10849999999999</v>
      </c>
      <c r="Z333" s="94">
        <f t="shared" si="63"/>
        <v>263.72514444444437</v>
      </c>
      <c r="AA333" s="94">
        <f t="shared" si="64"/>
        <v>-1.3833555555556245</v>
      </c>
      <c r="AB333" s="1">
        <f t="shared" si="65"/>
        <v>5</v>
      </c>
      <c r="AC333" s="1">
        <f t="shared" si="66"/>
        <v>-34.583888888890613</v>
      </c>
    </row>
    <row r="334" spans="1:30" ht="14.25" customHeight="1" x14ac:dyDescent="0.45">
      <c r="A334" s="598"/>
      <c r="B334" s="219">
        <v>15</v>
      </c>
      <c r="C334" s="308"/>
      <c r="D334" s="227">
        <v>265.19420000000002</v>
      </c>
      <c r="E334" s="94"/>
      <c r="F334" s="94"/>
      <c r="G334" s="94"/>
      <c r="H334" s="94"/>
      <c r="I334" s="94"/>
      <c r="J334" s="94"/>
      <c r="K334" s="94"/>
      <c r="L334" s="94"/>
      <c r="M334" s="94"/>
      <c r="N334" s="94"/>
      <c r="O334" s="94"/>
      <c r="P334" s="94"/>
      <c r="Q334" s="94"/>
      <c r="R334" s="94"/>
      <c r="S334" s="94"/>
      <c r="T334" s="94"/>
      <c r="U334" s="94"/>
      <c r="V334" s="94"/>
      <c r="W334" s="94"/>
      <c r="X334" s="94"/>
      <c r="Y334" s="94">
        <f t="shared" si="62"/>
        <v>265.19420000000002</v>
      </c>
      <c r="Z334" s="94">
        <f t="shared" si="63"/>
        <v>263.67514444444436</v>
      </c>
      <c r="AA334" s="94">
        <f t="shared" si="64"/>
        <v>-1.5190555555556671</v>
      </c>
      <c r="AB334" s="1">
        <f t="shared" si="65"/>
        <v>5</v>
      </c>
      <c r="AC334" s="1">
        <f t="shared" si="66"/>
        <v>-37.976388888891677</v>
      </c>
    </row>
    <row r="335" spans="1:30" ht="14.25" customHeight="1" x14ac:dyDescent="0.45">
      <c r="A335" s="598"/>
      <c r="B335" s="219">
        <v>20</v>
      </c>
      <c r="C335" s="308"/>
      <c r="D335" s="227">
        <v>265.40050000000002</v>
      </c>
      <c r="E335" s="94"/>
      <c r="F335" s="94"/>
      <c r="G335" s="94"/>
      <c r="H335" s="94"/>
      <c r="I335" s="94"/>
      <c r="J335" s="94"/>
      <c r="K335" s="94"/>
      <c r="L335" s="94"/>
      <c r="M335" s="94"/>
      <c r="N335" s="94"/>
      <c r="O335" s="94"/>
      <c r="P335" s="94"/>
      <c r="Q335" s="94"/>
      <c r="R335" s="94"/>
      <c r="S335" s="94"/>
      <c r="T335" s="94"/>
      <c r="U335" s="94"/>
      <c r="V335" s="94"/>
      <c r="W335" s="94"/>
      <c r="X335" s="94"/>
      <c r="Y335" s="94">
        <f t="shared" si="62"/>
        <v>265.40050000000002</v>
      </c>
      <c r="Z335" s="94">
        <f>Z336+5/100</f>
        <v>263.62514444444435</v>
      </c>
      <c r="AA335" s="94">
        <f t="shared" si="64"/>
        <v>-1.7753555555556773</v>
      </c>
      <c r="AB335" s="1">
        <f t="shared" si="65"/>
        <v>5</v>
      </c>
      <c r="AC335" s="1">
        <f t="shared" si="66"/>
        <v>-44.383888888891931</v>
      </c>
    </row>
    <row r="336" spans="1:30" ht="14.25" customHeight="1" x14ac:dyDescent="0.45">
      <c r="A336" s="598"/>
      <c r="B336" s="219">
        <v>25</v>
      </c>
      <c r="C336" s="308"/>
      <c r="D336" s="227">
        <v>265.5401</v>
      </c>
      <c r="E336" s="94"/>
      <c r="F336" s="94"/>
      <c r="G336" s="94"/>
      <c r="H336" s="94"/>
      <c r="I336" s="94"/>
      <c r="J336" s="94"/>
      <c r="K336" s="94"/>
      <c r="L336" s="94"/>
      <c r="M336" s="94"/>
      <c r="N336" s="94"/>
      <c r="O336" s="94"/>
      <c r="P336" s="94"/>
      <c r="Q336" s="94"/>
      <c r="R336" s="94"/>
      <c r="S336" s="94"/>
      <c r="T336" s="94"/>
      <c r="U336" s="94"/>
      <c r="V336" s="94"/>
      <c r="W336" s="94"/>
      <c r="X336" s="94"/>
      <c r="Y336" s="94">
        <f t="shared" si="62"/>
        <v>265.5401</v>
      </c>
      <c r="Z336" s="222">
        <f>Z260-0.2</f>
        <v>263.57514444444433</v>
      </c>
      <c r="AA336" s="94">
        <f t="shared" si="64"/>
        <v>-1.9649555555556617</v>
      </c>
      <c r="AB336" s="1">
        <f t="shared" si="65"/>
        <v>5</v>
      </c>
      <c r="AC336" s="1">
        <f t="shared" si="66"/>
        <v>-49.123888888891543</v>
      </c>
      <c r="AD336" s="306">
        <f>SUM(AC331:AC336)</f>
        <v>-189.5933333333474</v>
      </c>
    </row>
    <row r="341" spans="1:29" ht="14.25" customHeight="1" x14ac:dyDescent="0.45">
      <c r="A341" s="598">
        <v>7</v>
      </c>
      <c r="B341" s="219">
        <v>0</v>
      </c>
      <c r="C341" s="228">
        <v>263.77730000000003</v>
      </c>
      <c r="D341" s="228">
        <v>263.9085</v>
      </c>
      <c r="E341" s="309"/>
      <c r="F341" s="94"/>
      <c r="G341" s="94"/>
      <c r="H341" s="94"/>
      <c r="I341" s="94"/>
      <c r="J341" s="94"/>
      <c r="K341" s="94"/>
      <c r="L341" s="94"/>
      <c r="M341" s="94"/>
      <c r="N341" s="94"/>
      <c r="O341" s="94"/>
      <c r="P341" s="94"/>
      <c r="Q341" s="94"/>
      <c r="R341" s="94"/>
      <c r="S341" s="94"/>
      <c r="T341" s="94"/>
      <c r="U341" s="94"/>
      <c r="V341" s="94"/>
      <c r="W341" s="94"/>
      <c r="X341" s="94"/>
      <c r="Y341" s="94">
        <f t="shared" ref="Y341:Y357" si="67">AVERAGE(C341:X341)</f>
        <v>263.84289999999999</v>
      </c>
      <c r="Z341" s="94">
        <f t="shared" ref="Z341:Z346" si="68">Z342-5/100</f>
        <v>263.56484285714271</v>
      </c>
      <c r="AA341" s="94">
        <f t="shared" ref="AA341:AA357" si="69">Z341-Y341</f>
        <v>-0.27805714285727845</v>
      </c>
      <c r="AB341" s="1">
        <f t="shared" ref="AB341:AB357" si="70">COUNTIF(C341:X341,"&gt;0")*5</f>
        <v>10</v>
      </c>
      <c r="AC341" s="1">
        <f t="shared" ref="AC341:AC357" si="71">AA341*AB341*5</f>
        <v>-13.902857142863922</v>
      </c>
    </row>
    <row r="342" spans="1:29" ht="14.25" customHeight="1" x14ac:dyDescent="0.45">
      <c r="A342" s="598"/>
      <c r="B342" s="219">
        <v>5</v>
      </c>
      <c r="C342" s="228">
        <v>263.79480000000001</v>
      </c>
      <c r="D342" s="228">
        <v>264.28629999999998</v>
      </c>
      <c r="E342" s="309"/>
      <c r="F342" s="94"/>
      <c r="G342" s="94"/>
      <c r="H342" s="94"/>
      <c r="I342" s="94"/>
      <c r="J342" s="94"/>
      <c r="K342" s="94"/>
      <c r="L342" s="94"/>
      <c r="M342" s="94"/>
      <c r="N342" s="94"/>
      <c r="O342" s="94"/>
      <c r="P342" s="94"/>
      <c r="Q342" s="94"/>
      <c r="R342" s="94"/>
      <c r="S342" s="94"/>
      <c r="T342" s="94"/>
      <c r="U342" s="94"/>
      <c r="V342" s="94"/>
      <c r="W342" s="94"/>
      <c r="X342" s="94"/>
      <c r="Y342" s="94">
        <f t="shared" si="67"/>
        <v>264.04055</v>
      </c>
      <c r="Z342" s="94">
        <f t="shared" si="68"/>
        <v>263.61484285714272</v>
      </c>
      <c r="AA342" s="94">
        <f t="shared" si="69"/>
        <v>-0.42570714285727718</v>
      </c>
      <c r="AB342" s="1">
        <f t="shared" si="70"/>
        <v>10</v>
      </c>
      <c r="AC342" s="1">
        <f t="shared" si="71"/>
        <v>-21.285357142863859</v>
      </c>
    </row>
    <row r="343" spans="1:29" ht="14.25" customHeight="1" x14ac:dyDescent="0.45">
      <c r="A343" s="598"/>
      <c r="B343" s="219">
        <v>10</v>
      </c>
      <c r="C343" s="228">
        <v>264.86079999999998</v>
      </c>
      <c r="D343" s="228">
        <v>264.59359999999998</v>
      </c>
      <c r="E343" s="309"/>
      <c r="F343" s="94"/>
      <c r="G343" s="94"/>
      <c r="H343" s="94"/>
      <c r="I343" s="94"/>
      <c r="J343" s="94"/>
      <c r="K343" s="94"/>
      <c r="L343" s="94"/>
      <c r="M343" s="94"/>
      <c r="N343" s="94"/>
      <c r="O343" s="94"/>
      <c r="P343" s="94"/>
      <c r="Q343" s="94"/>
      <c r="R343" s="94"/>
      <c r="S343" s="94"/>
      <c r="T343" s="94"/>
      <c r="U343" s="94"/>
      <c r="V343" s="94"/>
      <c r="W343" s="94"/>
      <c r="X343" s="94"/>
      <c r="Y343" s="94">
        <f t="shared" si="67"/>
        <v>264.72719999999998</v>
      </c>
      <c r="Z343" s="94">
        <f t="shared" si="68"/>
        <v>263.66484285714273</v>
      </c>
      <c r="AA343" s="94">
        <f t="shared" si="69"/>
        <v>-1.0623571428572518</v>
      </c>
      <c r="AB343" s="1">
        <f t="shared" si="70"/>
        <v>10</v>
      </c>
      <c r="AC343" s="1">
        <f t="shared" si="71"/>
        <v>-53.11785714286259</v>
      </c>
    </row>
    <row r="344" spans="1:29" ht="14.25" customHeight="1" x14ac:dyDescent="0.45">
      <c r="A344" s="598"/>
      <c r="B344" s="219">
        <v>15</v>
      </c>
      <c r="C344" s="228">
        <v>264.07409999999999</v>
      </c>
      <c r="D344" s="228">
        <v>263.8288</v>
      </c>
      <c r="E344" s="309"/>
      <c r="F344" s="94"/>
      <c r="G344" s="94"/>
      <c r="H344" s="94"/>
      <c r="I344" s="94"/>
      <c r="J344" s="94"/>
      <c r="K344" s="94"/>
      <c r="L344" s="94"/>
      <c r="M344" s="94"/>
      <c r="N344" s="94"/>
      <c r="O344" s="94"/>
      <c r="P344" s="94"/>
      <c r="Q344" s="94"/>
      <c r="R344" s="94"/>
      <c r="S344" s="94"/>
      <c r="T344" s="94"/>
      <c r="U344" s="94"/>
      <c r="V344" s="94"/>
      <c r="W344" s="94"/>
      <c r="X344" s="94"/>
      <c r="Y344" s="94">
        <f t="shared" si="67"/>
        <v>263.95145000000002</v>
      </c>
      <c r="Z344" s="94">
        <f t="shared" si="68"/>
        <v>263.71484285714274</v>
      </c>
      <c r="AA344" s="94">
        <f t="shared" si="69"/>
        <v>-0.23660714285728091</v>
      </c>
      <c r="AB344" s="1">
        <f t="shared" si="70"/>
        <v>10</v>
      </c>
      <c r="AC344" s="1">
        <f t="shared" si="71"/>
        <v>-11.830357142864045</v>
      </c>
    </row>
    <row r="345" spans="1:29" ht="14.25" customHeight="1" x14ac:dyDescent="0.45">
      <c r="A345" s="598"/>
      <c r="B345" s="219">
        <v>20</v>
      </c>
      <c r="C345" s="228">
        <v>263.95</v>
      </c>
      <c r="D345" s="228">
        <v>263.85559999999998</v>
      </c>
      <c r="E345" s="309"/>
      <c r="F345" s="94"/>
      <c r="G345" s="94"/>
      <c r="H345" s="94"/>
      <c r="I345" s="94"/>
      <c r="J345" s="94"/>
      <c r="K345" s="94"/>
      <c r="L345" s="94"/>
      <c r="M345" s="94"/>
      <c r="N345" s="94"/>
      <c r="O345" s="94"/>
      <c r="P345" s="94"/>
      <c r="Q345" s="94"/>
      <c r="R345" s="94"/>
      <c r="S345" s="94"/>
      <c r="T345" s="94"/>
      <c r="U345" s="94"/>
      <c r="V345" s="94"/>
      <c r="W345" s="94"/>
      <c r="X345" s="94"/>
      <c r="Y345" s="94">
        <f t="shared" si="67"/>
        <v>263.90279999999996</v>
      </c>
      <c r="Z345" s="94">
        <f t="shared" si="68"/>
        <v>263.76484285714275</v>
      </c>
      <c r="AA345" s="94">
        <f t="shared" si="69"/>
        <v>-0.13795714285720351</v>
      </c>
      <c r="AB345" s="1">
        <f t="shared" si="70"/>
        <v>10</v>
      </c>
      <c r="AC345" s="1">
        <f t="shared" si="71"/>
        <v>-6.8978571428601754</v>
      </c>
    </row>
    <row r="346" spans="1:29" ht="14.25" customHeight="1" x14ac:dyDescent="0.45">
      <c r="A346" s="598"/>
      <c r="B346" s="219">
        <v>25</v>
      </c>
      <c r="C346" s="228">
        <v>264.01589999999999</v>
      </c>
      <c r="D346" s="228">
        <v>263.84980000000002</v>
      </c>
      <c r="E346" s="309"/>
      <c r="F346" s="94"/>
      <c r="G346" s="94"/>
      <c r="H346" s="94"/>
      <c r="I346" s="94"/>
      <c r="J346" s="94"/>
      <c r="K346" s="94"/>
      <c r="L346" s="94"/>
      <c r="M346" s="94"/>
      <c r="N346" s="94"/>
      <c r="O346" s="94"/>
      <c r="P346" s="94"/>
      <c r="Q346" s="94"/>
      <c r="R346" s="94"/>
      <c r="S346" s="94"/>
      <c r="T346" s="94"/>
      <c r="U346" s="94"/>
      <c r="V346" s="94"/>
      <c r="W346" s="94"/>
      <c r="X346" s="94"/>
      <c r="Y346" s="94">
        <f t="shared" si="67"/>
        <v>263.93285000000003</v>
      </c>
      <c r="Z346" s="94">
        <f t="shared" si="68"/>
        <v>263.81484285714276</v>
      </c>
      <c r="AA346" s="94">
        <f t="shared" si="69"/>
        <v>-0.11800714285726599</v>
      </c>
      <c r="AB346" s="1">
        <f t="shared" si="70"/>
        <v>10</v>
      </c>
      <c r="AC346" s="1">
        <f t="shared" si="71"/>
        <v>-5.9003571428632995</v>
      </c>
    </row>
    <row r="347" spans="1:29" ht="14.25" customHeight="1" x14ac:dyDescent="0.45">
      <c r="A347" s="598"/>
      <c r="B347" s="219">
        <v>30</v>
      </c>
      <c r="C347" s="228">
        <v>264.02159999999998</v>
      </c>
      <c r="D347" s="228">
        <v>263.84500000000003</v>
      </c>
      <c r="E347" s="309"/>
      <c r="F347" s="94"/>
      <c r="G347" s="94"/>
      <c r="H347" s="94"/>
      <c r="I347" s="94"/>
      <c r="J347" s="94"/>
      <c r="K347" s="94"/>
      <c r="L347" s="94"/>
      <c r="M347" s="94"/>
      <c r="N347" s="94"/>
      <c r="O347" s="94"/>
      <c r="P347" s="94"/>
      <c r="Q347" s="94"/>
      <c r="R347" s="94"/>
      <c r="S347" s="94"/>
      <c r="T347" s="94"/>
      <c r="U347" s="94"/>
      <c r="V347" s="94"/>
      <c r="W347" s="94"/>
      <c r="X347" s="94"/>
      <c r="Y347" s="94">
        <f t="shared" si="67"/>
        <v>263.93330000000003</v>
      </c>
      <c r="Z347" s="94">
        <f>Z348-5/100</f>
        <v>263.86484285714278</v>
      </c>
      <c r="AA347" s="94">
        <f t="shared" si="69"/>
        <v>-6.8457142857255349E-2</v>
      </c>
      <c r="AB347" s="1">
        <f t="shared" si="70"/>
        <v>10</v>
      </c>
      <c r="AC347" s="1">
        <f t="shared" si="71"/>
        <v>-3.4228571428627674</v>
      </c>
    </row>
    <row r="348" spans="1:29" ht="14.25" customHeight="1" x14ac:dyDescent="0.45">
      <c r="A348" s="598"/>
      <c r="B348" s="219">
        <v>35</v>
      </c>
      <c r="C348" s="228">
        <v>264.03059999999999</v>
      </c>
      <c r="D348" s="228">
        <v>263.8562</v>
      </c>
      <c r="E348" s="309"/>
      <c r="F348" s="94"/>
      <c r="G348" s="94"/>
      <c r="H348" s="94"/>
      <c r="I348" s="94"/>
      <c r="J348" s="94"/>
      <c r="K348" s="94"/>
      <c r="L348" s="94"/>
      <c r="M348" s="94"/>
      <c r="N348" s="94"/>
      <c r="O348" s="94"/>
      <c r="P348" s="94"/>
      <c r="Q348" s="94"/>
      <c r="R348" s="94"/>
      <c r="S348" s="94"/>
      <c r="T348" s="94"/>
      <c r="U348" s="94"/>
      <c r="V348" s="94"/>
      <c r="W348" s="94"/>
      <c r="X348" s="94"/>
      <c r="Y348" s="94">
        <f t="shared" si="67"/>
        <v>263.9434</v>
      </c>
      <c r="Z348" s="222">
        <f>Z212-0.2</f>
        <v>263.91484285714279</v>
      </c>
      <c r="AA348" s="94">
        <f t="shared" si="69"/>
        <v>-2.8557142857209783E-2</v>
      </c>
      <c r="AB348" s="1">
        <f t="shared" si="70"/>
        <v>10</v>
      </c>
      <c r="AC348" s="1">
        <f t="shared" si="71"/>
        <v>-1.4278571428604891</v>
      </c>
    </row>
    <row r="349" spans="1:29" ht="14.25" customHeight="1" x14ac:dyDescent="0.45">
      <c r="A349" s="598"/>
      <c r="B349" s="219">
        <v>40</v>
      </c>
      <c r="C349" s="228">
        <v>263.9846</v>
      </c>
      <c r="D349" s="228">
        <v>263.86259999999999</v>
      </c>
      <c r="E349" s="309"/>
      <c r="F349" s="94"/>
      <c r="G349" s="94"/>
      <c r="H349" s="94"/>
      <c r="I349" s="94"/>
      <c r="J349" s="94"/>
      <c r="K349" s="94"/>
      <c r="L349" s="94"/>
      <c r="M349" s="94"/>
      <c r="N349" s="94"/>
      <c r="O349" s="94"/>
      <c r="P349" s="94"/>
      <c r="Q349" s="94"/>
      <c r="R349" s="94"/>
      <c r="S349" s="94"/>
      <c r="T349" s="94"/>
      <c r="U349" s="94"/>
      <c r="V349" s="94"/>
      <c r="W349" s="94"/>
      <c r="X349" s="94"/>
      <c r="Y349" s="94">
        <f t="shared" si="67"/>
        <v>263.92359999999996</v>
      </c>
      <c r="Z349" s="94">
        <f>Z348+5/100</f>
        <v>263.9648428571428</v>
      </c>
      <c r="AA349" s="94">
        <f t="shared" si="69"/>
        <v>4.12428571428336E-2</v>
      </c>
      <c r="AB349" s="1">
        <f t="shared" si="70"/>
        <v>10</v>
      </c>
      <c r="AC349" s="1">
        <f t="shared" si="71"/>
        <v>2.06214285714168</v>
      </c>
    </row>
    <row r="350" spans="1:29" ht="14.25" customHeight="1" x14ac:dyDescent="0.45">
      <c r="A350" s="598"/>
      <c r="B350" s="219">
        <v>45</v>
      </c>
      <c r="C350" s="228">
        <v>263.99329999999998</v>
      </c>
      <c r="D350" s="228">
        <v>263.83339999999998</v>
      </c>
      <c r="E350" s="309"/>
      <c r="F350" s="94"/>
      <c r="G350" s="94"/>
      <c r="H350" s="94"/>
      <c r="I350" s="94"/>
      <c r="J350" s="94"/>
      <c r="K350" s="94"/>
      <c r="L350" s="94"/>
      <c r="M350" s="94"/>
      <c r="N350" s="94"/>
      <c r="O350" s="94"/>
      <c r="P350" s="94"/>
      <c r="Q350" s="94"/>
      <c r="R350" s="94"/>
      <c r="S350" s="94"/>
      <c r="T350" s="94"/>
      <c r="U350" s="94"/>
      <c r="V350" s="94"/>
      <c r="W350" s="94"/>
      <c r="X350" s="94"/>
      <c r="Y350" s="94">
        <f t="shared" si="67"/>
        <v>263.91334999999998</v>
      </c>
      <c r="Z350" s="94">
        <f>Z349+5/100</f>
        <v>264.01484285714281</v>
      </c>
      <c r="AA350" s="94">
        <f t="shared" si="69"/>
        <v>0.10149285714282996</v>
      </c>
      <c r="AB350" s="1">
        <f t="shared" si="70"/>
        <v>10</v>
      </c>
      <c r="AC350" s="1">
        <f t="shared" si="71"/>
        <v>5.0746428571414981</v>
      </c>
    </row>
    <row r="351" spans="1:29" ht="14.25" customHeight="1" x14ac:dyDescent="0.45">
      <c r="A351" s="598"/>
      <c r="B351" s="219">
        <v>50</v>
      </c>
      <c r="C351" s="228">
        <v>263.9402</v>
      </c>
      <c r="D351" s="228">
        <v>263.8125</v>
      </c>
      <c r="E351" s="309"/>
      <c r="F351" s="94"/>
      <c r="G351" s="94"/>
      <c r="H351" s="94"/>
      <c r="I351" s="94"/>
      <c r="J351" s="94"/>
      <c r="K351" s="94"/>
      <c r="L351" s="94"/>
      <c r="M351" s="94"/>
      <c r="N351" s="94"/>
      <c r="O351" s="94"/>
      <c r="P351" s="94"/>
      <c r="Q351" s="94"/>
      <c r="R351" s="94"/>
      <c r="S351" s="94"/>
      <c r="T351" s="94"/>
      <c r="U351" s="94"/>
      <c r="V351" s="94"/>
      <c r="W351" s="94"/>
      <c r="X351" s="94"/>
      <c r="Y351" s="94">
        <f t="shared" si="67"/>
        <v>263.87635</v>
      </c>
      <c r="Z351" s="94">
        <f>Z350-5/100</f>
        <v>263.9648428571428</v>
      </c>
      <c r="AA351" s="94">
        <f t="shared" si="69"/>
        <v>8.8492857142796311E-2</v>
      </c>
      <c r="AB351" s="1">
        <f t="shared" si="70"/>
        <v>10</v>
      </c>
      <c r="AC351" s="1">
        <f t="shared" si="71"/>
        <v>4.4246428571398155</v>
      </c>
    </row>
    <row r="352" spans="1:29" ht="14.25" customHeight="1" x14ac:dyDescent="0.45">
      <c r="A352" s="598"/>
      <c r="B352" s="219">
        <v>55</v>
      </c>
      <c r="C352" s="228">
        <v>263.86799999999999</v>
      </c>
      <c r="D352" s="228">
        <v>263.78969999999998</v>
      </c>
      <c r="E352" s="309"/>
      <c r="F352" s="94"/>
      <c r="G352" s="94"/>
      <c r="H352" s="94"/>
      <c r="I352" s="94"/>
      <c r="J352" s="94"/>
      <c r="K352" s="94"/>
      <c r="L352" s="94"/>
      <c r="M352" s="94"/>
      <c r="N352" s="94"/>
      <c r="O352" s="94"/>
      <c r="P352" s="94"/>
      <c r="Q352" s="94"/>
      <c r="R352" s="94"/>
      <c r="S352" s="94"/>
      <c r="T352" s="94"/>
      <c r="U352" s="94"/>
      <c r="V352" s="94"/>
      <c r="W352" s="94"/>
      <c r="X352" s="94"/>
      <c r="Y352" s="94">
        <f t="shared" si="67"/>
        <v>263.82884999999999</v>
      </c>
      <c r="Z352" s="94">
        <f t="shared" ref="Z352:Z357" si="72">Z351-5/100</f>
        <v>263.91484285714279</v>
      </c>
      <c r="AA352" s="94">
        <f t="shared" si="69"/>
        <v>8.5992857142798584E-2</v>
      </c>
      <c r="AB352" s="1">
        <f t="shared" si="70"/>
        <v>10</v>
      </c>
      <c r="AC352" s="1">
        <f t="shared" si="71"/>
        <v>4.2996428571399292</v>
      </c>
    </row>
    <row r="353" spans="1:30" ht="14.25" customHeight="1" x14ac:dyDescent="0.45">
      <c r="A353" s="598"/>
      <c r="B353" s="219">
        <v>60</v>
      </c>
      <c r="C353" s="228">
        <v>263.85599999999999</v>
      </c>
      <c r="D353" s="228">
        <v>263.80770000000001</v>
      </c>
      <c r="E353" s="309"/>
      <c r="F353" s="94"/>
      <c r="G353" s="94"/>
      <c r="H353" s="94"/>
      <c r="I353" s="94"/>
      <c r="J353" s="94"/>
      <c r="K353" s="94"/>
      <c r="L353" s="94"/>
      <c r="M353" s="94"/>
      <c r="N353" s="94"/>
      <c r="O353" s="94"/>
      <c r="P353" s="94"/>
      <c r="Q353" s="94"/>
      <c r="R353" s="94"/>
      <c r="S353" s="94"/>
      <c r="T353" s="94"/>
      <c r="U353" s="94"/>
      <c r="V353" s="94"/>
      <c r="W353" s="94"/>
      <c r="X353" s="94"/>
      <c r="Y353" s="94">
        <f t="shared" si="67"/>
        <v>263.83185000000003</v>
      </c>
      <c r="Z353" s="94">
        <f t="shared" si="72"/>
        <v>263.86484285714278</v>
      </c>
      <c r="AA353" s="94">
        <f t="shared" si="69"/>
        <v>3.2992857142744469E-2</v>
      </c>
      <c r="AB353" s="1">
        <f t="shared" si="70"/>
        <v>10</v>
      </c>
      <c r="AC353" s="1">
        <f t="shared" si="71"/>
        <v>1.6496428571372235</v>
      </c>
    </row>
    <row r="354" spans="1:30" ht="14.25" customHeight="1" x14ac:dyDescent="0.45">
      <c r="A354" s="598"/>
      <c r="B354" s="219">
        <v>65</v>
      </c>
      <c r="C354" s="228">
        <v>263.88099999999997</v>
      </c>
      <c r="D354" s="228">
        <v>263.82299999999998</v>
      </c>
      <c r="E354" s="309"/>
      <c r="F354" s="94"/>
      <c r="G354" s="94"/>
      <c r="H354" s="94"/>
      <c r="I354" s="94"/>
      <c r="J354" s="94"/>
      <c r="K354" s="94"/>
      <c r="L354" s="94"/>
      <c r="M354" s="94"/>
      <c r="N354" s="94"/>
      <c r="O354" s="94"/>
      <c r="P354" s="94"/>
      <c r="Q354" s="94"/>
      <c r="R354" s="94"/>
      <c r="S354" s="94"/>
      <c r="T354" s="94"/>
      <c r="U354" s="94"/>
      <c r="V354" s="94"/>
      <c r="W354" s="94"/>
      <c r="X354" s="94"/>
      <c r="Y354" s="94">
        <f t="shared" si="67"/>
        <v>263.85199999999998</v>
      </c>
      <c r="Z354" s="94">
        <f t="shared" si="72"/>
        <v>263.81484285714276</v>
      </c>
      <c r="AA354" s="94">
        <f t="shared" si="69"/>
        <v>-3.7157142857211056E-2</v>
      </c>
      <c r="AB354" s="1">
        <f t="shared" si="70"/>
        <v>10</v>
      </c>
      <c r="AC354" s="1">
        <f t="shared" si="71"/>
        <v>-1.8578571428605528</v>
      </c>
    </row>
    <row r="355" spans="1:30" ht="14.25" customHeight="1" x14ac:dyDescent="0.45">
      <c r="A355" s="598"/>
      <c r="B355" s="219">
        <v>70</v>
      </c>
      <c r="C355" s="228">
        <v>263.90750000000003</v>
      </c>
      <c r="D355" s="228">
        <v>263.82900000000001</v>
      </c>
      <c r="E355" s="309"/>
      <c r="F355" s="94"/>
      <c r="G355" s="94"/>
      <c r="H355" s="94"/>
      <c r="I355" s="94"/>
      <c r="J355" s="94"/>
      <c r="K355" s="94"/>
      <c r="L355" s="94"/>
      <c r="M355" s="94"/>
      <c r="N355" s="94"/>
      <c r="O355" s="94"/>
      <c r="P355" s="94"/>
      <c r="Q355" s="94"/>
      <c r="R355" s="94"/>
      <c r="S355" s="94"/>
      <c r="T355" s="94"/>
      <c r="U355" s="94"/>
      <c r="V355" s="94"/>
      <c r="W355" s="94"/>
      <c r="X355" s="94"/>
      <c r="Y355" s="94">
        <f t="shared" si="67"/>
        <v>263.86824999999999</v>
      </c>
      <c r="Z355" s="94">
        <f t="shared" si="72"/>
        <v>263.76484285714275</v>
      </c>
      <c r="AA355" s="94">
        <f t="shared" si="69"/>
        <v>-0.10340714285723607</v>
      </c>
      <c r="AB355" s="1">
        <f t="shared" si="70"/>
        <v>10</v>
      </c>
      <c r="AC355" s="1">
        <f t="shared" si="71"/>
        <v>-5.1703571428618034</v>
      </c>
    </row>
    <row r="356" spans="1:30" ht="14.25" customHeight="1" x14ac:dyDescent="0.45">
      <c r="A356" s="598"/>
      <c r="B356" s="219">
        <v>75</v>
      </c>
      <c r="C356" s="228">
        <v>263.92680000000001</v>
      </c>
      <c r="D356" s="228">
        <v>263.85309999999998</v>
      </c>
      <c r="E356" s="309"/>
      <c r="F356" s="94"/>
      <c r="G356" s="94"/>
      <c r="H356" s="94"/>
      <c r="I356" s="94"/>
      <c r="J356" s="94"/>
      <c r="K356" s="94"/>
      <c r="L356" s="94"/>
      <c r="M356" s="94"/>
      <c r="N356" s="94"/>
      <c r="O356" s="94"/>
      <c r="P356" s="94"/>
      <c r="Q356" s="94"/>
      <c r="R356" s="94"/>
      <c r="S356" s="94"/>
      <c r="T356" s="94"/>
      <c r="U356" s="94"/>
      <c r="V356" s="94"/>
      <c r="W356" s="94"/>
      <c r="X356" s="94"/>
      <c r="Y356" s="94">
        <f t="shared" si="67"/>
        <v>263.88995</v>
      </c>
      <c r="Z356" s="94">
        <f t="shared" si="72"/>
        <v>263.71484285714274</v>
      </c>
      <c r="AA356" s="94">
        <f t="shared" si="69"/>
        <v>-0.17510714285725726</v>
      </c>
      <c r="AB356" s="1">
        <f t="shared" si="70"/>
        <v>10</v>
      </c>
      <c r="AC356" s="1">
        <f t="shared" si="71"/>
        <v>-8.7553571428628629</v>
      </c>
    </row>
    <row r="357" spans="1:30" ht="14.25" customHeight="1" x14ac:dyDescent="0.45">
      <c r="A357" s="598"/>
      <c r="B357" s="219">
        <v>80</v>
      </c>
      <c r="C357" s="228">
        <v>263.96589999999998</v>
      </c>
      <c r="D357" s="228">
        <v>263.67790000000002</v>
      </c>
      <c r="E357" s="309"/>
      <c r="F357" s="94"/>
      <c r="G357" s="94"/>
      <c r="H357" s="94"/>
      <c r="I357" s="94"/>
      <c r="J357" s="94"/>
      <c r="K357" s="94"/>
      <c r="L357" s="94"/>
      <c r="M357" s="94"/>
      <c r="N357" s="94"/>
      <c r="O357" s="94"/>
      <c r="P357" s="94"/>
      <c r="Q357" s="94"/>
      <c r="R357" s="94"/>
      <c r="S357" s="94"/>
      <c r="T357" s="94"/>
      <c r="U357" s="94"/>
      <c r="V357" s="94"/>
      <c r="W357" s="94"/>
      <c r="X357" s="94"/>
      <c r="Y357" s="94">
        <f t="shared" si="67"/>
        <v>263.82190000000003</v>
      </c>
      <c r="Z357" s="94">
        <f t="shared" si="72"/>
        <v>263.66484285714273</v>
      </c>
      <c r="AA357" s="94">
        <f t="shared" si="69"/>
        <v>-0.15705714285729755</v>
      </c>
      <c r="AB357" s="1">
        <f t="shared" si="70"/>
        <v>10</v>
      </c>
      <c r="AC357" s="1">
        <f t="shared" si="71"/>
        <v>-7.8528571428648775</v>
      </c>
      <c r="AD357" s="306">
        <f>SUM(AC341:AC357)</f>
        <v>-123.9110714286511</v>
      </c>
    </row>
    <row r="358" spans="1:30" ht="14.25" customHeight="1" x14ac:dyDescent="0.45">
      <c r="A358" s="79"/>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spans="1:30" ht="14.25" customHeight="1" x14ac:dyDescent="0.45">
      <c r="A359" s="79"/>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spans="1:30" ht="14.25" customHeight="1" x14ac:dyDescent="0.45">
      <c r="A360" s="79"/>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spans="1:30" ht="14.25" customHeight="1" x14ac:dyDescent="0.45">
      <c r="A361" s="598">
        <v>8</v>
      </c>
      <c r="B361" s="219">
        <v>0</v>
      </c>
      <c r="C361" s="229">
        <v>264.04239999999999</v>
      </c>
      <c r="D361" s="229">
        <v>264.17529999999999</v>
      </c>
      <c r="E361" s="94"/>
      <c r="F361" s="94"/>
      <c r="G361" s="94"/>
      <c r="H361" s="94"/>
      <c r="I361" s="94"/>
      <c r="J361" s="94"/>
      <c r="K361" s="94"/>
      <c r="L361" s="94"/>
      <c r="M361" s="94"/>
      <c r="N361" s="94"/>
      <c r="O361" s="94"/>
      <c r="P361" s="94"/>
      <c r="Q361" s="94"/>
      <c r="R361" s="94"/>
      <c r="S361" s="94"/>
      <c r="T361" s="94"/>
      <c r="U361" s="94"/>
      <c r="V361" s="94"/>
      <c r="W361" s="94"/>
      <c r="X361" s="94"/>
      <c r="Y361" s="94">
        <f t="shared" ref="Y361:Y373" si="73">AVERAGE(C361:X361)</f>
        <v>264.10884999999996</v>
      </c>
      <c r="Z361" s="94">
        <f t="shared" ref="Z361:Z363" si="74">Z362-5/100</f>
        <v>263.82480499999997</v>
      </c>
      <c r="AA361" s="94">
        <f t="shared" ref="AA361:AA373" si="75">Z361-Y361</f>
        <v>-0.28404499999999189</v>
      </c>
      <c r="AB361" s="1">
        <f t="shared" ref="AB361:AB373" si="76">COUNTIF(C361:X361,"&gt;0")*5</f>
        <v>10</v>
      </c>
      <c r="AC361" s="1">
        <f t="shared" ref="AC361:AC373" si="77">AA361*AB361*5</f>
        <v>-14.202249999999594</v>
      </c>
    </row>
    <row r="362" spans="1:30" ht="14.25" customHeight="1" x14ac:dyDescent="0.45">
      <c r="A362" s="598"/>
      <c r="B362" s="219">
        <v>5</v>
      </c>
      <c r="C362" s="229">
        <v>264.07119999999998</v>
      </c>
      <c r="D362" s="229">
        <v>263.9144</v>
      </c>
      <c r="E362" s="229">
        <v>263.94290000000001</v>
      </c>
      <c r="F362" s="94"/>
      <c r="G362" s="94"/>
      <c r="H362" s="94"/>
      <c r="I362" s="94"/>
      <c r="J362" s="94"/>
      <c r="K362" s="94"/>
      <c r="L362" s="94"/>
      <c r="M362" s="94"/>
      <c r="N362" s="94"/>
      <c r="O362" s="94"/>
      <c r="P362" s="94"/>
      <c r="Q362" s="94"/>
      <c r="R362" s="94"/>
      <c r="S362" s="94"/>
      <c r="T362" s="94"/>
      <c r="U362" s="94"/>
      <c r="V362" s="94"/>
      <c r="W362" s="94"/>
      <c r="X362" s="94"/>
      <c r="Y362" s="94">
        <f t="shared" si="73"/>
        <v>263.97616666666664</v>
      </c>
      <c r="Z362" s="94">
        <f t="shared" si="74"/>
        <v>263.87480499999998</v>
      </c>
      <c r="AA362" s="94">
        <f t="shared" si="75"/>
        <v>-0.10136166666666213</v>
      </c>
      <c r="AB362" s="1">
        <f t="shared" si="76"/>
        <v>15</v>
      </c>
      <c r="AC362" s="1">
        <f t="shared" si="77"/>
        <v>-7.6021249999996598</v>
      </c>
    </row>
    <row r="363" spans="1:30" ht="14.25" customHeight="1" x14ac:dyDescent="0.45">
      <c r="A363" s="598"/>
      <c r="B363" s="219">
        <v>10</v>
      </c>
      <c r="C363" s="229">
        <v>263.92669999999998</v>
      </c>
      <c r="D363" s="229">
        <v>263.85840000000002</v>
      </c>
      <c r="E363" s="229">
        <v>263.92840000000001</v>
      </c>
      <c r="F363" s="94"/>
      <c r="G363" s="94"/>
      <c r="H363" s="94"/>
      <c r="I363" s="94"/>
      <c r="J363" s="94"/>
      <c r="K363" s="94"/>
      <c r="L363" s="94"/>
      <c r="M363" s="94"/>
      <c r="N363" s="94"/>
      <c r="O363" s="94"/>
      <c r="P363" s="94"/>
      <c r="Q363" s="94"/>
      <c r="R363" s="94"/>
      <c r="S363" s="94"/>
      <c r="T363" s="94"/>
      <c r="U363" s="94"/>
      <c r="V363" s="94"/>
      <c r="W363" s="94"/>
      <c r="X363" s="94"/>
      <c r="Y363" s="94">
        <f t="shared" si="73"/>
        <v>263.90450000000004</v>
      </c>
      <c r="Z363" s="94">
        <f t="shared" si="74"/>
        <v>263.92480499999999</v>
      </c>
      <c r="AA363" s="94">
        <f t="shared" si="75"/>
        <v>2.0304999999950724E-2</v>
      </c>
      <c r="AB363" s="1">
        <f t="shared" si="76"/>
        <v>15</v>
      </c>
      <c r="AC363" s="1">
        <f t="shared" si="77"/>
        <v>1.5228749999963043</v>
      </c>
    </row>
    <row r="364" spans="1:30" ht="14.25" customHeight="1" x14ac:dyDescent="0.45">
      <c r="A364" s="598"/>
      <c r="B364" s="219">
        <v>15</v>
      </c>
      <c r="C364" s="229">
        <v>263.94830000000002</v>
      </c>
      <c r="D364" s="229">
        <v>263.84800000000001</v>
      </c>
      <c r="E364" s="229">
        <v>263.88690000000003</v>
      </c>
      <c r="F364" s="310"/>
      <c r="G364" s="94"/>
      <c r="H364" s="94"/>
      <c r="I364" s="94"/>
      <c r="J364" s="94"/>
      <c r="K364" s="94"/>
      <c r="L364" s="94"/>
      <c r="M364" s="94"/>
      <c r="N364" s="94"/>
      <c r="O364" s="94"/>
      <c r="P364" s="94"/>
      <c r="Q364" s="94"/>
      <c r="R364" s="94"/>
      <c r="S364" s="94"/>
      <c r="T364" s="94"/>
      <c r="U364" s="94"/>
      <c r="V364" s="94"/>
      <c r="W364" s="94"/>
      <c r="X364" s="94"/>
      <c r="Y364" s="94">
        <f t="shared" si="73"/>
        <v>263.89439999999996</v>
      </c>
      <c r="Z364" s="94">
        <f>Z365-5/100</f>
        <v>263.974805</v>
      </c>
      <c r="AA364" s="94">
        <f t="shared" si="75"/>
        <v>8.0405000000041582E-2</v>
      </c>
      <c r="AB364" s="1">
        <f t="shared" si="76"/>
        <v>15</v>
      </c>
      <c r="AC364" s="1">
        <f t="shared" si="77"/>
        <v>6.0303750000031187</v>
      </c>
    </row>
    <row r="365" spans="1:30" ht="14.25" customHeight="1" x14ac:dyDescent="0.45">
      <c r="A365" s="598"/>
      <c r="B365" s="219">
        <v>20</v>
      </c>
      <c r="C365" s="229">
        <v>263.90809999999999</v>
      </c>
      <c r="D365" s="229">
        <v>263.89870000000002</v>
      </c>
      <c r="E365" s="229">
        <v>263.90949999999998</v>
      </c>
      <c r="F365" s="310"/>
      <c r="G365" s="94"/>
      <c r="H365" s="94"/>
      <c r="I365" s="94"/>
      <c r="J365" s="94"/>
      <c r="K365" s="94"/>
      <c r="L365" s="94"/>
      <c r="M365" s="94"/>
      <c r="N365" s="94"/>
      <c r="O365" s="94"/>
      <c r="P365" s="94"/>
      <c r="Q365" s="94"/>
      <c r="R365" s="94"/>
      <c r="S365" s="94"/>
      <c r="T365" s="94"/>
      <c r="U365" s="94"/>
      <c r="V365" s="94"/>
      <c r="W365" s="94"/>
      <c r="X365" s="94"/>
      <c r="Y365" s="94">
        <f t="shared" si="73"/>
        <v>263.90543333333335</v>
      </c>
      <c r="Z365" s="222">
        <f>Z230-0.2</f>
        <v>264.02480500000001</v>
      </c>
      <c r="AA365" s="94">
        <f t="shared" si="75"/>
        <v>0.11937166666666599</v>
      </c>
      <c r="AB365" s="1">
        <f t="shared" si="76"/>
        <v>15</v>
      </c>
      <c r="AC365" s="1">
        <f t="shared" si="77"/>
        <v>8.9528749999999491</v>
      </c>
    </row>
    <row r="366" spans="1:30" ht="14.25" customHeight="1" x14ac:dyDescent="0.45">
      <c r="A366" s="598"/>
      <c r="B366" s="219">
        <v>25</v>
      </c>
      <c r="C366" s="229">
        <v>263.83479999999997</v>
      </c>
      <c r="D366" s="229">
        <v>263.89920000000001</v>
      </c>
      <c r="E366" s="229">
        <v>263.87419999999997</v>
      </c>
      <c r="F366" s="310"/>
      <c r="G366" s="94"/>
      <c r="H366" s="94"/>
      <c r="I366" s="94"/>
      <c r="J366" s="94"/>
      <c r="K366" s="94"/>
      <c r="L366" s="94"/>
      <c r="M366" s="94"/>
      <c r="N366" s="94"/>
      <c r="O366" s="94"/>
      <c r="P366" s="94"/>
      <c r="Q366" s="94"/>
      <c r="R366" s="94"/>
      <c r="S366" s="94"/>
      <c r="T366" s="94"/>
      <c r="U366" s="94"/>
      <c r="V366" s="94"/>
      <c r="W366" s="94"/>
      <c r="X366" s="94"/>
      <c r="Y366" s="94">
        <f t="shared" si="73"/>
        <v>263.86939999999998</v>
      </c>
      <c r="Z366" s="94">
        <f>Z365-5/100</f>
        <v>263.974805</v>
      </c>
      <c r="AA366" s="94">
        <f t="shared" si="75"/>
        <v>0.10540500000001884</v>
      </c>
      <c r="AB366" s="1">
        <f t="shared" si="76"/>
        <v>15</v>
      </c>
      <c r="AC366" s="1">
        <f t="shared" si="77"/>
        <v>7.9053750000014134</v>
      </c>
    </row>
    <row r="367" spans="1:30" ht="14.25" customHeight="1" x14ac:dyDescent="0.45">
      <c r="A367" s="598"/>
      <c r="B367" s="219">
        <v>30</v>
      </c>
      <c r="C367" s="229">
        <v>263.7962</v>
      </c>
      <c r="D367" s="229">
        <v>263.90219999999999</v>
      </c>
      <c r="E367" s="229">
        <v>263.88549999999998</v>
      </c>
      <c r="F367" s="310"/>
      <c r="G367" s="310"/>
      <c r="H367" s="94"/>
      <c r="I367" s="94"/>
      <c r="J367" s="94"/>
      <c r="K367" s="94"/>
      <c r="L367" s="94"/>
      <c r="M367" s="94"/>
      <c r="N367" s="94"/>
      <c r="O367" s="94"/>
      <c r="P367" s="94"/>
      <c r="Q367" s="94"/>
      <c r="R367" s="94"/>
      <c r="S367" s="94"/>
      <c r="T367" s="94"/>
      <c r="U367" s="94"/>
      <c r="V367" s="94"/>
      <c r="W367" s="94"/>
      <c r="X367" s="94"/>
      <c r="Y367" s="94">
        <f t="shared" si="73"/>
        <v>263.86129999999997</v>
      </c>
      <c r="Z367" s="94">
        <f t="shared" ref="Z367:Z373" si="78">Z366-5/100</f>
        <v>263.92480499999999</v>
      </c>
      <c r="AA367" s="94">
        <f t="shared" si="75"/>
        <v>6.3505000000020573E-2</v>
      </c>
      <c r="AB367" s="1">
        <f t="shared" si="76"/>
        <v>15</v>
      </c>
      <c r="AC367" s="1">
        <f t="shared" si="77"/>
        <v>4.762875000001543</v>
      </c>
    </row>
    <row r="368" spans="1:30" ht="14.25" customHeight="1" x14ac:dyDescent="0.45">
      <c r="A368" s="598"/>
      <c r="B368" s="219">
        <v>35</v>
      </c>
      <c r="C368" s="229">
        <v>263.77949999999998</v>
      </c>
      <c r="D368" s="229">
        <v>263.89370000000002</v>
      </c>
      <c r="E368" s="229">
        <v>263.88400000000001</v>
      </c>
      <c r="F368" s="310"/>
      <c r="G368" s="310"/>
      <c r="H368" s="94"/>
      <c r="I368" s="94"/>
      <c r="J368" s="94"/>
      <c r="K368" s="94"/>
      <c r="L368" s="94"/>
      <c r="M368" s="94"/>
      <c r="N368" s="94"/>
      <c r="O368" s="94"/>
      <c r="P368" s="94"/>
      <c r="Q368" s="94"/>
      <c r="R368" s="94"/>
      <c r="S368" s="94"/>
      <c r="T368" s="94"/>
      <c r="U368" s="94"/>
      <c r="V368" s="94"/>
      <c r="W368" s="94"/>
      <c r="X368" s="94"/>
      <c r="Y368" s="94">
        <f t="shared" si="73"/>
        <v>263.85239999999999</v>
      </c>
      <c r="Z368" s="94">
        <f t="shared" si="78"/>
        <v>263.87480499999998</v>
      </c>
      <c r="AA368" s="94">
        <f t="shared" si="75"/>
        <v>2.2404999999992015E-2</v>
      </c>
      <c r="AB368" s="1">
        <f t="shared" si="76"/>
        <v>15</v>
      </c>
      <c r="AC368" s="1">
        <f t="shared" si="77"/>
        <v>1.6803749999994011</v>
      </c>
    </row>
    <row r="369" spans="1:30" ht="14.25" customHeight="1" x14ac:dyDescent="0.45">
      <c r="A369" s="598"/>
      <c r="B369" s="219">
        <v>40</v>
      </c>
      <c r="C369" s="229">
        <v>263.76979999999998</v>
      </c>
      <c r="D369" s="229">
        <v>263.89850000000001</v>
      </c>
      <c r="E369" s="229">
        <v>263.87939999999998</v>
      </c>
      <c r="F369" s="310"/>
      <c r="G369" s="310"/>
      <c r="H369" s="310"/>
      <c r="I369" s="310"/>
      <c r="J369" s="310"/>
      <c r="K369" s="310"/>
      <c r="L369" s="94"/>
      <c r="M369" s="94"/>
      <c r="N369" s="94"/>
      <c r="O369" s="94"/>
      <c r="P369" s="94"/>
      <c r="Q369" s="94"/>
      <c r="R369" s="94"/>
      <c r="S369" s="94"/>
      <c r="T369" s="94"/>
      <c r="U369" s="94"/>
      <c r="V369" s="94"/>
      <c r="W369" s="94"/>
      <c r="X369" s="94"/>
      <c r="Y369" s="94">
        <f t="shared" si="73"/>
        <v>263.84923333333336</v>
      </c>
      <c r="Z369" s="94">
        <f t="shared" si="78"/>
        <v>263.82480499999997</v>
      </c>
      <c r="AA369" s="94">
        <f t="shared" si="75"/>
        <v>-2.4428333333389673E-2</v>
      </c>
      <c r="AB369" s="1">
        <f t="shared" si="76"/>
        <v>15</v>
      </c>
      <c r="AC369" s="1">
        <f t="shared" si="77"/>
        <v>-1.8321250000042255</v>
      </c>
    </row>
    <row r="370" spans="1:30" ht="14.25" customHeight="1" x14ac:dyDescent="0.45">
      <c r="A370" s="598"/>
      <c r="B370" s="219">
        <v>45</v>
      </c>
      <c r="C370" s="229">
        <v>263.77980000000002</v>
      </c>
      <c r="D370" s="229">
        <v>263.89080000000001</v>
      </c>
      <c r="E370" s="229">
        <v>263.82659999999998</v>
      </c>
      <c r="F370" s="310"/>
      <c r="G370" s="310"/>
      <c r="H370" s="310"/>
      <c r="I370" s="310"/>
      <c r="J370" s="310"/>
      <c r="K370" s="310"/>
      <c r="L370" s="310"/>
      <c r="M370" s="310"/>
      <c r="N370" s="310"/>
      <c r="O370" s="310"/>
      <c r="P370" s="310"/>
      <c r="Q370" s="94"/>
      <c r="R370" s="94"/>
      <c r="S370" s="94"/>
      <c r="T370" s="94"/>
      <c r="U370" s="94"/>
      <c r="V370" s="94"/>
      <c r="W370" s="94"/>
      <c r="X370" s="94"/>
      <c r="Y370" s="94">
        <f t="shared" si="73"/>
        <v>263.83240000000001</v>
      </c>
      <c r="Z370" s="94">
        <f t="shared" si="78"/>
        <v>263.77480499999996</v>
      </c>
      <c r="AA370" s="94">
        <f t="shared" si="75"/>
        <v>-5.7595000000048913E-2</v>
      </c>
      <c r="AB370" s="1">
        <f t="shared" si="76"/>
        <v>15</v>
      </c>
      <c r="AC370" s="1">
        <f t="shared" si="77"/>
        <v>-4.3196250000036684</v>
      </c>
    </row>
    <row r="371" spans="1:30" ht="14.25" customHeight="1" x14ac:dyDescent="0.45">
      <c r="A371" s="598"/>
      <c r="B371" s="219">
        <v>50</v>
      </c>
      <c r="C371" s="229">
        <v>263.75749999999999</v>
      </c>
      <c r="D371" s="229">
        <v>263.84469999999999</v>
      </c>
      <c r="E371" s="229">
        <v>263.81150000000002</v>
      </c>
      <c r="F371" s="310"/>
      <c r="G371" s="310"/>
      <c r="H371" s="310"/>
      <c r="I371" s="310"/>
      <c r="J371" s="310"/>
      <c r="K371" s="310"/>
      <c r="L371" s="310"/>
      <c r="M371" s="310"/>
      <c r="N371" s="310"/>
      <c r="O371" s="310"/>
      <c r="P371" s="310"/>
      <c r="Q371" s="310"/>
      <c r="R371" s="310"/>
      <c r="S371" s="310"/>
      <c r="T371" s="310"/>
      <c r="U371" s="310"/>
      <c r="V371" s="310"/>
      <c r="W371" s="310"/>
      <c r="X371" s="310"/>
      <c r="Y371" s="94">
        <f t="shared" si="73"/>
        <v>263.80456666666669</v>
      </c>
      <c r="Z371" s="94">
        <f t="shared" si="78"/>
        <v>263.72480499999995</v>
      </c>
      <c r="AA371" s="94">
        <f t="shared" si="75"/>
        <v>-7.9761666666740894E-2</v>
      </c>
      <c r="AB371" s="1">
        <f t="shared" si="76"/>
        <v>15</v>
      </c>
      <c r="AC371" s="1">
        <f t="shared" si="77"/>
        <v>-5.982125000005567</v>
      </c>
    </row>
    <row r="372" spans="1:30" ht="14.25" customHeight="1" x14ac:dyDescent="0.45">
      <c r="A372" s="598"/>
      <c r="B372" s="219">
        <v>55</v>
      </c>
      <c r="C372" s="229">
        <v>263.8039</v>
      </c>
      <c r="D372" s="229">
        <v>263.8716</v>
      </c>
      <c r="E372" s="229">
        <v>263.81970000000001</v>
      </c>
      <c r="F372" s="310"/>
      <c r="G372" s="310"/>
      <c r="H372" s="310"/>
      <c r="I372" s="310"/>
      <c r="J372" s="310"/>
      <c r="K372" s="310"/>
      <c r="L372" s="310"/>
      <c r="M372" s="310"/>
      <c r="N372" s="310"/>
      <c r="O372" s="310"/>
      <c r="P372" s="310"/>
      <c r="Q372" s="310"/>
      <c r="R372" s="310"/>
      <c r="S372" s="310"/>
      <c r="T372" s="310"/>
      <c r="U372" s="310"/>
      <c r="V372" s="310"/>
      <c r="W372" s="310"/>
      <c r="X372" s="310"/>
      <c r="Y372" s="94">
        <f t="shared" si="73"/>
        <v>263.83173333333337</v>
      </c>
      <c r="Z372" s="94">
        <f t="shared" si="78"/>
        <v>263.67480499999994</v>
      </c>
      <c r="AA372" s="94">
        <f t="shared" si="75"/>
        <v>-0.1569283333334397</v>
      </c>
      <c r="AB372" s="1">
        <f t="shared" si="76"/>
        <v>15</v>
      </c>
      <c r="AC372" s="1">
        <f t="shared" si="77"/>
        <v>-11.769625000007977</v>
      </c>
    </row>
    <row r="373" spans="1:30" ht="14.25" customHeight="1" x14ac:dyDescent="0.45">
      <c r="A373" s="598"/>
      <c r="B373" s="219">
        <v>60</v>
      </c>
      <c r="C373" s="229">
        <v>263.81389999999999</v>
      </c>
      <c r="D373" s="229">
        <v>263.83679999999998</v>
      </c>
      <c r="E373" s="229">
        <v>263.85469999999998</v>
      </c>
      <c r="F373" s="310"/>
      <c r="G373" s="310"/>
      <c r="H373" s="310"/>
      <c r="I373" s="310"/>
      <c r="J373" s="310"/>
      <c r="K373" s="310"/>
      <c r="L373" s="310"/>
      <c r="M373" s="310"/>
      <c r="N373" s="310"/>
      <c r="O373" s="310"/>
      <c r="P373" s="310"/>
      <c r="Q373" s="310"/>
      <c r="R373" s="310"/>
      <c r="S373" s="310"/>
      <c r="T373" s="310"/>
      <c r="U373" s="310"/>
      <c r="V373" s="310"/>
      <c r="W373" s="310"/>
      <c r="X373" s="310"/>
      <c r="Y373" s="94">
        <f t="shared" si="73"/>
        <v>263.83513333333332</v>
      </c>
      <c r="Z373" s="94">
        <f t="shared" si="78"/>
        <v>263.62480499999992</v>
      </c>
      <c r="AA373" s="94">
        <f t="shared" si="75"/>
        <v>-0.2103283333333934</v>
      </c>
      <c r="AB373" s="1">
        <f t="shared" si="76"/>
        <v>15</v>
      </c>
      <c r="AC373" s="1">
        <f t="shared" si="77"/>
        <v>-15.774625000004505</v>
      </c>
      <c r="AD373" s="306">
        <f>SUM(AC361:AC373)</f>
        <v>-30.627750000023468</v>
      </c>
    </row>
    <row r="374" spans="1:30" ht="14.25" customHeight="1" x14ac:dyDescent="0.45">
      <c r="A374" s="79"/>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spans="1:30" ht="14.25" customHeight="1" x14ac:dyDescent="0.45">
      <c r="A375" s="79"/>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spans="1:30" ht="14.25" customHeight="1" x14ac:dyDescent="0.45">
      <c r="A376" s="79"/>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spans="1:30" ht="14.25" customHeight="1" x14ac:dyDescent="0.45">
      <c r="A377" s="79"/>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spans="1:30" ht="14.25" customHeight="1" x14ac:dyDescent="0.45">
      <c r="A378" s="598">
        <v>9</v>
      </c>
      <c r="B378" s="219">
        <v>0</v>
      </c>
      <c r="C378" s="230">
        <v>263.8279</v>
      </c>
      <c r="D378" s="230">
        <v>263.8895</v>
      </c>
      <c r="E378" s="94"/>
      <c r="F378" s="94"/>
      <c r="G378" s="94"/>
      <c r="H378" s="94"/>
      <c r="I378" s="94"/>
      <c r="J378" s="94"/>
      <c r="K378" s="94"/>
      <c r="L378" s="94"/>
      <c r="M378" s="94"/>
      <c r="N378" s="94"/>
      <c r="O378" s="94"/>
      <c r="P378" s="94"/>
      <c r="Q378" s="94"/>
      <c r="R378" s="94"/>
      <c r="S378" s="94"/>
      <c r="T378" s="94"/>
      <c r="U378" s="94"/>
      <c r="V378" s="94"/>
      <c r="W378" s="94"/>
      <c r="X378" s="94"/>
      <c r="Y378" s="94">
        <f>AVERAGE(C378:X378)</f>
        <v>263.8587</v>
      </c>
      <c r="Z378" s="222">
        <f>Z221</f>
        <v>263.7748049999999</v>
      </c>
      <c r="AA378" s="94">
        <f>Z378-Y378</f>
        <v>-8.3895000000097752E-2</v>
      </c>
      <c r="AB378" s="1">
        <f>COUNTIF(C378:X378,"&gt;0")*5</f>
        <v>10</v>
      </c>
      <c r="AC378" s="1">
        <f t="shared" ref="AC378:AC382" si="79">AA378*AB378*5</f>
        <v>-4.1947500000048876</v>
      </c>
    </row>
    <row r="379" spans="1:30" ht="14.25" customHeight="1" x14ac:dyDescent="0.45">
      <c r="A379" s="598"/>
      <c r="B379" s="219">
        <v>5</v>
      </c>
      <c r="C379" s="230">
        <v>263.8365</v>
      </c>
      <c r="D379" s="230">
        <v>263.80360000000002</v>
      </c>
      <c r="E379" s="230">
        <v>264.00170000000003</v>
      </c>
      <c r="F379" s="94"/>
      <c r="G379" s="94"/>
      <c r="H379" s="94"/>
      <c r="I379" s="94"/>
      <c r="J379" s="94"/>
      <c r="K379" s="94"/>
      <c r="L379" s="94"/>
      <c r="M379" s="94"/>
      <c r="N379" s="94"/>
      <c r="O379" s="94"/>
      <c r="P379" s="94"/>
      <c r="Q379" s="94"/>
      <c r="R379" s="94"/>
      <c r="S379" s="94"/>
      <c r="T379" s="94"/>
      <c r="U379" s="94"/>
      <c r="V379" s="94"/>
      <c r="W379" s="94"/>
      <c r="X379" s="94"/>
      <c r="Y379" s="94">
        <f>AVERAGE(C379:X379)</f>
        <v>263.88060000000002</v>
      </c>
      <c r="Z379" s="94">
        <f>Z378+5/100</f>
        <v>263.82480499999991</v>
      </c>
      <c r="AA379" s="94">
        <f t="shared" ref="AA379:AA382" si="80">Z379-Y379</f>
        <v>-5.5795000000102846E-2</v>
      </c>
      <c r="AB379" s="1">
        <f>COUNTIF(C379:X379,"&gt;0")*5</f>
        <v>15</v>
      </c>
      <c r="AC379" s="1">
        <f t="shared" si="79"/>
        <v>-4.1846250000077134</v>
      </c>
    </row>
    <row r="380" spans="1:30" ht="14.25" customHeight="1" x14ac:dyDescent="0.45">
      <c r="A380" s="598"/>
      <c r="B380" s="219">
        <v>10</v>
      </c>
      <c r="C380" s="230">
        <v>263.81130000000002</v>
      </c>
      <c r="D380" s="230">
        <v>263.81060000000002</v>
      </c>
      <c r="E380" s="230">
        <v>263.76339999999999</v>
      </c>
      <c r="F380" s="94"/>
      <c r="G380" s="94"/>
      <c r="H380" s="94"/>
      <c r="I380" s="94"/>
      <c r="J380" s="94"/>
      <c r="K380" s="94"/>
      <c r="L380" s="94"/>
      <c r="M380" s="94"/>
      <c r="N380" s="94"/>
      <c r="O380" s="94"/>
      <c r="P380" s="94"/>
      <c r="Q380" s="94"/>
      <c r="R380" s="94"/>
      <c r="S380" s="94"/>
      <c r="T380" s="94"/>
      <c r="U380" s="94"/>
      <c r="V380" s="94"/>
      <c r="W380" s="94"/>
      <c r="X380" s="94"/>
      <c r="Y380" s="94">
        <f>AVERAGE(C380:X380)</f>
        <v>263.79510000000005</v>
      </c>
      <c r="Z380" s="94">
        <f t="shared" ref="Z380:Z382" si="81">Z379+5/100</f>
        <v>263.87480499999992</v>
      </c>
      <c r="AA380" s="94">
        <f t="shared" si="80"/>
        <v>7.9704999999876236E-2</v>
      </c>
      <c r="AB380" s="1">
        <f>COUNTIF(C380:X380,"&gt;0")*5</f>
        <v>15</v>
      </c>
      <c r="AC380" s="1">
        <f t="shared" si="79"/>
        <v>5.9778749999907177</v>
      </c>
    </row>
    <row r="381" spans="1:30" ht="14.25" customHeight="1" x14ac:dyDescent="0.45">
      <c r="A381" s="598"/>
      <c r="B381" s="219">
        <v>15</v>
      </c>
      <c r="C381" s="230">
        <v>263.80470000000003</v>
      </c>
      <c r="D381" s="230">
        <v>263.75850000000003</v>
      </c>
      <c r="E381" s="230">
        <v>263.73439999999999</v>
      </c>
      <c r="F381" s="230">
        <v>264.26679999999999</v>
      </c>
      <c r="G381" s="94"/>
      <c r="H381" s="94"/>
      <c r="I381" s="94"/>
      <c r="J381" s="94"/>
      <c r="K381" s="94"/>
      <c r="L381" s="94"/>
      <c r="M381" s="94"/>
      <c r="N381" s="94"/>
      <c r="O381" s="94"/>
      <c r="P381" s="94"/>
      <c r="Q381" s="94"/>
      <c r="R381" s="94"/>
      <c r="S381" s="94"/>
      <c r="T381" s="94"/>
      <c r="U381" s="94"/>
      <c r="V381" s="94"/>
      <c r="W381" s="94"/>
      <c r="X381" s="94"/>
      <c r="Y381" s="94">
        <f>AVERAGE(C381:X381)</f>
        <v>263.89110000000005</v>
      </c>
      <c r="Z381" s="94">
        <f t="shared" si="81"/>
        <v>263.92480499999994</v>
      </c>
      <c r="AA381" s="94">
        <f t="shared" si="80"/>
        <v>3.3704999999883967E-2</v>
      </c>
      <c r="AB381" s="1">
        <f>COUNTIF(C381:X381,"&gt;0")*5</f>
        <v>20</v>
      </c>
      <c r="AC381" s="1">
        <f t="shared" si="79"/>
        <v>3.3704999999883967</v>
      </c>
    </row>
    <row r="382" spans="1:30" ht="14.25" customHeight="1" x14ac:dyDescent="0.45">
      <c r="A382" s="598"/>
      <c r="B382" s="219">
        <v>20</v>
      </c>
      <c r="C382" s="230">
        <v>263.76319999999998</v>
      </c>
      <c r="D382" s="230">
        <v>263.74130000000002</v>
      </c>
      <c r="E382" s="230">
        <v>263.74149999999997</v>
      </c>
      <c r="F382" s="229"/>
      <c r="G382" s="94"/>
      <c r="H382" s="94"/>
      <c r="I382" s="94"/>
      <c r="J382" s="94"/>
      <c r="K382" s="94"/>
      <c r="L382" s="94"/>
      <c r="M382" s="94"/>
      <c r="N382" s="94"/>
      <c r="O382" s="94"/>
      <c r="P382" s="94"/>
      <c r="Q382" s="94"/>
      <c r="R382" s="94"/>
      <c r="S382" s="94"/>
      <c r="T382" s="94"/>
      <c r="U382" s="94"/>
      <c r="V382" s="94"/>
      <c r="W382" s="94"/>
      <c r="X382" s="94"/>
      <c r="Y382" s="94">
        <f>AVERAGE(C382:X382)</f>
        <v>263.74866666666668</v>
      </c>
      <c r="Z382" s="94">
        <f t="shared" si="81"/>
        <v>263.97480499999995</v>
      </c>
      <c r="AA382" s="94">
        <f t="shared" si="80"/>
        <v>0.22613833333326738</v>
      </c>
      <c r="AB382" s="1">
        <f>COUNTIF(C382:X382,"&gt;0")*5</f>
        <v>15</v>
      </c>
      <c r="AC382" s="1">
        <f t="shared" si="79"/>
        <v>16.960374999995054</v>
      </c>
      <c r="AD382" s="306">
        <f>SUM(AC378:AC382)</f>
        <v>17.929374999961567</v>
      </c>
    </row>
    <row r="386" spans="1:30" ht="14.25" customHeight="1" x14ac:dyDescent="0.45">
      <c r="A386" s="598">
        <v>10</v>
      </c>
      <c r="B386" s="219">
        <v>0</v>
      </c>
      <c r="C386" s="311"/>
      <c r="D386" s="311"/>
      <c r="E386" s="311"/>
      <c r="F386" s="311"/>
      <c r="G386" s="311"/>
      <c r="H386" s="311"/>
      <c r="I386" s="311"/>
      <c r="J386" s="311"/>
      <c r="K386" s="311"/>
      <c r="L386" s="311"/>
      <c r="M386" s="311"/>
      <c r="N386" s="311"/>
      <c r="O386" s="311"/>
      <c r="P386" s="311"/>
      <c r="Q386" s="311"/>
      <c r="R386" s="311"/>
      <c r="S386" s="311"/>
      <c r="T386" s="311"/>
      <c r="U386" s="311"/>
      <c r="V386" s="311"/>
      <c r="W386" s="311"/>
      <c r="X386" s="311"/>
      <c r="Y386" s="94"/>
      <c r="Z386" s="94"/>
      <c r="AA386" s="94"/>
      <c r="AB386" s="1"/>
      <c r="AC386" s="1"/>
    </row>
    <row r="387" spans="1:30" ht="14.25" customHeight="1" x14ac:dyDescent="0.45">
      <c r="A387" s="598"/>
      <c r="B387" s="219">
        <v>5</v>
      </c>
      <c r="C387" s="231">
        <v>263.9991</v>
      </c>
      <c r="D387" s="231">
        <v>264.27859999999998</v>
      </c>
      <c r="E387" s="231">
        <v>263.81909999999999</v>
      </c>
      <c r="F387" s="231">
        <v>263.94600000000003</v>
      </c>
      <c r="G387" s="231">
        <v>263.8646</v>
      </c>
      <c r="H387" s="231">
        <v>263.83319999999998</v>
      </c>
      <c r="I387" s="231">
        <v>263.90519999999998</v>
      </c>
      <c r="J387" s="231">
        <v>263.8854</v>
      </c>
      <c r="K387" s="231">
        <v>263.91050000000001</v>
      </c>
      <c r="L387" s="231">
        <v>263.9135</v>
      </c>
      <c r="M387" s="231">
        <v>263.98880000000003</v>
      </c>
      <c r="N387" s="231">
        <v>263.92950000000002</v>
      </c>
      <c r="O387" s="231">
        <v>263.91460000000001</v>
      </c>
      <c r="P387" s="231">
        <v>264.1422</v>
      </c>
      <c r="Q387" s="231">
        <v>264.03160000000003</v>
      </c>
      <c r="R387" s="231">
        <v>264.04109999999997</v>
      </c>
      <c r="S387" s="231">
        <v>264.0489</v>
      </c>
      <c r="T387" s="231">
        <v>264.03039999999999</v>
      </c>
      <c r="U387" s="231">
        <v>264.02</v>
      </c>
      <c r="V387" s="231">
        <v>263.97859999999997</v>
      </c>
      <c r="W387" s="231">
        <v>263.97739999999999</v>
      </c>
      <c r="X387" s="231">
        <v>263.95209999999997</v>
      </c>
      <c r="Y387" s="94">
        <f>AVERAGE(C387:X387)</f>
        <v>263.97320000000002</v>
      </c>
      <c r="Z387" s="232">
        <f>Z220-0.1</f>
        <v>263.61484285714266</v>
      </c>
      <c r="AA387" s="94">
        <f t="shared" ref="AA387:AA389" si="82">Z387-Y387</f>
        <v>-0.35835714285735776</v>
      </c>
      <c r="AB387" s="1">
        <f>COUNTIF(C387:X387,"&gt;0")*5</f>
        <v>110</v>
      </c>
      <c r="AC387" s="1">
        <f t="shared" ref="AC387:AC389" si="83">AA387*AB387*5</f>
        <v>-197.09642857154677</v>
      </c>
    </row>
    <row r="388" spans="1:30" ht="14.25" customHeight="1" x14ac:dyDescent="0.45">
      <c r="A388" s="598"/>
      <c r="B388" s="219">
        <v>10</v>
      </c>
      <c r="C388" s="94"/>
      <c r="D388" s="94"/>
      <c r="E388" s="94"/>
      <c r="F388" s="94"/>
      <c r="G388" s="94"/>
      <c r="H388" s="94"/>
      <c r="I388" s="94"/>
      <c r="J388" s="94"/>
      <c r="K388" s="94"/>
      <c r="L388" s="94"/>
      <c r="M388" s="94"/>
      <c r="N388" s="94"/>
      <c r="O388" s="94"/>
      <c r="P388" s="94"/>
      <c r="Q388" s="94"/>
      <c r="R388" s="94"/>
      <c r="S388" s="94"/>
      <c r="T388" s="94"/>
      <c r="U388" s="231">
        <v>264.94119999999998</v>
      </c>
      <c r="V388" s="231">
        <v>263.899</v>
      </c>
      <c r="W388" s="231">
        <v>264.23079999999999</v>
      </c>
      <c r="X388" s="231">
        <v>263.96030000000002</v>
      </c>
      <c r="Y388" s="94">
        <f>AVERAGE(C388:X388)</f>
        <v>264.25782499999997</v>
      </c>
      <c r="Z388" s="94">
        <f>Z387</f>
        <v>263.61484285714266</v>
      </c>
      <c r="AA388" s="94">
        <f t="shared" si="82"/>
        <v>-0.64298214285730637</v>
      </c>
      <c r="AB388" s="1">
        <f>COUNTIF(C388:X388,"&gt;0")*5</f>
        <v>20</v>
      </c>
      <c r="AC388" s="1">
        <f t="shared" si="83"/>
        <v>-64.298214285730637</v>
      </c>
    </row>
    <row r="389" spans="1:30" ht="14.25" customHeight="1" x14ac:dyDescent="0.45">
      <c r="A389" s="598"/>
      <c r="B389" s="219">
        <v>15</v>
      </c>
      <c r="C389" s="94"/>
      <c r="D389" s="94"/>
      <c r="E389" s="94"/>
      <c r="F389" s="94"/>
      <c r="G389" s="94"/>
      <c r="H389" s="94"/>
      <c r="I389" s="94"/>
      <c r="J389" s="94"/>
      <c r="K389" s="94"/>
      <c r="L389" s="94"/>
      <c r="M389" s="94"/>
      <c r="N389" s="94"/>
      <c r="O389" s="94"/>
      <c r="P389" s="94"/>
      <c r="Q389" s="94"/>
      <c r="R389" s="94"/>
      <c r="S389" s="94"/>
      <c r="T389" s="94"/>
      <c r="U389" s="94"/>
      <c r="V389" s="94"/>
      <c r="W389" s="94"/>
      <c r="X389" s="231">
        <v>264.37029999999999</v>
      </c>
      <c r="Y389" s="94">
        <f>AVERAGE(C389:X389)</f>
        <v>264.37029999999999</v>
      </c>
      <c r="Z389" s="94">
        <f>Z388</f>
        <v>263.61484285714266</v>
      </c>
      <c r="AA389" s="94">
        <f t="shared" si="82"/>
        <v>-0.75545714285732402</v>
      </c>
      <c r="AB389" s="1">
        <f>COUNTIF(C389:X389,"&gt;0")*5</f>
        <v>5</v>
      </c>
      <c r="AC389" s="1">
        <f t="shared" si="83"/>
        <v>-18.8864285714331</v>
      </c>
      <c r="AD389" s="306">
        <f>SUM(AC386:AC389)</f>
        <v>-280.2810714287105</v>
      </c>
    </row>
    <row r="390" spans="1:30" ht="14.25" customHeight="1" x14ac:dyDescent="0.45">
      <c r="A390" s="79"/>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spans="1:30" ht="14.25" customHeight="1" x14ac:dyDescent="0.45">
      <c r="A391" s="79"/>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spans="1:30" ht="14.25" customHeight="1" x14ac:dyDescent="0.45">
      <c r="A392" s="79"/>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spans="1:30" ht="14.25" customHeight="1" x14ac:dyDescent="0.45">
      <c r="A393" s="598">
        <v>11</v>
      </c>
      <c r="B393" s="219">
        <v>0</v>
      </c>
      <c r="C393" s="233">
        <v>263.68619999999999</v>
      </c>
      <c r="D393" s="233">
        <v>263.67910000000001</v>
      </c>
      <c r="E393" s="94"/>
      <c r="F393" s="94"/>
      <c r="G393" s="94"/>
      <c r="H393" s="94"/>
      <c r="I393" s="94"/>
      <c r="J393" s="94"/>
      <c r="K393" s="94"/>
      <c r="L393" s="94"/>
      <c r="M393" s="94"/>
      <c r="N393" s="94"/>
      <c r="O393" s="94"/>
      <c r="P393" s="94"/>
      <c r="Q393" s="94"/>
      <c r="R393" s="94"/>
      <c r="S393" s="94"/>
      <c r="T393" s="94"/>
      <c r="U393" s="94"/>
      <c r="V393" s="94"/>
      <c r="W393" s="94"/>
      <c r="X393" s="94"/>
      <c r="Y393" s="94">
        <f t="shared" ref="Y393:Y407" si="84">AVERAGE(C393:X393)</f>
        <v>263.68264999999997</v>
      </c>
      <c r="Z393" s="94">
        <f>Z394-0.03</f>
        <v>263.67484285714278</v>
      </c>
      <c r="AA393" s="94">
        <f t="shared" ref="AA393:AA407" si="85">Z393-Y393</f>
        <v>-7.8071428571888646E-3</v>
      </c>
      <c r="AB393" s="1">
        <f>COUNTIF(C393:X393,"&gt;0")*5</f>
        <v>10</v>
      </c>
      <c r="AC393" s="1">
        <f>AA393*AB393*5</f>
        <v>-0.39035714285944323</v>
      </c>
    </row>
    <row r="394" spans="1:30" ht="14.25" customHeight="1" x14ac:dyDescent="0.45">
      <c r="A394" s="598"/>
      <c r="B394" s="219">
        <v>5</v>
      </c>
      <c r="C394" s="233">
        <v>263.6601</v>
      </c>
      <c r="D394" s="233">
        <v>263.68950000000001</v>
      </c>
      <c r="E394" s="94"/>
      <c r="F394" s="94"/>
      <c r="G394" s="94"/>
      <c r="H394" s="94"/>
      <c r="I394" s="94"/>
      <c r="J394" s="94"/>
      <c r="K394" s="94"/>
      <c r="L394" s="94"/>
      <c r="M394" s="94"/>
      <c r="N394" s="94"/>
      <c r="O394" s="94"/>
      <c r="P394" s="94"/>
      <c r="Q394" s="94"/>
      <c r="R394" s="94"/>
      <c r="S394" s="94"/>
      <c r="T394" s="94"/>
      <c r="U394" s="94"/>
      <c r="V394" s="94"/>
      <c r="W394" s="94"/>
      <c r="X394" s="94"/>
      <c r="Y394" s="94">
        <f t="shared" si="84"/>
        <v>263.6748</v>
      </c>
      <c r="Z394" s="94">
        <f>Z395-0.03</f>
        <v>263.70484285714275</v>
      </c>
      <c r="AA394" s="94">
        <f t="shared" si="85"/>
        <v>3.0042857142746016E-2</v>
      </c>
      <c r="AB394" s="1">
        <f t="shared" ref="AB394:AB407" si="86">COUNTIF(C394:X394,"&gt;0")*5</f>
        <v>10</v>
      </c>
      <c r="AC394" s="1">
        <f t="shared" ref="AC394:AC407" si="87">AA394*AB394*5</f>
        <v>1.5021428571373008</v>
      </c>
    </row>
    <row r="395" spans="1:30" ht="14.25" customHeight="1" x14ac:dyDescent="0.45">
      <c r="A395" s="598"/>
      <c r="B395" s="219">
        <v>10</v>
      </c>
      <c r="C395" s="233">
        <v>263.66980000000001</v>
      </c>
      <c r="D395" s="233">
        <v>263.6936</v>
      </c>
      <c r="E395" s="94"/>
      <c r="F395" s="94"/>
      <c r="G395" s="94"/>
      <c r="H395" s="94"/>
      <c r="I395" s="94"/>
      <c r="J395" s="94"/>
      <c r="K395" s="94"/>
      <c r="L395" s="94"/>
      <c r="M395" s="94"/>
      <c r="N395" s="94"/>
      <c r="O395" s="94"/>
      <c r="P395" s="94"/>
      <c r="Q395" s="94"/>
      <c r="R395" s="94"/>
      <c r="S395" s="94"/>
      <c r="T395" s="94"/>
      <c r="U395" s="94"/>
      <c r="V395" s="94"/>
      <c r="W395" s="94"/>
      <c r="X395" s="94"/>
      <c r="Y395" s="94">
        <f t="shared" si="84"/>
        <v>263.68169999999998</v>
      </c>
      <c r="Z395" s="94">
        <f>Z396-0.03</f>
        <v>263.73484285714272</v>
      </c>
      <c r="AA395" s="94">
        <f t="shared" si="85"/>
        <v>5.314285714274547E-2</v>
      </c>
      <c r="AB395" s="1">
        <f t="shared" si="86"/>
        <v>10</v>
      </c>
      <c r="AC395" s="1">
        <f t="shared" si="87"/>
        <v>2.6571428571372735</v>
      </c>
    </row>
    <row r="396" spans="1:30" ht="14.25" customHeight="1" x14ac:dyDescent="0.45">
      <c r="A396" s="598"/>
      <c r="B396" s="219">
        <v>15</v>
      </c>
      <c r="C396" s="233">
        <v>263.71839999999997</v>
      </c>
      <c r="D396" s="233">
        <v>263.71440000000001</v>
      </c>
      <c r="E396" s="94"/>
      <c r="F396" s="94"/>
      <c r="G396" s="94"/>
      <c r="H396" s="94"/>
      <c r="I396" s="94"/>
      <c r="J396" s="94"/>
      <c r="K396" s="94"/>
      <c r="L396" s="94"/>
      <c r="M396" s="94"/>
      <c r="N396" s="94"/>
      <c r="O396" s="94"/>
      <c r="P396" s="94"/>
      <c r="Q396" s="94"/>
      <c r="R396" s="94"/>
      <c r="S396" s="94"/>
      <c r="T396" s="94"/>
      <c r="U396" s="94"/>
      <c r="V396" s="94"/>
      <c r="W396" s="94"/>
      <c r="X396" s="94"/>
      <c r="Y396" s="94">
        <f t="shared" si="84"/>
        <v>263.71640000000002</v>
      </c>
      <c r="Z396" s="94">
        <f>Z397</f>
        <v>263.7648428571427</v>
      </c>
      <c r="AA396" s="94">
        <f t="shared" si="85"/>
        <v>4.8442857142674711E-2</v>
      </c>
      <c r="AB396" s="1">
        <f t="shared" si="86"/>
        <v>10</v>
      </c>
      <c r="AC396" s="1">
        <f t="shared" si="87"/>
        <v>2.4221428571337356</v>
      </c>
    </row>
    <row r="397" spans="1:30" ht="14.25" customHeight="1" x14ac:dyDescent="0.45">
      <c r="A397" s="598"/>
      <c r="B397" s="219">
        <v>20</v>
      </c>
      <c r="C397" s="233">
        <v>263.74419999999998</v>
      </c>
      <c r="D397" s="233">
        <v>263.75529999999998</v>
      </c>
      <c r="E397" s="94"/>
      <c r="F397" s="94"/>
      <c r="G397" s="94"/>
      <c r="H397" s="94"/>
      <c r="I397" s="94"/>
      <c r="J397" s="94"/>
      <c r="K397" s="94"/>
      <c r="L397" s="94"/>
      <c r="M397" s="94"/>
      <c r="N397" s="94"/>
      <c r="O397" s="94"/>
      <c r="P397" s="94"/>
      <c r="Q397" s="94"/>
      <c r="R397" s="94"/>
      <c r="S397" s="94"/>
      <c r="T397" s="94"/>
      <c r="U397" s="94"/>
      <c r="V397" s="94"/>
      <c r="W397" s="94"/>
      <c r="X397" s="94"/>
      <c r="Y397" s="94">
        <f t="shared" si="84"/>
        <v>263.74974999999995</v>
      </c>
      <c r="Z397" s="94">
        <f t="shared" ref="Z397:Z399" si="88">Z398-5/100</f>
        <v>263.7648428571427</v>
      </c>
      <c r="AA397" s="94">
        <f t="shared" si="85"/>
        <v>1.5092857142747107E-2</v>
      </c>
      <c r="AB397" s="1">
        <f t="shared" si="86"/>
        <v>10</v>
      </c>
      <c r="AC397" s="1">
        <f t="shared" si="87"/>
        <v>0.75464285713735535</v>
      </c>
    </row>
    <row r="398" spans="1:30" ht="14.25" customHeight="1" x14ac:dyDescent="0.45">
      <c r="A398" s="598"/>
      <c r="B398" s="219">
        <v>25</v>
      </c>
      <c r="C398" s="233">
        <v>263.73829999999998</v>
      </c>
      <c r="D398" s="233">
        <v>263.77339999999998</v>
      </c>
      <c r="E398" s="94"/>
      <c r="F398" s="94"/>
      <c r="G398" s="94"/>
      <c r="H398" s="94"/>
      <c r="I398" s="94"/>
      <c r="J398" s="94"/>
      <c r="K398" s="94"/>
      <c r="L398" s="94"/>
      <c r="M398" s="94"/>
      <c r="N398" s="94"/>
      <c r="O398" s="94"/>
      <c r="P398" s="94"/>
      <c r="Q398" s="94"/>
      <c r="R398" s="94"/>
      <c r="S398" s="94"/>
      <c r="T398" s="94"/>
      <c r="U398" s="94"/>
      <c r="V398" s="94"/>
      <c r="W398" s="94"/>
      <c r="X398" s="94"/>
      <c r="Y398" s="94">
        <f t="shared" si="84"/>
        <v>263.75585000000001</v>
      </c>
      <c r="Z398" s="94">
        <f t="shared" si="88"/>
        <v>263.81484285714271</v>
      </c>
      <c r="AA398" s="94">
        <f t="shared" si="85"/>
        <v>5.8992857142698085E-2</v>
      </c>
      <c r="AB398" s="1">
        <f t="shared" si="86"/>
        <v>10</v>
      </c>
      <c r="AC398" s="1">
        <f t="shared" si="87"/>
        <v>2.9496428571349043</v>
      </c>
    </row>
    <row r="399" spans="1:30" ht="14.25" customHeight="1" x14ac:dyDescent="0.45">
      <c r="A399" s="598"/>
      <c r="B399" s="219">
        <v>30</v>
      </c>
      <c r="C399" s="233">
        <v>263.74579999999997</v>
      </c>
      <c r="D399" s="233">
        <v>263.76870000000002</v>
      </c>
      <c r="E399" s="94"/>
      <c r="F399" s="94"/>
      <c r="G399" s="94"/>
      <c r="H399" s="94"/>
      <c r="I399" s="94"/>
      <c r="J399" s="94"/>
      <c r="K399" s="94"/>
      <c r="L399" s="94"/>
      <c r="M399" s="94"/>
      <c r="N399" s="94"/>
      <c r="O399" s="94"/>
      <c r="P399" s="94"/>
      <c r="Q399" s="94"/>
      <c r="R399" s="94"/>
      <c r="S399" s="94"/>
      <c r="T399" s="94"/>
      <c r="U399" s="94"/>
      <c r="V399" s="94"/>
      <c r="W399" s="94"/>
      <c r="X399" s="94"/>
      <c r="Y399" s="94">
        <f t="shared" si="84"/>
        <v>263.75725</v>
      </c>
      <c r="Z399" s="94">
        <f t="shared" si="88"/>
        <v>263.86484285714272</v>
      </c>
      <c r="AA399" s="94">
        <f t="shared" si="85"/>
        <v>0.10759285714271982</v>
      </c>
      <c r="AB399" s="1">
        <f t="shared" si="86"/>
        <v>10</v>
      </c>
      <c r="AC399" s="1">
        <f t="shared" si="87"/>
        <v>5.3796428571359911</v>
      </c>
    </row>
    <row r="400" spans="1:30" ht="14.25" customHeight="1" x14ac:dyDescent="0.45">
      <c r="A400" s="598"/>
      <c r="B400" s="219">
        <v>35</v>
      </c>
      <c r="C400" s="233">
        <v>263.77330000000001</v>
      </c>
      <c r="D400" s="233">
        <v>263.7756</v>
      </c>
      <c r="E400" s="94"/>
      <c r="F400" s="94"/>
      <c r="G400" s="94"/>
      <c r="H400" s="94"/>
      <c r="I400" s="94"/>
      <c r="J400" s="94"/>
      <c r="K400" s="94"/>
      <c r="L400" s="94"/>
      <c r="M400" s="94"/>
      <c r="N400" s="94"/>
      <c r="O400" s="94"/>
      <c r="P400" s="94"/>
      <c r="Q400" s="94"/>
      <c r="R400" s="94"/>
      <c r="S400" s="94"/>
      <c r="T400" s="94"/>
      <c r="U400" s="94"/>
      <c r="V400" s="94"/>
      <c r="W400" s="94"/>
      <c r="X400" s="94"/>
      <c r="Y400" s="94">
        <f t="shared" si="84"/>
        <v>263.77445</v>
      </c>
      <c r="Z400" s="94">
        <f>Z401-5/100</f>
        <v>263.91484285714273</v>
      </c>
      <c r="AA400" s="94">
        <f t="shared" si="85"/>
        <v>0.14039285714272864</v>
      </c>
      <c r="AB400" s="1">
        <f t="shared" si="86"/>
        <v>10</v>
      </c>
      <c r="AC400" s="1">
        <f t="shared" si="87"/>
        <v>7.0196428571364322</v>
      </c>
    </row>
    <row r="401" spans="1:30" ht="14.25" customHeight="1" x14ac:dyDescent="0.45">
      <c r="A401" s="598"/>
      <c r="B401" s="219">
        <v>40</v>
      </c>
      <c r="C401" s="233">
        <v>263.78100000000001</v>
      </c>
      <c r="D401" s="233">
        <v>263.78500000000003</v>
      </c>
      <c r="E401" s="94"/>
      <c r="F401" s="94"/>
      <c r="G401" s="94"/>
      <c r="H401" s="94"/>
      <c r="I401" s="94"/>
      <c r="J401" s="94"/>
      <c r="K401" s="94"/>
      <c r="L401" s="94"/>
      <c r="M401" s="94"/>
      <c r="N401" s="94"/>
      <c r="O401" s="94"/>
      <c r="P401" s="94"/>
      <c r="Q401" s="94"/>
      <c r="R401" s="94"/>
      <c r="S401" s="94"/>
      <c r="T401" s="94"/>
      <c r="U401" s="94"/>
      <c r="V401" s="94"/>
      <c r="W401" s="94"/>
      <c r="X401" s="94"/>
      <c r="Y401" s="94">
        <f t="shared" si="84"/>
        <v>263.78300000000002</v>
      </c>
      <c r="Z401" s="94">
        <f>Z214-0.05</f>
        <v>263.96484285714274</v>
      </c>
      <c r="AA401" s="94">
        <f t="shared" si="85"/>
        <v>0.18184285714272619</v>
      </c>
      <c r="AB401" s="1">
        <f t="shared" si="86"/>
        <v>10</v>
      </c>
      <c r="AC401" s="1">
        <f t="shared" si="87"/>
        <v>9.0921428571363094</v>
      </c>
    </row>
    <row r="402" spans="1:30" ht="14.25" customHeight="1" x14ac:dyDescent="0.45">
      <c r="A402" s="598"/>
      <c r="B402" s="219">
        <v>45</v>
      </c>
      <c r="C402" s="233">
        <v>263.8492</v>
      </c>
      <c r="D402" s="233">
        <v>263.84519999999998</v>
      </c>
      <c r="E402" s="94"/>
      <c r="F402" s="94"/>
      <c r="G402" s="94"/>
      <c r="H402" s="94"/>
      <c r="I402" s="94"/>
      <c r="J402" s="94"/>
      <c r="K402" s="94"/>
      <c r="L402" s="94"/>
      <c r="M402" s="94"/>
      <c r="N402" s="94"/>
      <c r="O402" s="94"/>
      <c r="P402" s="94"/>
      <c r="Q402" s="94"/>
      <c r="R402" s="94"/>
      <c r="S402" s="94"/>
      <c r="T402" s="94"/>
      <c r="U402" s="94"/>
      <c r="V402" s="94"/>
      <c r="W402" s="94"/>
      <c r="X402" s="94"/>
      <c r="Y402" s="94">
        <f t="shared" si="84"/>
        <v>263.84719999999999</v>
      </c>
      <c r="Z402" s="94">
        <f>Z401-5/100</f>
        <v>263.91484285714273</v>
      </c>
      <c r="AA402" s="94">
        <f t="shared" si="85"/>
        <v>6.7642857142743651E-2</v>
      </c>
      <c r="AB402" s="1">
        <f t="shared" si="86"/>
        <v>10</v>
      </c>
      <c r="AC402" s="1">
        <f t="shared" si="87"/>
        <v>3.3821428571371825</v>
      </c>
    </row>
    <row r="403" spans="1:30" ht="14.25" customHeight="1" x14ac:dyDescent="0.45">
      <c r="A403" s="598"/>
      <c r="B403" s="219">
        <v>50</v>
      </c>
      <c r="C403" s="233">
        <v>263.94200000000001</v>
      </c>
      <c r="D403" s="233">
        <v>263.87860000000001</v>
      </c>
      <c r="E403" s="94"/>
      <c r="F403" s="94"/>
      <c r="G403" s="94"/>
      <c r="H403" s="94"/>
      <c r="I403" s="94"/>
      <c r="J403" s="94"/>
      <c r="K403" s="94"/>
      <c r="L403" s="94"/>
      <c r="M403" s="94"/>
      <c r="N403" s="94"/>
      <c r="O403" s="94"/>
      <c r="P403" s="94"/>
      <c r="Q403" s="94"/>
      <c r="R403" s="94"/>
      <c r="S403" s="94"/>
      <c r="T403" s="94"/>
      <c r="U403" s="94"/>
      <c r="V403" s="94"/>
      <c r="W403" s="94"/>
      <c r="X403" s="94"/>
      <c r="Y403" s="94">
        <f t="shared" si="84"/>
        <v>263.91030000000001</v>
      </c>
      <c r="Z403" s="94">
        <f t="shared" ref="Z403:Z407" si="89">Z402-5/100</f>
        <v>263.86484285714272</v>
      </c>
      <c r="AA403" s="94">
        <f t="shared" si="85"/>
        <v>-4.5457142857287636E-2</v>
      </c>
      <c r="AB403" s="1">
        <f t="shared" si="86"/>
        <v>10</v>
      </c>
      <c r="AC403" s="1">
        <f t="shared" si="87"/>
        <v>-2.2728571428643818</v>
      </c>
    </row>
    <row r="404" spans="1:30" ht="14.25" customHeight="1" x14ac:dyDescent="0.45">
      <c r="A404" s="598"/>
      <c r="B404" s="219">
        <v>55</v>
      </c>
      <c r="C404" s="233">
        <v>263.85890000000001</v>
      </c>
      <c r="D404" s="233">
        <v>263.88290000000001</v>
      </c>
      <c r="E404" s="94"/>
      <c r="F404" s="94"/>
      <c r="G404" s="94"/>
      <c r="H404" s="94"/>
      <c r="I404" s="94"/>
      <c r="J404" s="94"/>
      <c r="K404" s="94"/>
      <c r="L404" s="94"/>
      <c r="M404" s="94"/>
      <c r="N404" s="94"/>
      <c r="O404" s="94"/>
      <c r="P404" s="94"/>
      <c r="Q404" s="94"/>
      <c r="R404" s="94"/>
      <c r="S404" s="94"/>
      <c r="T404" s="94"/>
      <c r="U404" s="94"/>
      <c r="V404" s="94"/>
      <c r="W404" s="94"/>
      <c r="X404" s="94"/>
      <c r="Y404" s="94">
        <f t="shared" si="84"/>
        <v>263.87090000000001</v>
      </c>
      <c r="Z404" s="94">
        <f t="shared" si="89"/>
        <v>263.81484285714271</v>
      </c>
      <c r="AA404" s="94">
        <f t="shared" si="85"/>
        <v>-5.6057142857298459E-2</v>
      </c>
      <c r="AB404" s="1">
        <f t="shared" si="86"/>
        <v>10</v>
      </c>
      <c r="AC404" s="1">
        <f t="shared" si="87"/>
        <v>-2.8028571428649229</v>
      </c>
    </row>
    <row r="405" spans="1:30" ht="14.25" customHeight="1" x14ac:dyDescent="0.45">
      <c r="A405" s="598"/>
      <c r="B405" s="219">
        <v>60</v>
      </c>
      <c r="C405" s="233">
        <v>263.84339999999997</v>
      </c>
      <c r="D405" s="233">
        <v>263.90589999999997</v>
      </c>
      <c r="E405" s="94"/>
      <c r="F405" s="94"/>
      <c r="G405" s="94"/>
      <c r="H405" s="94"/>
      <c r="I405" s="94"/>
      <c r="J405" s="94"/>
      <c r="K405" s="94"/>
      <c r="L405" s="94"/>
      <c r="M405" s="94"/>
      <c r="N405" s="94"/>
      <c r="O405" s="94"/>
      <c r="P405" s="94"/>
      <c r="Q405" s="94"/>
      <c r="R405" s="94"/>
      <c r="S405" s="94"/>
      <c r="T405" s="94"/>
      <c r="U405" s="94"/>
      <c r="V405" s="94"/>
      <c r="W405" s="94"/>
      <c r="X405" s="94"/>
      <c r="Y405" s="94">
        <f t="shared" si="84"/>
        <v>263.87464999999997</v>
      </c>
      <c r="Z405" s="94">
        <f t="shared" si="89"/>
        <v>263.7648428571427</v>
      </c>
      <c r="AA405" s="94">
        <f t="shared" si="85"/>
        <v>-0.109807142857278</v>
      </c>
      <c r="AB405" s="1">
        <f t="shared" si="86"/>
        <v>10</v>
      </c>
      <c r="AC405" s="1">
        <f t="shared" si="87"/>
        <v>-5.4903571428638998</v>
      </c>
    </row>
    <row r="406" spans="1:30" ht="14.25" customHeight="1" x14ac:dyDescent="0.45">
      <c r="A406" s="598"/>
      <c r="B406" s="219">
        <v>65</v>
      </c>
      <c r="C406" s="233">
        <v>263.82060000000001</v>
      </c>
      <c r="D406" s="233">
        <v>263.86340000000001</v>
      </c>
      <c r="E406" s="94"/>
      <c r="F406" s="94"/>
      <c r="G406" s="94"/>
      <c r="H406" s="94"/>
      <c r="I406" s="94"/>
      <c r="J406" s="94"/>
      <c r="K406" s="94"/>
      <c r="L406" s="94"/>
      <c r="M406" s="94"/>
      <c r="N406" s="94"/>
      <c r="O406" s="94"/>
      <c r="P406" s="94"/>
      <c r="Q406" s="94"/>
      <c r="R406" s="94"/>
      <c r="S406" s="94"/>
      <c r="T406" s="94"/>
      <c r="U406" s="94"/>
      <c r="V406" s="94"/>
      <c r="W406" s="94"/>
      <c r="X406" s="94"/>
      <c r="Y406" s="94">
        <f t="shared" si="84"/>
        <v>263.84199999999998</v>
      </c>
      <c r="Z406" s="94">
        <f t="shared" si="89"/>
        <v>263.71484285714268</v>
      </c>
      <c r="AA406" s="94">
        <f t="shared" si="85"/>
        <v>-0.12715714285729973</v>
      </c>
      <c r="AB406" s="1">
        <f t="shared" si="86"/>
        <v>10</v>
      </c>
      <c r="AC406" s="1">
        <f t="shared" si="87"/>
        <v>-6.3578571428649866</v>
      </c>
    </row>
    <row r="407" spans="1:30" ht="14.25" customHeight="1" x14ac:dyDescent="0.45">
      <c r="A407" s="598"/>
      <c r="B407" s="219">
        <v>70</v>
      </c>
      <c r="C407" s="233">
        <v>263.87459999999999</v>
      </c>
      <c r="D407" s="233">
        <v>263.88049999999998</v>
      </c>
      <c r="E407" s="94"/>
      <c r="F407" s="94"/>
      <c r="G407" s="94"/>
      <c r="H407" s="94"/>
      <c r="I407" s="94"/>
      <c r="J407" s="94"/>
      <c r="K407" s="94"/>
      <c r="L407" s="94"/>
      <c r="M407" s="94"/>
      <c r="N407" s="94"/>
      <c r="O407" s="94"/>
      <c r="P407" s="94"/>
      <c r="Q407" s="94"/>
      <c r="R407" s="94"/>
      <c r="S407" s="94"/>
      <c r="T407" s="94"/>
      <c r="U407" s="94"/>
      <c r="V407" s="94"/>
      <c r="W407" s="94"/>
      <c r="X407" s="94"/>
      <c r="Y407" s="94">
        <f t="shared" si="84"/>
        <v>263.87754999999999</v>
      </c>
      <c r="Z407" s="94">
        <f t="shared" si="89"/>
        <v>263.66484285714267</v>
      </c>
      <c r="AA407" s="94">
        <f t="shared" si="85"/>
        <v>-0.21270714285731174</v>
      </c>
      <c r="AB407" s="1">
        <f t="shared" si="86"/>
        <v>10</v>
      </c>
      <c r="AC407" s="1">
        <f t="shared" si="87"/>
        <v>-10.635357142865587</v>
      </c>
      <c r="AD407" s="306">
        <f>SUM(AC393:AC407)</f>
        <v>7.2096428570432636</v>
      </c>
    </row>
    <row r="408" spans="1:30" ht="14.25" customHeight="1" x14ac:dyDescent="0.45">
      <c r="A408" s="79"/>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spans="1:30" ht="14.25" customHeight="1" x14ac:dyDescent="0.45">
      <c r="A409" s="79"/>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spans="1:30" ht="14.25" customHeight="1" x14ac:dyDescent="0.45">
      <c r="A410" s="79"/>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spans="1:30" ht="14.25" customHeight="1" x14ac:dyDescent="0.45">
      <c r="A411" s="598">
        <v>12</v>
      </c>
      <c r="B411" s="219">
        <v>0</v>
      </c>
      <c r="C411" s="234">
        <v>263.95080000000002</v>
      </c>
      <c r="D411" s="234">
        <v>264.35849999999999</v>
      </c>
      <c r="E411" s="234">
        <v>264.09339999999997</v>
      </c>
      <c r="F411" s="234">
        <v>264.04570000000001</v>
      </c>
      <c r="G411" s="234">
        <v>264.00389999999999</v>
      </c>
      <c r="H411" s="234">
        <v>264.11439999999999</v>
      </c>
      <c r="I411" s="234">
        <v>264.20400000000001</v>
      </c>
      <c r="J411" s="234">
        <v>264.16300000000001</v>
      </c>
      <c r="K411" s="234">
        <v>264.13830000000002</v>
      </c>
      <c r="L411" s="234">
        <v>264.05799999999999</v>
      </c>
      <c r="M411" s="234">
        <v>264.18200000000002</v>
      </c>
      <c r="N411" s="234">
        <v>264.04430000000002</v>
      </c>
      <c r="O411" s="234">
        <v>264.03710000000001</v>
      </c>
      <c r="P411" s="234">
        <v>264.10680000000002</v>
      </c>
      <c r="Q411" s="234">
        <v>264.11040000000003</v>
      </c>
      <c r="R411" s="234">
        <v>264.15339999999998</v>
      </c>
      <c r="S411" s="234">
        <v>264.22910000000002</v>
      </c>
      <c r="T411" s="234">
        <v>264.0591</v>
      </c>
      <c r="U411" s="234">
        <v>263.8546</v>
      </c>
      <c r="V411" s="234">
        <v>263.88639999999998</v>
      </c>
      <c r="W411" s="94"/>
      <c r="X411" s="94"/>
      <c r="Y411" s="94">
        <f>AVERAGE(C411:X411)</f>
        <v>264.08965999999998</v>
      </c>
      <c r="Z411" s="235">
        <f>Z204-0.1</f>
        <v>263.71475238095218</v>
      </c>
      <c r="AA411" s="94">
        <f t="shared" ref="AA411:AA412" si="90">Z411-Y411</f>
        <v>-0.37490761904780356</v>
      </c>
      <c r="AB411" s="1">
        <f>COUNTIF(C411:X411,"&gt;0")*5</f>
        <v>100</v>
      </c>
      <c r="AC411" s="1">
        <f t="shared" ref="AC411:AC412" si="91">AA411*AB411*5</f>
        <v>-187.45380952390178</v>
      </c>
    </row>
    <row r="412" spans="1:30" ht="14.25" customHeight="1" x14ac:dyDescent="0.45">
      <c r="A412" s="598"/>
      <c r="B412" s="219">
        <v>5</v>
      </c>
      <c r="C412" s="94"/>
      <c r="D412" s="94"/>
      <c r="E412" s="214"/>
      <c r="F412" s="234">
        <v>264.56939999999997</v>
      </c>
      <c r="G412" s="234">
        <v>264.65769999999998</v>
      </c>
      <c r="H412" s="234">
        <v>264.67099999999999</v>
      </c>
      <c r="I412" s="234">
        <v>264.68520000000001</v>
      </c>
      <c r="J412" s="234">
        <v>264.69639999999998</v>
      </c>
      <c r="K412" s="234">
        <v>264.67840000000001</v>
      </c>
      <c r="L412" s="234">
        <v>264.50560000000002</v>
      </c>
      <c r="M412" s="234">
        <v>264.55540000000002</v>
      </c>
      <c r="N412" s="234">
        <v>264.61200000000002</v>
      </c>
      <c r="O412" s="234">
        <v>264.59879999999998</v>
      </c>
      <c r="P412" s="234">
        <v>264.52760000000001</v>
      </c>
      <c r="Q412" s="234">
        <v>264.67790000000002</v>
      </c>
      <c r="R412" s="234">
        <v>265.09879999999998</v>
      </c>
      <c r="S412" s="234">
        <v>264.91840000000002</v>
      </c>
      <c r="T412" s="234">
        <v>264.89510000000001</v>
      </c>
      <c r="U412" s="234">
        <v>264.59629999999999</v>
      </c>
      <c r="V412" s="234">
        <v>265.07850000000002</v>
      </c>
      <c r="W412" s="94"/>
      <c r="X412" s="94"/>
      <c r="Y412" s="94">
        <f>AVERAGE(C412:X412)</f>
        <v>264.70720588235292</v>
      </c>
      <c r="Z412" s="94">
        <f>Z411</f>
        <v>263.71475238095218</v>
      </c>
      <c r="AA412" s="94">
        <f t="shared" si="90"/>
        <v>-0.99245350140074606</v>
      </c>
      <c r="AB412" s="1">
        <f>COUNTIF(C412:X412,"&gt;0")*5</f>
        <v>85</v>
      </c>
      <c r="AC412" s="1">
        <f t="shared" si="91"/>
        <v>-421.79273809531708</v>
      </c>
      <c r="AD412" s="307">
        <f>SUM(AC411:AC412)</f>
        <v>-609.24654761921886</v>
      </c>
    </row>
    <row r="413" spans="1:30" ht="14.25" customHeight="1" x14ac:dyDescent="0.45">
      <c r="A413" s="79"/>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spans="1:30" ht="14.25" customHeight="1" x14ac:dyDescent="0.45">
      <c r="A414" s="79"/>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spans="1:30" ht="14.25" customHeight="1" x14ac:dyDescent="0.45">
      <c r="A415" s="598">
        <v>13</v>
      </c>
      <c r="B415" s="219">
        <v>0</v>
      </c>
      <c r="C415" s="236">
        <v>263.69240000000002</v>
      </c>
      <c r="D415" s="236">
        <v>263.66520000000003</v>
      </c>
      <c r="E415" s="236">
        <v>263.67689999999999</v>
      </c>
      <c r="F415" s="236">
        <v>263.69159999999999</v>
      </c>
      <c r="G415" s="236">
        <v>263.67489999999998</v>
      </c>
      <c r="H415" s="236">
        <v>263.69110000000001</v>
      </c>
      <c r="I415" s="236">
        <v>263.66919999999999</v>
      </c>
      <c r="J415" s="236">
        <v>263.68049999999999</v>
      </c>
      <c r="K415" s="236">
        <v>263.68169999999998</v>
      </c>
      <c r="L415" s="236">
        <v>263.76190000000003</v>
      </c>
      <c r="M415" s="236">
        <v>263.71460000000002</v>
      </c>
      <c r="N415" s="236">
        <v>263.72919999999999</v>
      </c>
      <c r="O415" s="236">
        <v>263.73500000000001</v>
      </c>
      <c r="P415" s="236">
        <v>263.72210000000001</v>
      </c>
      <c r="Q415" s="236">
        <v>263.73489999999998</v>
      </c>
      <c r="R415" s="236">
        <v>263.72629999999998</v>
      </c>
      <c r="S415" s="236">
        <v>263.72539999999998</v>
      </c>
      <c r="T415" s="236">
        <v>263.7346</v>
      </c>
      <c r="U415" s="236">
        <v>263.86349999999999</v>
      </c>
      <c r="V415" s="236">
        <v>264.02420000000001</v>
      </c>
      <c r="W415" s="94"/>
      <c r="X415" s="94"/>
      <c r="Y415" s="94">
        <f>AVERAGE(C415:X415)</f>
        <v>263.72976000000006</v>
      </c>
      <c r="Z415" s="235">
        <f>Z192-0.05</f>
        <v>263.76475238095219</v>
      </c>
      <c r="AA415" s="94">
        <f>Z415-Y415</f>
        <v>3.4992380952132862E-2</v>
      </c>
      <c r="AB415" s="1">
        <f>COUNTIF(C415:X415,"&gt;0")*5</f>
        <v>100</v>
      </c>
      <c r="AC415" s="1">
        <f>AA415*AB415*5</f>
        <v>17.496190476066431</v>
      </c>
    </row>
    <row r="416" spans="1:30" ht="14.25" customHeight="1" x14ac:dyDescent="0.45">
      <c r="A416" s="598"/>
      <c r="B416" s="219">
        <v>5</v>
      </c>
      <c r="C416" s="236">
        <v>263.70060000000001</v>
      </c>
      <c r="D416" s="236">
        <v>263.6782</v>
      </c>
      <c r="E416" s="236">
        <v>263.67610000000002</v>
      </c>
      <c r="F416" s="236">
        <v>263.69869999999997</v>
      </c>
      <c r="G416" s="236">
        <v>263.69380000000001</v>
      </c>
      <c r="H416" s="236">
        <v>263.68700000000001</v>
      </c>
      <c r="I416" s="236">
        <v>263.68369999999999</v>
      </c>
      <c r="J416" s="236">
        <v>263.7088</v>
      </c>
      <c r="K416" s="236">
        <v>263.68740000000003</v>
      </c>
      <c r="L416" s="236">
        <v>263.68459999999999</v>
      </c>
      <c r="M416" s="236">
        <v>263.71300000000002</v>
      </c>
      <c r="N416" s="236">
        <v>263.69110000000001</v>
      </c>
      <c r="O416" s="236">
        <v>263.69690000000003</v>
      </c>
      <c r="P416" s="236">
        <v>263.73570000000001</v>
      </c>
      <c r="Q416" s="236">
        <v>263.74900000000002</v>
      </c>
      <c r="R416" s="236">
        <v>263.75810000000001</v>
      </c>
      <c r="S416" s="236">
        <v>263.75110000000001</v>
      </c>
      <c r="T416" s="236">
        <v>263.7629</v>
      </c>
      <c r="U416" s="236">
        <v>263.78840000000002</v>
      </c>
      <c r="V416" s="236">
        <v>263.87090000000001</v>
      </c>
      <c r="W416" s="94"/>
      <c r="X416" s="94"/>
      <c r="Y416" s="94">
        <f>AVERAGE(C416:X416)</f>
        <v>263.7208</v>
      </c>
      <c r="Z416" s="94">
        <f>Z415</f>
        <v>263.76475238095219</v>
      </c>
      <c r="AA416" s="94">
        <f t="shared" ref="AA416:AA418" si="92">Z416-Y416</f>
        <v>4.3952380952191561E-2</v>
      </c>
      <c r="AB416" s="1">
        <f t="shared" ref="AB416:AB418" si="93">COUNTIF(C416:X416,"&gt;0")*5</f>
        <v>100</v>
      </c>
      <c r="AC416" s="1">
        <f t="shared" ref="AC416:AC418" si="94">AA416*AB416*5</f>
        <v>21.97619047609578</v>
      </c>
    </row>
    <row r="417" spans="1:30" ht="14.25" customHeight="1" x14ac:dyDescent="0.45">
      <c r="A417" s="598"/>
      <c r="B417" s="219">
        <v>10</v>
      </c>
      <c r="C417" s="236">
        <v>263.71199999999999</v>
      </c>
      <c r="D417" s="236">
        <v>263.68110000000001</v>
      </c>
      <c r="E417" s="236">
        <v>263.7063</v>
      </c>
      <c r="F417" s="236">
        <v>263.69130000000001</v>
      </c>
      <c r="G417" s="236">
        <v>263.69560000000001</v>
      </c>
      <c r="H417" s="236">
        <v>263.72059999999999</v>
      </c>
      <c r="I417" s="236">
        <v>263.73480000000001</v>
      </c>
      <c r="J417" s="236">
        <v>263.7287</v>
      </c>
      <c r="K417" s="236">
        <v>263.69170000000003</v>
      </c>
      <c r="L417" s="236">
        <v>263.71280000000002</v>
      </c>
      <c r="M417" s="236">
        <v>263.72710000000001</v>
      </c>
      <c r="N417" s="236">
        <v>263.71039999999999</v>
      </c>
      <c r="O417" s="236">
        <v>263.70549999999997</v>
      </c>
      <c r="P417" s="236">
        <v>263.71539999999999</v>
      </c>
      <c r="Q417" s="236">
        <v>263.75420000000003</v>
      </c>
      <c r="R417" s="236">
        <v>263.74459999999999</v>
      </c>
      <c r="S417" s="236">
        <v>263.75810000000001</v>
      </c>
      <c r="T417" s="236">
        <v>263.80739999999997</v>
      </c>
      <c r="U417" s="236">
        <v>263.84789999999998</v>
      </c>
      <c r="V417" s="236">
        <v>263.8297</v>
      </c>
      <c r="W417" s="94"/>
      <c r="X417" s="94"/>
      <c r="Y417" s="94">
        <f>AVERAGE(C417:X417)</f>
        <v>263.73375999999996</v>
      </c>
      <c r="Z417" s="94">
        <f t="shared" ref="Z417:Z418" si="95">Z416</f>
        <v>263.76475238095219</v>
      </c>
      <c r="AA417" s="94">
        <f t="shared" si="92"/>
        <v>3.099238095222745E-2</v>
      </c>
      <c r="AB417" s="1">
        <f t="shared" si="93"/>
        <v>100</v>
      </c>
      <c r="AC417" s="1">
        <f t="shared" si="94"/>
        <v>15.496190476113725</v>
      </c>
    </row>
    <row r="418" spans="1:30" ht="14.25" customHeight="1" x14ac:dyDescent="0.45">
      <c r="A418" s="598"/>
      <c r="B418" s="219">
        <v>15</v>
      </c>
      <c r="C418" s="236">
        <v>263.75940000000003</v>
      </c>
      <c r="D418" s="236">
        <v>263.69279999999998</v>
      </c>
      <c r="E418" s="236">
        <v>263.72359999999998</v>
      </c>
      <c r="F418" s="236">
        <v>263.70940000000002</v>
      </c>
      <c r="G418" s="236">
        <v>263.71190000000001</v>
      </c>
      <c r="H418" s="236">
        <v>263.68529999999998</v>
      </c>
      <c r="I418" s="236">
        <v>263.76429999999999</v>
      </c>
      <c r="J418" s="236">
        <v>263.74869999999999</v>
      </c>
      <c r="K418" s="236">
        <v>263.72329999999999</v>
      </c>
      <c r="L418" s="236">
        <v>263.74340000000001</v>
      </c>
      <c r="M418" s="236">
        <v>263.75229999999999</v>
      </c>
      <c r="N418" s="236">
        <v>263.72370000000001</v>
      </c>
      <c r="O418" s="236">
        <v>263.74200000000002</v>
      </c>
      <c r="P418" s="236">
        <v>263.75209999999998</v>
      </c>
      <c r="Q418" s="236">
        <v>263.74400000000003</v>
      </c>
      <c r="R418" s="236">
        <v>263.73480000000001</v>
      </c>
      <c r="S418" s="236">
        <v>263.76920000000001</v>
      </c>
      <c r="T418" s="236">
        <v>263.79109999999997</v>
      </c>
      <c r="U418" s="236">
        <v>264.00110000000001</v>
      </c>
      <c r="V418" s="236">
        <v>263.81549999999999</v>
      </c>
      <c r="W418" s="94"/>
      <c r="X418" s="94"/>
      <c r="Y418" s="94">
        <f>AVERAGE(C418:X418)</f>
        <v>263.75439500000005</v>
      </c>
      <c r="Z418" s="94">
        <f t="shared" si="95"/>
        <v>263.76475238095219</v>
      </c>
      <c r="AA418" s="94">
        <f t="shared" si="92"/>
        <v>1.0357380952143558E-2</v>
      </c>
      <c r="AB418" s="1">
        <f t="shared" si="93"/>
        <v>100</v>
      </c>
      <c r="AC418" s="1">
        <f t="shared" si="94"/>
        <v>5.1786904760717789</v>
      </c>
      <c r="AD418" s="307">
        <f>SUM(AC415:AC418)</f>
        <v>60.147261904347715</v>
      </c>
    </row>
    <row r="419" spans="1:30" ht="14.25" customHeight="1" x14ac:dyDescent="0.45">
      <c r="A419" s="79"/>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spans="1:30" ht="14.25" customHeight="1" x14ac:dyDescent="0.45">
      <c r="A420" s="79"/>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spans="1:30" ht="14.25" customHeight="1" x14ac:dyDescent="0.45">
      <c r="A421" s="79"/>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spans="1:30" ht="14.25" customHeight="1" x14ac:dyDescent="0.45">
      <c r="A422" s="598">
        <v>14</v>
      </c>
      <c r="B422" s="219">
        <v>0</v>
      </c>
      <c r="C422" s="237"/>
      <c r="D422" s="237"/>
      <c r="E422" s="237"/>
      <c r="F422" s="237"/>
      <c r="G422" s="237"/>
      <c r="H422" s="237"/>
      <c r="I422" s="237"/>
      <c r="J422" s="237"/>
      <c r="K422" s="238">
        <v>263.57479999999998</v>
      </c>
      <c r="L422" s="238">
        <v>263.74610000000001</v>
      </c>
      <c r="M422" s="238">
        <v>263.62220000000002</v>
      </c>
      <c r="N422" s="238">
        <v>263.18849999999998</v>
      </c>
      <c r="O422" s="238">
        <v>263.4674</v>
      </c>
      <c r="P422" s="238">
        <v>263.46179999999998</v>
      </c>
      <c r="Q422" s="238">
        <v>263.43729999999999</v>
      </c>
      <c r="R422" s="238">
        <v>263.73140000000001</v>
      </c>
      <c r="S422" s="238">
        <v>263.77429999999998</v>
      </c>
      <c r="T422" s="238">
        <v>263.82459999999998</v>
      </c>
      <c r="U422" s="238">
        <v>263.93209999999999</v>
      </c>
      <c r="V422" s="238">
        <v>263.83879999999999</v>
      </c>
      <c r="W422" s="94"/>
      <c r="X422" s="94"/>
      <c r="Y422" s="94">
        <f>AVERAGE(C422:X422)</f>
        <v>263.63327499999997</v>
      </c>
      <c r="Z422" s="94">
        <f>Z423-5/100-0.015</f>
        <v>263.54975238095216</v>
      </c>
      <c r="AA422" s="94">
        <f>Z422-Y422</f>
        <v>-8.3522619047812441E-2</v>
      </c>
      <c r="AB422" s="1">
        <f>COUNTIF(C422:X422,"&gt;0")*5</f>
        <v>60</v>
      </c>
      <c r="AC422" s="1">
        <f>AA422*AB422*5</f>
        <v>-25.056785714343732</v>
      </c>
    </row>
    <row r="423" spans="1:30" ht="14.25" customHeight="1" x14ac:dyDescent="0.45">
      <c r="A423" s="598"/>
      <c r="B423" s="219">
        <v>5</v>
      </c>
      <c r="C423" s="238">
        <v>263.65879999999999</v>
      </c>
      <c r="D423" s="238">
        <v>263.6635</v>
      </c>
      <c r="E423" s="238">
        <v>263.67579999999998</v>
      </c>
      <c r="F423" s="238">
        <v>263.6764</v>
      </c>
      <c r="G423" s="238">
        <v>263.69729999999998</v>
      </c>
      <c r="H423" s="238">
        <v>263.70240000000001</v>
      </c>
      <c r="I423" s="238">
        <v>263.709</v>
      </c>
      <c r="J423" s="238">
        <v>263.77730000000003</v>
      </c>
      <c r="K423" s="238">
        <v>263.50130000000001</v>
      </c>
      <c r="L423" s="238">
        <v>263.23610000000002</v>
      </c>
      <c r="M423" s="238">
        <v>263.32380000000001</v>
      </c>
      <c r="N423" s="238">
        <v>263.70269999999999</v>
      </c>
      <c r="O423" s="238">
        <v>263.78280000000001</v>
      </c>
      <c r="P423" s="238">
        <v>263.95339999999999</v>
      </c>
      <c r="Q423" s="238">
        <v>263.19130000000001</v>
      </c>
      <c r="R423" s="238">
        <v>263.1936</v>
      </c>
      <c r="S423" s="238">
        <v>263.71890000000002</v>
      </c>
      <c r="T423" s="238">
        <v>263.82170000000002</v>
      </c>
      <c r="U423" s="238">
        <v>263.9615</v>
      </c>
      <c r="V423" s="238">
        <v>264.13229999999999</v>
      </c>
      <c r="W423" s="94"/>
      <c r="X423" s="94"/>
      <c r="Y423" s="94">
        <f>AVERAGE(C423:X423)</f>
        <v>263.65399500000001</v>
      </c>
      <c r="Z423" s="94">
        <f>Z424-5/100</f>
        <v>263.61475238095215</v>
      </c>
      <c r="AA423" s="94">
        <f t="shared" ref="AA423:AA425" si="96">Z423-Y423</f>
        <v>-3.9242619047854532E-2</v>
      </c>
      <c r="AB423" s="1">
        <f t="shared" ref="AB423:AB425" si="97">COUNTIF(C423:X423,"&gt;0")*5</f>
        <v>100</v>
      </c>
      <c r="AC423" s="1">
        <f t="shared" ref="AC423:AC425" si="98">AA423*AB423*5</f>
        <v>-19.621309523927266</v>
      </c>
    </row>
    <row r="424" spans="1:30" ht="14.25" customHeight="1" x14ac:dyDescent="0.45">
      <c r="A424" s="598"/>
      <c r="B424" s="219">
        <v>10</v>
      </c>
      <c r="C424" s="238">
        <v>263.68110000000001</v>
      </c>
      <c r="D424" s="238">
        <v>263.65570000000002</v>
      </c>
      <c r="E424" s="238">
        <v>263.6635</v>
      </c>
      <c r="F424" s="238">
        <v>263.64640000000003</v>
      </c>
      <c r="G424" s="238">
        <v>263.66469999999998</v>
      </c>
      <c r="H424" s="238">
        <v>263.68349999999998</v>
      </c>
      <c r="I424" s="238">
        <v>263.68380000000002</v>
      </c>
      <c r="J424" s="238">
        <v>263.83240000000001</v>
      </c>
      <c r="K424" s="238">
        <v>263.86430000000001</v>
      </c>
      <c r="L424" s="238">
        <v>263.90260000000001</v>
      </c>
      <c r="M424" s="238">
        <v>263.78359999999998</v>
      </c>
      <c r="N424" s="238">
        <v>263.72660000000002</v>
      </c>
      <c r="O424" s="238">
        <v>263.72430000000003</v>
      </c>
      <c r="P424" s="238">
        <v>263.69290000000001</v>
      </c>
      <c r="Q424" s="238">
        <v>263.85309999999998</v>
      </c>
      <c r="R424" s="238">
        <v>263.7106</v>
      </c>
      <c r="S424" s="238">
        <v>263.70699999999999</v>
      </c>
      <c r="T424" s="238">
        <v>263.8048</v>
      </c>
      <c r="U424" s="238">
        <v>263.9624</v>
      </c>
      <c r="V424" s="238">
        <v>264.05259999999998</v>
      </c>
      <c r="W424" s="94"/>
      <c r="X424" s="94"/>
      <c r="Y424" s="94">
        <f>AVERAGE(C424:X424)</f>
        <v>263.76479499999999</v>
      </c>
      <c r="Z424" s="94">
        <f>Z425</f>
        <v>263.66475238095217</v>
      </c>
      <c r="AA424" s="94">
        <f t="shared" si="96"/>
        <v>-0.10004261904782652</v>
      </c>
      <c r="AB424" s="1">
        <f t="shared" si="97"/>
        <v>100</v>
      </c>
      <c r="AC424" s="1">
        <f t="shared" si="98"/>
        <v>-50.02130952391326</v>
      </c>
    </row>
    <row r="425" spans="1:30" ht="14.25" customHeight="1" x14ac:dyDescent="0.45">
      <c r="A425" s="598"/>
      <c r="B425" s="219">
        <v>15</v>
      </c>
      <c r="C425" s="238">
        <v>263.66860000000003</v>
      </c>
      <c r="D425" s="238">
        <v>263.67160000000001</v>
      </c>
      <c r="E425" s="238">
        <v>263.65789999999998</v>
      </c>
      <c r="F425" s="238">
        <v>263.66149999999999</v>
      </c>
      <c r="G425" s="238">
        <v>263.66180000000003</v>
      </c>
      <c r="H425" s="238">
        <v>263.65440000000001</v>
      </c>
      <c r="I425" s="238">
        <v>263.63690000000003</v>
      </c>
      <c r="J425" s="238">
        <v>263.71530000000001</v>
      </c>
      <c r="K425" s="238">
        <v>263.83929999999998</v>
      </c>
      <c r="L425" s="238">
        <v>263.93060000000003</v>
      </c>
      <c r="M425" s="238">
        <v>263.7396</v>
      </c>
      <c r="N425" s="238">
        <v>263.79860000000002</v>
      </c>
      <c r="O425" s="238">
        <v>263.74979999999999</v>
      </c>
      <c r="P425" s="238">
        <v>263.72269999999997</v>
      </c>
      <c r="Q425" s="238">
        <v>263.72039999999998</v>
      </c>
      <c r="R425" s="238">
        <v>263.70760000000001</v>
      </c>
      <c r="S425" s="238">
        <v>263.71620000000001</v>
      </c>
      <c r="T425" s="238">
        <v>263.73910000000001</v>
      </c>
      <c r="U425" s="238">
        <v>263.86059999999998</v>
      </c>
      <c r="V425" s="238">
        <v>264.02289999999999</v>
      </c>
      <c r="W425" s="94"/>
      <c r="X425" s="94"/>
      <c r="Y425" s="94">
        <f>AVERAGE(C425:X425)</f>
        <v>263.74376999999998</v>
      </c>
      <c r="Z425" s="235">
        <f>Z415-0.1</f>
        <v>263.66475238095217</v>
      </c>
      <c r="AA425" s="94">
        <f t="shared" si="96"/>
        <v>-7.9017619047817789E-2</v>
      </c>
      <c r="AB425" s="1">
        <f t="shared" si="97"/>
        <v>100</v>
      </c>
      <c r="AC425" s="1">
        <f t="shared" si="98"/>
        <v>-39.508809523908894</v>
      </c>
      <c r="AD425" s="307">
        <f>SUM(AC422:AC425)</f>
        <v>-134.20821428609315</v>
      </c>
    </row>
    <row r="426" spans="1:30" ht="14.25" customHeight="1" x14ac:dyDescent="0.45">
      <c r="A426" s="79"/>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spans="1:30" ht="14.25" customHeight="1" x14ac:dyDescent="0.45">
      <c r="A427" s="79"/>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spans="1:30" ht="14.25" customHeight="1" x14ac:dyDescent="0.45">
      <c r="A428" s="79"/>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spans="1:30" ht="14.25" customHeight="1" x14ac:dyDescent="0.45">
      <c r="A429" s="598">
        <v>15</v>
      </c>
      <c r="B429" s="219">
        <v>0</v>
      </c>
      <c r="C429" s="239">
        <v>263.85250000000002</v>
      </c>
      <c r="D429" s="239">
        <v>263.82</v>
      </c>
      <c r="E429" s="239">
        <v>263.74059999999997</v>
      </c>
      <c r="F429" s="239">
        <v>263.70690000000002</v>
      </c>
      <c r="G429" s="239">
        <v>263.69279999999998</v>
      </c>
      <c r="H429" s="239">
        <v>263.66050000000001</v>
      </c>
      <c r="I429" s="239">
        <v>263.66340000000002</v>
      </c>
      <c r="J429" s="239">
        <v>263.68790000000001</v>
      </c>
      <c r="K429" s="239">
        <v>263.78120000000001</v>
      </c>
      <c r="L429" s="239">
        <v>263.8073</v>
      </c>
      <c r="M429" s="94"/>
      <c r="N429" s="94"/>
      <c r="O429" s="94"/>
      <c r="P429" s="94"/>
      <c r="Q429" s="94"/>
      <c r="R429" s="94"/>
      <c r="S429" s="94"/>
      <c r="T429" s="94"/>
      <c r="U429" s="94"/>
      <c r="V429" s="94"/>
      <c r="W429" s="94"/>
      <c r="X429" s="94"/>
      <c r="Y429" s="94">
        <f>AVERAGE(C429:X429)</f>
        <v>263.74131</v>
      </c>
      <c r="Z429" s="94">
        <f>Z430-0.03</f>
        <v>263.5647523809522</v>
      </c>
      <c r="AA429" s="94">
        <f>Z429-Y429</f>
        <v>-0.17655761904779865</v>
      </c>
      <c r="AB429" s="1">
        <f>COUNTIF(C429:X429,"&gt;0")*5</f>
        <v>50</v>
      </c>
      <c r="AC429" s="1">
        <f>AA429*AB429*5</f>
        <v>-44.139404761949663</v>
      </c>
    </row>
    <row r="430" spans="1:30" ht="14.25" customHeight="1" x14ac:dyDescent="0.45">
      <c r="A430" s="598"/>
      <c r="B430" s="219">
        <v>5</v>
      </c>
      <c r="C430" s="239">
        <v>263.68680000000001</v>
      </c>
      <c r="D430" s="239">
        <v>263.6662</v>
      </c>
      <c r="E430" s="240"/>
      <c r="F430" s="240"/>
      <c r="G430" s="240"/>
      <c r="H430" s="240"/>
      <c r="I430" s="240"/>
      <c r="J430" s="240"/>
      <c r="K430" s="240"/>
      <c r="L430" s="240"/>
      <c r="M430" s="94"/>
      <c r="N430" s="94"/>
      <c r="O430" s="94"/>
      <c r="P430" s="94"/>
      <c r="Q430" s="94"/>
      <c r="R430" s="94"/>
      <c r="S430" s="94"/>
      <c r="T430" s="94"/>
      <c r="U430" s="94"/>
      <c r="V430" s="94"/>
      <c r="W430" s="94"/>
      <c r="X430" s="94"/>
      <c r="Y430" s="94">
        <f>AVERAGE(C430:X430)</f>
        <v>263.67650000000003</v>
      </c>
      <c r="Z430" s="94">
        <f>Z431-0.03</f>
        <v>263.59475238095217</v>
      </c>
      <c r="AA430" s="94">
        <f t="shared" ref="AA430:AA431" si="99">Z430-Y430</f>
        <v>-8.1747619047860098E-2</v>
      </c>
      <c r="AB430" s="1">
        <f t="shared" ref="AB430:AB431" si="100">COUNTIF(C430:X430,"&gt;0")*5</f>
        <v>10</v>
      </c>
      <c r="AC430" s="1">
        <f t="shared" ref="AC430:AC431" si="101">AA430*AB430*5</f>
        <v>-4.0873809523930049</v>
      </c>
    </row>
    <row r="431" spans="1:30" ht="14.25" customHeight="1" x14ac:dyDescent="0.45">
      <c r="A431" s="598"/>
      <c r="C431" s="239">
        <v>263.69819999999999</v>
      </c>
      <c r="D431" s="239">
        <v>263.67160000000001</v>
      </c>
      <c r="E431" s="240"/>
      <c r="F431" s="240"/>
      <c r="G431" s="240"/>
      <c r="H431" s="240"/>
      <c r="I431" s="240"/>
      <c r="J431" s="240"/>
      <c r="K431" s="240"/>
      <c r="L431" s="240"/>
      <c r="M431" s="94"/>
      <c r="N431" s="94"/>
      <c r="O431" s="94"/>
      <c r="P431" s="94"/>
      <c r="Q431" s="94"/>
      <c r="R431" s="94"/>
      <c r="S431" s="94"/>
      <c r="T431" s="94"/>
      <c r="U431" s="94"/>
      <c r="V431" s="94"/>
      <c r="W431" s="94"/>
      <c r="X431" s="94"/>
      <c r="Y431" s="94">
        <f>AVERAGE(C431:X431)</f>
        <v>263.68489999999997</v>
      </c>
      <c r="Z431" s="235">
        <f>Z425-0.04</f>
        <v>263.62475238095215</v>
      </c>
      <c r="AA431" s="94">
        <f t="shared" si="99"/>
        <v>-6.0147619047825174E-2</v>
      </c>
      <c r="AB431" s="1">
        <f t="shared" si="100"/>
        <v>10</v>
      </c>
      <c r="AC431" s="1">
        <f t="shared" si="101"/>
        <v>-3.0073809523912587</v>
      </c>
      <c r="AD431" s="307">
        <f>SUM(AC429:AC431)</f>
        <v>-51.234166666733927</v>
      </c>
    </row>
    <row r="434" spans="1:30" ht="14.25" customHeight="1" x14ac:dyDescent="0.45">
      <c r="A434" s="598">
        <v>16</v>
      </c>
      <c r="B434" s="219">
        <v>0</v>
      </c>
      <c r="C434" s="241">
        <v>263.70030000000003</v>
      </c>
      <c r="D434" s="241">
        <v>263.65960000000001</v>
      </c>
      <c r="E434" s="241">
        <v>263.7208</v>
      </c>
      <c r="F434" s="241">
        <v>263.72719999999998</v>
      </c>
      <c r="G434" s="241">
        <v>263.70100000000002</v>
      </c>
      <c r="H434" s="241">
        <v>263.73719999999997</v>
      </c>
      <c r="I434" s="241">
        <v>264.02699999999999</v>
      </c>
      <c r="J434" s="241">
        <v>264.17880000000002</v>
      </c>
      <c r="K434" s="241">
        <v>263.63979999999998</v>
      </c>
      <c r="L434" s="94"/>
      <c r="M434" s="94"/>
      <c r="N434" s="94"/>
      <c r="O434" s="94"/>
      <c r="P434" s="94"/>
      <c r="Q434" s="94"/>
      <c r="R434" s="94"/>
      <c r="S434" s="94"/>
      <c r="T434" s="94"/>
      <c r="U434" s="94"/>
      <c r="V434" s="94"/>
      <c r="W434" s="94"/>
      <c r="X434" s="94"/>
      <c r="Y434" s="94">
        <f t="shared" ref="Y434:Y439" si="102">AVERAGE(C434:X434)</f>
        <v>263.78796666666665</v>
      </c>
      <c r="Z434" s="235">
        <f>Z190-0.135</f>
        <v>263.77496818181828</v>
      </c>
      <c r="AA434" s="94">
        <f>Z434-Y434</f>
        <v>-1.2998484848367298E-2</v>
      </c>
      <c r="AB434" s="1">
        <f>COUNTIF(C434:X434,"&gt;0")*5</f>
        <v>45</v>
      </c>
      <c r="AC434" s="1">
        <f>AA434*AB434*5</f>
        <v>-2.924659090882642</v>
      </c>
    </row>
    <row r="435" spans="1:30" ht="14.25" customHeight="1" x14ac:dyDescent="0.45">
      <c r="A435" s="598"/>
      <c r="B435" s="219">
        <v>5</v>
      </c>
      <c r="C435" s="241">
        <v>263.76400000000001</v>
      </c>
      <c r="D435" s="241">
        <v>263.76920000000001</v>
      </c>
      <c r="E435" s="241">
        <v>263.74650000000003</v>
      </c>
      <c r="F435" s="241">
        <v>263.74099999999999</v>
      </c>
      <c r="G435" s="241">
        <v>263.75290000000001</v>
      </c>
      <c r="H435" s="241">
        <v>263.73759999999999</v>
      </c>
      <c r="I435" s="241">
        <v>264.01650000000001</v>
      </c>
      <c r="J435" s="241">
        <v>264.81369999999998</v>
      </c>
      <c r="K435" s="241">
        <v>264.10140000000001</v>
      </c>
      <c r="L435" s="94"/>
      <c r="M435" s="94"/>
      <c r="N435" s="94"/>
      <c r="O435" s="94"/>
      <c r="P435" s="94"/>
      <c r="Q435" s="94"/>
      <c r="R435" s="94"/>
      <c r="S435" s="94"/>
      <c r="T435" s="94"/>
      <c r="U435" s="94"/>
      <c r="V435" s="94"/>
      <c r="W435" s="94"/>
      <c r="X435" s="94"/>
      <c r="Y435" s="94">
        <f t="shared" si="102"/>
        <v>263.93808888888884</v>
      </c>
      <c r="Z435" s="94">
        <f>Z434</f>
        <v>263.77496818181828</v>
      </c>
      <c r="AA435" s="94">
        <f t="shared" ref="AA435:AA439" si="103">Z435-Y435</f>
        <v>-0.16312070707056137</v>
      </c>
      <c r="AB435" s="1">
        <f t="shared" ref="AB435:AB439" si="104">COUNTIF(C435:X435,"&gt;0")*5</f>
        <v>45</v>
      </c>
      <c r="AC435" s="1">
        <f t="shared" ref="AC435:AC439" si="105">AA435*AB435*5</f>
        <v>-36.702159090876307</v>
      </c>
    </row>
    <row r="436" spans="1:30" ht="14.25" customHeight="1" x14ac:dyDescent="0.45">
      <c r="A436" s="598"/>
      <c r="B436" s="219">
        <v>10</v>
      </c>
      <c r="C436" s="241">
        <v>263.81259999999997</v>
      </c>
      <c r="D436" s="241">
        <v>263.82139999999998</v>
      </c>
      <c r="E436" s="241">
        <v>263.80290000000002</v>
      </c>
      <c r="F436" s="241">
        <v>263.74650000000003</v>
      </c>
      <c r="G436" s="241">
        <v>263.77679999999998</v>
      </c>
      <c r="H436" s="241">
        <v>263.80489999999998</v>
      </c>
      <c r="I436" s="241">
        <v>263.81569999999999</v>
      </c>
      <c r="J436" s="241">
        <v>264.39229999999998</v>
      </c>
      <c r="K436" s="94"/>
      <c r="L436" s="94"/>
      <c r="M436" s="94"/>
      <c r="N436" s="94"/>
      <c r="O436" s="94"/>
      <c r="P436" s="94"/>
      <c r="Q436" s="94"/>
      <c r="R436" s="94"/>
      <c r="S436" s="94"/>
      <c r="T436" s="94"/>
      <c r="U436" s="94"/>
      <c r="V436" s="94"/>
      <c r="W436" s="94"/>
      <c r="X436" s="94"/>
      <c r="Y436" s="94">
        <f t="shared" si="102"/>
        <v>263.87163750000002</v>
      </c>
      <c r="Z436" s="94">
        <f t="shared" ref="Z436:Z439" si="106">Z435</f>
        <v>263.77496818181828</v>
      </c>
      <c r="AA436" s="94">
        <f t="shared" si="103"/>
        <v>-9.6669318181739072E-2</v>
      </c>
      <c r="AB436" s="1">
        <f t="shared" si="104"/>
        <v>40</v>
      </c>
      <c r="AC436" s="1">
        <f t="shared" si="105"/>
        <v>-19.333863636347814</v>
      </c>
    </row>
    <row r="437" spans="1:30" ht="14.25" customHeight="1" x14ac:dyDescent="0.45">
      <c r="A437" s="598"/>
      <c r="B437" s="219">
        <v>15</v>
      </c>
      <c r="C437" s="241">
        <v>263.81470000000002</v>
      </c>
      <c r="D437" s="241">
        <v>263.8741</v>
      </c>
      <c r="E437" s="241">
        <v>263.85919999999999</v>
      </c>
      <c r="F437" s="241">
        <v>263.81079999999997</v>
      </c>
      <c r="G437" s="241">
        <v>263.84609999999998</v>
      </c>
      <c r="H437" s="241">
        <v>263.84620000000001</v>
      </c>
      <c r="I437" s="241">
        <v>264.05380000000002</v>
      </c>
      <c r="J437" s="241">
        <v>264.70139999999998</v>
      </c>
      <c r="K437" s="94"/>
      <c r="L437" s="94"/>
      <c r="M437" s="94"/>
      <c r="N437" s="94"/>
      <c r="O437" s="94"/>
      <c r="P437" s="94"/>
      <c r="Q437" s="94"/>
      <c r="R437" s="94"/>
      <c r="S437" s="94"/>
      <c r="T437" s="94"/>
      <c r="U437" s="94"/>
      <c r="V437" s="94"/>
      <c r="W437" s="94"/>
      <c r="X437" s="94"/>
      <c r="Y437" s="94">
        <f t="shared" si="102"/>
        <v>263.97578749999997</v>
      </c>
      <c r="Z437" s="94">
        <f t="shared" si="106"/>
        <v>263.77496818181828</v>
      </c>
      <c r="AA437" s="94">
        <f t="shared" si="103"/>
        <v>-0.20081931818168641</v>
      </c>
      <c r="AB437" s="1">
        <f t="shared" si="104"/>
        <v>40</v>
      </c>
      <c r="AC437" s="1">
        <f t="shared" si="105"/>
        <v>-40.163863636337283</v>
      </c>
    </row>
    <row r="438" spans="1:30" ht="14.25" customHeight="1" x14ac:dyDescent="0.45">
      <c r="A438" s="598"/>
      <c r="B438" s="219">
        <v>20</v>
      </c>
      <c r="C438" s="241">
        <v>263.90089999999998</v>
      </c>
      <c r="D438" s="241">
        <v>263.87880000000001</v>
      </c>
      <c r="E438" s="241">
        <v>263.9126</v>
      </c>
      <c r="F438" s="241">
        <v>263.9187</v>
      </c>
      <c r="G438" s="241">
        <v>263.83589999999998</v>
      </c>
      <c r="H438" s="241">
        <v>263.90960000000001</v>
      </c>
      <c r="I438" s="241">
        <v>264.0856</v>
      </c>
      <c r="J438" s="94"/>
      <c r="K438" s="94"/>
      <c r="L438" s="94"/>
      <c r="M438" s="94"/>
      <c r="N438" s="94"/>
      <c r="O438" s="94"/>
      <c r="P438" s="94"/>
      <c r="Q438" s="94"/>
      <c r="R438" s="94"/>
      <c r="S438" s="94"/>
      <c r="T438" s="94"/>
      <c r="U438" s="94"/>
      <c r="V438" s="94"/>
      <c r="W438" s="94"/>
      <c r="X438" s="94"/>
      <c r="Y438" s="94">
        <f t="shared" si="102"/>
        <v>263.92030000000005</v>
      </c>
      <c r="Z438" s="94">
        <f t="shared" si="106"/>
        <v>263.77496818181828</v>
      </c>
      <c r="AA438" s="94">
        <f t="shared" si="103"/>
        <v>-0.14533181818177354</v>
      </c>
      <c r="AB438" s="1">
        <f t="shared" si="104"/>
        <v>35</v>
      </c>
      <c r="AC438" s="1">
        <f t="shared" si="105"/>
        <v>-25.43306818181037</v>
      </c>
    </row>
    <row r="439" spans="1:30" ht="14.25" customHeight="1" x14ac:dyDescent="0.45">
      <c r="A439" s="598"/>
      <c r="B439" s="219">
        <v>25</v>
      </c>
      <c r="C439" s="241">
        <v>265.0795</v>
      </c>
      <c r="D439" s="241">
        <v>264.71190000000001</v>
      </c>
      <c r="E439" s="241">
        <v>263.92259999999999</v>
      </c>
      <c r="F439" s="241">
        <v>263.86989999999997</v>
      </c>
      <c r="G439" s="241">
        <v>263.96199999999999</v>
      </c>
      <c r="H439" s="241">
        <v>264.34589999999997</v>
      </c>
      <c r="I439" s="241">
        <v>264.22140000000002</v>
      </c>
      <c r="J439" s="94"/>
      <c r="K439" s="94"/>
      <c r="L439" s="94"/>
      <c r="M439" s="94"/>
      <c r="N439" s="94"/>
      <c r="O439" s="94"/>
      <c r="P439" s="94"/>
      <c r="Q439" s="94"/>
      <c r="R439" s="94"/>
      <c r="S439" s="94"/>
      <c r="T439" s="94"/>
      <c r="U439" s="94"/>
      <c r="V439" s="94"/>
      <c r="W439" s="94"/>
      <c r="X439" s="94"/>
      <c r="Y439" s="94">
        <f t="shared" si="102"/>
        <v>264.30188571428573</v>
      </c>
      <c r="Z439" s="94">
        <f t="shared" si="106"/>
        <v>263.77496818181828</v>
      </c>
      <c r="AA439" s="94">
        <f t="shared" si="103"/>
        <v>-0.52691753246745066</v>
      </c>
      <c r="AB439" s="1">
        <f t="shared" si="104"/>
        <v>35</v>
      </c>
      <c r="AC439" s="1">
        <f t="shared" si="105"/>
        <v>-92.210568181803865</v>
      </c>
      <c r="AD439" s="307">
        <f>SUM(AC434:AC439)</f>
        <v>-216.76818181805828</v>
      </c>
    </row>
    <row r="440" spans="1:30" ht="14.25" customHeight="1" x14ac:dyDescent="0.45">
      <c r="A440" s="79"/>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spans="1:30" ht="14.25" customHeight="1" x14ac:dyDescent="0.45">
      <c r="A441" s="79"/>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spans="1:30" ht="14.25" customHeight="1" x14ac:dyDescent="0.45">
      <c r="A442" s="79"/>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spans="1:30" ht="14.25" customHeight="1" x14ac:dyDescent="0.45">
      <c r="A443" s="598">
        <v>17</v>
      </c>
      <c r="B443" s="219">
        <v>0</v>
      </c>
      <c r="C443" s="242">
        <v>263.68290000000002</v>
      </c>
      <c r="D443" s="242">
        <v>263.66050000000001</v>
      </c>
      <c r="E443" s="242">
        <v>263.6619</v>
      </c>
      <c r="F443" s="94"/>
      <c r="G443" s="94"/>
      <c r="H443" s="94"/>
      <c r="I443" s="94"/>
      <c r="J443" s="94"/>
      <c r="K443" s="94"/>
      <c r="L443" s="94"/>
      <c r="M443" s="94"/>
      <c r="N443" s="94"/>
      <c r="O443" s="94"/>
      <c r="P443" s="94"/>
      <c r="Q443" s="94"/>
      <c r="R443" s="94"/>
      <c r="S443" s="94"/>
      <c r="T443" s="94"/>
      <c r="U443" s="94"/>
      <c r="V443" s="94"/>
      <c r="W443" s="94"/>
      <c r="X443" s="94"/>
      <c r="Y443" s="94">
        <f t="shared" ref="Y443:Y451" si="107">AVERAGE(C443:X443)</f>
        <v>263.66843333333333</v>
      </c>
      <c r="Z443" s="235">
        <f t="shared" ref="Z443:Z450" si="108">Z183</f>
        <v>263.55996818181819</v>
      </c>
      <c r="AA443" s="94">
        <f>Z443-Y443</f>
        <v>-0.10846515151513358</v>
      </c>
      <c r="AB443" s="1">
        <f>COUNTIF(C443:X443,"&gt;0")*5</f>
        <v>15</v>
      </c>
      <c r="AC443" s="1">
        <f>AA443*AB443*5</f>
        <v>-8.1348863636350188</v>
      </c>
    </row>
    <row r="444" spans="1:30" ht="14.25" customHeight="1" x14ac:dyDescent="0.45">
      <c r="A444" s="598"/>
      <c r="B444" s="219">
        <v>5</v>
      </c>
      <c r="C444" s="242">
        <v>263.66739999999999</v>
      </c>
      <c r="D444" s="242">
        <v>263.61669999999998</v>
      </c>
      <c r="E444" s="242">
        <v>263.67090000000002</v>
      </c>
      <c r="F444" s="94"/>
      <c r="G444" s="94"/>
      <c r="H444" s="94"/>
      <c r="I444" s="94"/>
      <c r="J444" s="94"/>
      <c r="K444" s="94"/>
      <c r="L444" s="94"/>
      <c r="M444" s="94"/>
      <c r="N444" s="94"/>
      <c r="O444" s="94"/>
      <c r="P444" s="94"/>
      <c r="Q444" s="94"/>
      <c r="R444" s="94"/>
      <c r="S444" s="94"/>
      <c r="T444" s="94"/>
      <c r="U444" s="94"/>
      <c r="V444" s="94"/>
      <c r="W444" s="94"/>
      <c r="X444" s="94"/>
      <c r="Y444" s="94">
        <f t="shared" si="107"/>
        <v>263.65166666666664</v>
      </c>
      <c r="Z444" s="94">
        <f t="shared" si="108"/>
        <v>263.6099681818182</v>
      </c>
      <c r="AA444" s="94">
        <f t="shared" ref="AA444:AA451" si="109">Z444-Y444</f>
        <v>-4.1698484848438966E-2</v>
      </c>
      <c r="AB444" s="1">
        <f t="shared" ref="AB444:AB451" si="110">COUNTIF(C444:X444,"&gt;0")*5</f>
        <v>15</v>
      </c>
      <c r="AC444" s="1">
        <f t="shared" ref="AC444:AC451" si="111">AA444*AB444*5</f>
        <v>-3.1273863636329224</v>
      </c>
    </row>
    <row r="445" spans="1:30" ht="14.25" customHeight="1" x14ac:dyDescent="0.45">
      <c r="A445" s="598"/>
      <c r="B445" s="219">
        <v>10</v>
      </c>
      <c r="C445" s="242">
        <v>263.60449999999997</v>
      </c>
      <c r="D445" s="242">
        <v>263.62380000000002</v>
      </c>
      <c r="E445" s="242">
        <v>263.6515</v>
      </c>
      <c r="F445" s="94"/>
      <c r="G445" s="94"/>
      <c r="H445" s="94"/>
      <c r="I445" s="94"/>
      <c r="J445" s="94"/>
      <c r="K445" s="94"/>
      <c r="L445" s="94"/>
      <c r="M445" s="94"/>
      <c r="N445" s="94"/>
      <c r="O445" s="94"/>
      <c r="P445" s="94"/>
      <c r="Q445" s="94"/>
      <c r="R445" s="94"/>
      <c r="S445" s="94"/>
      <c r="T445" s="94"/>
      <c r="U445" s="94"/>
      <c r="V445" s="94"/>
      <c r="W445" s="94"/>
      <c r="X445" s="94"/>
      <c r="Y445" s="94">
        <f t="shared" si="107"/>
        <v>263.6266</v>
      </c>
      <c r="Z445" s="94">
        <f t="shared" si="108"/>
        <v>263.65996818181821</v>
      </c>
      <c r="AA445" s="94">
        <f t="shared" si="109"/>
        <v>3.3368181818218545E-2</v>
      </c>
      <c r="AB445" s="1">
        <f t="shared" si="110"/>
        <v>15</v>
      </c>
      <c r="AC445" s="1">
        <f t="shared" si="111"/>
        <v>2.5026136363663909</v>
      </c>
    </row>
    <row r="446" spans="1:30" ht="14.25" customHeight="1" x14ac:dyDescent="0.45">
      <c r="A446" s="598"/>
      <c r="B446" s="219">
        <v>15</v>
      </c>
      <c r="C446" s="242">
        <v>263.71420000000001</v>
      </c>
      <c r="D446" s="242">
        <v>263.64100000000002</v>
      </c>
      <c r="E446" s="242">
        <v>263.65170000000001</v>
      </c>
      <c r="F446" s="94"/>
      <c r="G446" s="94"/>
      <c r="H446" s="94"/>
      <c r="I446" s="94"/>
      <c r="J446" s="94"/>
      <c r="K446" s="94"/>
      <c r="L446" s="94"/>
      <c r="M446" s="94"/>
      <c r="N446" s="94"/>
      <c r="O446" s="94"/>
      <c r="P446" s="94"/>
      <c r="Q446" s="94"/>
      <c r="R446" s="94"/>
      <c r="S446" s="94"/>
      <c r="T446" s="94"/>
      <c r="U446" s="94"/>
      <c r="V446" s="94"/>
      <c r="W446" s="94"/>
      <c r="X446" s="94"/>
      <c r="Y446" s="94">
        <f t="shared" si="107"/>
        <v>263.66896666666668</v>
      </c>
      <c r="Z446" s="94">
        <f t="shared" si="108"/>
        <v>263.70996818181823</v>
      </c>
      <c r="AA446" s="94">
        <f t="shared" si="109"/>
        <v>4.1001515151549484E-2</v>
      </c>
      <c r="AB446" s="1">
        <f t="shared" si="110"/>
        <v>15</v>
      </c>
      <c r="AC446" s="1">
        <f t="shared" si="111"/>
        <v>3.0751136363662113</v>
      </c>
    </row>
    <row r="447" spans="1:30" ht="14.25" customHeight="1" x14ac:dyDescent="0.45">
      <c r="A447" s="598"/>
      <c r="B447" s="219">
        <v>20</v>
      </c>
      <c r="C447" s="242">
        <v>263.84559999999999</v>
      </c>
      <c r="D447" s="242">
        <v>263.64299999999997</v>
      </c>
      <c r="E447" s="242">
        <v>263.63119999999998</v>
      </c>
      <c r="F447" s="94"/>
      <c r="G447" s="94"/>
      <c r="H447" s="94"/>
      <c r="I447" s="94"/>
      <c r="J447" s="94"/>
      <c r="K447" s="94"/>
      <c r="L447" s="94"/>
      <c r="M447" s="94"/>
      <c r="N447" s="94"/>
      <c r="O447" s="94"/>
      <c r="P447" s="94"/>
      <c r="Q447" s="94"/>
      <c r="R447" s="94"/>
      <c r="S447" s="94"/>
      <c r="T447" s="94"/>
      <c r="U447" s="94"/>
      <c r="V447" s="94"/>
      <c r="W447" s="94"/>
      <c r="X447" s="94"/>
      <c r="Y447" s="94">
        <f t="shared" si="107"/>
        <v>263.70659999999998</v>
      </c>
      <c r="Z447" s="94">
        <f t="shared" si="108"/>
        <v>263.75996818181824</v>
      </c>
      <c r="AA447" s="94">
        <f t="shared" si="109"/>
        <v>5.3368181818257199E-2</v>
      </c>
      <c r="AB447" s="1">
        <f t="shared" si="110"/>
        <v>15</v>
      </c>
      <c r="AC447" s="1">
        <f t="shared" si="111"/>
        <v>4.0026136363692899</v>
      </c>
    </row>
    <row r="448" spans="1:30" ht="14.25" customHeight="1" x14ac:dyDescent="0.45">
      <c r="A448" s="598"/>
      <c r="B448" s="219">
        <v>25</v>
      </c>
      <c r="C448" s="242">
        <v>263.84879999999998</v>
      </c>
      <c r="D448" s="242">
        <v>263.65870000000001</v>
      </c>
      <c r="E448" s="242">
        <v>263.66030000000001</v>
      </c>
      <c r="F448" s="94"/>
      <c r="G448" s="94"/>
      <c r="H448" s="94"/>
      <c r="I448" s="94"/>
      <c r="J448" s="94"/>
      <c r="K448" s="94"/>
      <c r="L448" s="94"/>
      <c r="M448" s="94"/>
      <c r="N448" s="94"/>
      <c r="O448" s="94"/>
      <c r="P448" s="94"/>
      <c r="Q448" s="94"/>
      <c r="R448" s="94"/>
      <c r="S448" s="94"/>
      <c r="T448" s="94"/>
      <c r="U448" s="94"/>
      <c r="V448" s="94"/>
      <c r="W448" s="94"/>
      <c r="X448" s="94"/>
      <c r="Y448" s="94">
        <f t="shared" si="107"/>
        <v>263.7226</v>
      </c>
      <c r="Z448" s="94">
        <f t="shared" si="108"/>
        <v>263.80996818181825</v>
      </c>
      <c r="AA448" s="94">
        <f t="shared" si="109"/>
        <v>8.7368181818249013E-2</v>
      </c>
      <c r="AB448" s="1">
        <f t="shared" si="110"/>
        <v>15</v>
      </c>
      <c r="AC448" s="1">
        <f t="shared" si="111"/>
        <v>6.552613636368676</v>
      </c>
    </row>
    <row r="449" spans="1:30" ht="14.25" customHeight="1" x14ac:dyDescent="0.45">
      <c r="A449" s="598"/>
      <c r="B449" s="219">
        <v>30</v>
      </c>
      <c r="C449" s="242">
        <v>263.64510000000001</v>
      </c>
      <c r="D449" s="242">
        <v>263.73230000000001</v>
      </c>
      <c r="E449" s="242">
        <v>263.74119999999999</v>
      </c>
      <c r="F449" s="94"/>
      <c r="G449" s="94"/>
      <c r="H449" s="94"/>
      <c r="I449" s="94"/>
      <c r="J449" s="94"/>
      <c r="K449" s="94"/>
      <c r="L449" s="94"/>
      <c r="M449" s="94"/>
      <c r="N449" s="94"/>
      <c r="O449" s="94"/>
      <c r="P449" s="94"/>
      <c r="Q449" s="94"/>
      <c r="R449" s="94"/>
      <c r="S449" s="94"/>
      <c r="T449" s="94"/>
      <c r="U449" s="94"/>
      <c r="V449" s="94"/>
      <c r="W449" s="94"/>
      <c r="X449" s="94"/>
      <c r="Y449" s="94">
        <f t="shared" si="107"/>
        <v>263.70620000000002</v>
      </c>
      <c r="Z449" s="94">
        <f t="shared" si="108"/>
        <v>263.85996818181826</v>
      </c>
      <c r="AA449" s="94">
        <f t="shared" si="109"/>
        <v>0.15376818181823637</v>
      </c>
      <c r="AB449" s="1">
        <f t="shared" si="110"/>
        <v>15</v>
      </c>
      <c r="AC449" s="1">
        <f t="shared" si="111"/>
        <v>11.532613636367728</v>
      </c>
    </row>
    <row r="450" spans="1:30" ht="14.25" customHeight="1" x14ac:dyDescent="0.45">
      <c r="A450" s="598"/>
      <c r="B450" s="219">
        <v>35</v>
      </c>
      <c r="C450" s="242">
        <v>263.67380000000003</v>
      </c>
      <c r="D450" s="242">
        <v>263.67</v>
      </c>
      <c r="E450" s="242">
        <v>263.71870000000001</v>
      </c>
      <c r="F450" s="94"/>
      <c r="G450" s="94"/>
      <c r="H450" s="94"/>
      <c r="I450" s="94"/>
      <c r="J450" s="94"/>
      <c r="K450" s="94"/>
      <c r="L450" s="94"/>
      <c r="M450" s="94"/>
      <c r="N450" s="94"/>
      <c r="O450" s="94"/>
      <c r="P450" s="94"/>
      <c r="Q450" s="94"/>
      <c r="R450" s="94"/>
      <c r="S450" s="94"/>
      <c r="T450" s="94"/>
      <c r="U450" s="94"/>
      <c r="V450" s="94"/>
      <c r="W450" s="94"/>
      <c r="X450" s="94"/>
      <c r="Y450" s="94">
        <f t="shared" si="107"/>
        <v>263.68750000000006</v>
      </c>
      <c r="Z450" s="94">
        <f t="shared" si="108"/>
        <v>263.90996818181827</v>
      </c>
      <c r="AA450" s="94">
        <f t="shared" si="109"/>
        <v>0.22246818181821482</v>
      </c>
      <c r="AB450" s="1">
        <f t="shared" si="110"/>
        <v>15</v>
      </c>
      <c r="AC450" s="1">
        <f t="shared" si="111"/>
        <v>16.685113636366111</v>
      </c>
    </row>
    <row r="451" spans="1:30" ht="14.25" customHeight="1" x14ac:dyDescent="0.45">
      <c r="A451" s="598"/>
      <c r="B451" s="219">
        <v>40</v>
      </c>
      <c r="C451" s="242">
        <v>263.70600000000002</v>
      </c>
      <c r="D451" s="242">
        <v>263.66770000000002</v>
      </c>
      <c r="E451" s="242">
        <v>263.71129999999999</v>
      </c>
      <c r="F451" s="94"/>
      <c r="G451" s="94"/>
      <c r="H451" s="94"/>
      <c r="I451" s="94"/>
      <c r="J451" s="94"/>
      <c r="K451" s="94"/>
      <c r="L451" s="94"/>
      <c r="M451" s="94"/>
      <c r="N451" s="94"/>
      <c r="O451" s="94"/>
      <c r="P451" s="94"/>
      <c r="Q451" s="94"/>
      <c r="R451" s="94"/>
      <c r="S451" s="94"/>
      <c r="T451" s="94"/>
      <c r="U451" s="94"/>
      <c r="V451" s="94"/>
      <c r="W451" s="94"/>
      <c r="X451" s="94"/>
      <c r="Y451" s="94">
        <f t="shared" si="107"/>
        <v>263.69499999999999</v>
      </c>
      <c r="Z451" s="94">
        <f>Z191</f>
        <v>263.95996818181828</v>
      </c>
      <c r="AA451" s="94">
        <f t="shared" si="109"/>
        <v>0.26496818181828985</v>
      </c>
      <c r="AB451" s="1">
        <f t="shared" si="110"/>
        <v>15</v>
      </c>
      <c r="AC451" s="1">
        <f t="shared" si="111"/>
        <v>19.872613636371739</v>
      </c>
      <c r="AD451" s="307">
        <f>SUM(AC443:AC451)</f>
        <v>52.961022727308205</v>
      </c>
    </row>
    <row r="452" spans="1:30" ht="14.25" customHeight="1" x14ac:dyDescent="0.45">
      <c r="A452" s="79"/>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spans="1:30" ht="14.25" customHeight="1" x14ac:dyDescent="0.45">
      <c r="A453" s="79"/>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spans="1:30" ht="14.25" customHeight="1" x14ac:dyDescent="0.45">
      <c r="A454" s="79"/>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spans="1:30" ht="14.25" customHeight="1" x14ac:dyDescent="0.45">
      <c r="A455" s="598">
        <v>18</v>
      </c>
      <c r="B455" s="219">
        <v>0</v>
      </c>
      <c r="C455" s="243">
        <v>263.71069999999997</v>
      </c>
      <c r="D455" s="243">
        <v>263.59629999999999</v>
      </c>
      <c r="E455" s="243">
        <v>263.57619999999997</v>
      </c>
      <c r="F455" s="94"/>
      <c r="G455" s="94"/>
      <c r="H455" s="94"/>
      <c r="I455" s="94"/>
      <c r="J455" s="94"/>
      <c r="K455" s="94"/>
      <c r="L455" s="94"/>
      <c r="M455" s="94"/>
      <c r="N455" s="94"/>
      <c r="O455" s="94"/>
      <c r="P455" s="94"/>
      <c r="Q455" s="94"/>
      <c r="R455" s="94"/>
      <c r="S455" s="94"/>
      <c r="T455" s="94"/>
      <c r="U455" s="94"/>
      <c r="V455" s="94"/>
      <c r="W455" s="94"/>
      <c r="X455" s="94"/>
      <c r="Y455" s="94">
        <f t="shared" ref="Y455:Y462" si="112">AVERAGE(C455:X455)</f>
        <v>263.62773333333331</v>
      </c>
      <c r="Z455" s="94">
        <f>Z456</f>
        <v>263.5499681818182</v>
      </c>
      <c r="AA455" s="94">
        <f>Z455-Y455</f>
        <v>-7.776515151510921E-2</v>
      </c>
      <c r="AB455" s="1">
        <f>COUNTIF(C455:X455,"&gt;0")*5</f>
        <v>15</v>
      </c>
      <c r="AC455" s="1">
        <f>AA455*AB455*5</f>
        <v>-5.8323863636331907</v>
      </c>
    </row>
    <row r="456" spans="1:30" ht="14.25" customHeight="1" x14ac:dyDescent="0.45">
      <c r="A456" s="598"/>
      <c r="B456" s="219">
        <v>5</v>
      </c>
      <c r="C456" s="243">
        <v>263.77019999999999</v>
      </c>
      <c r="D456" s="243">
        <v>263.7296</v>
      </c>
      <c r="E456" s="243">
        <v>263.64109999999999</v>
      </c>
      <c r="F456" s="94"/>
      <c r="G456" s="94"/>
      <c r="H456" s="94"/>
      <c r="I456" s="94"/>
      <c r="J456" s="94"/>
      <c r="K456" s="94"/>
      <c r="L456" s="94"/>
      <c r="M456" s="94"/>
      <c r="N456" s="94"/>
      <c r="O456" s="94"/>
      <c r="P456" s="94"/>
      <c r="Q456" s="94"/>
      <c r="R456" s="94"/>
      <c r="S456" s="94"/>
      <c r="T456" s="94"/>
      <c r="U456" s="94"/>
      <c r="V456" s="94"/>
      <c r="W456" s="94"/>
      <c r="X456" s="94"/>
      <c r="Y456" s="94">
        <f t="shared" si="112"/>
        <v>263.71363333333335</v>
      </c>
      <c r="Z456" s="94">
        <f t="shared" ref="Z456:Z460" si="113">Z457</f>
        <v>263.5499681818182</v>
      </c>
      <c r="AA456" s="94">
        <f t="shared" ref="AA456:AA462" si="114">Z456-Y456</f>
        <v>-0.16366515151514704</v>
      </c>
      <c r="AB456" s="1">
        <f t="shared" ref="AB456:AB462" si="115">COUNTIF(C456:X456,"&gt;0")*5</f>
        <v>15</v>
      </c>
      <c r="AC456" s="1">
        <f t="shared" ref="AC456:AC462" si="116">AA456*AB456*5</f>
        <v>-12.274886363636028</v>
      </c>
    </row>
    <row r="457" spans="1:30" ht="14.25" customHeight="1" x14ac:dyDescent="0.45">
      <c r="A457" s="598"/>
      <c r="B457" s="219">
        <v>10</v>
      </c>
      <c r="C457" s="243">
        <v>263.99740000000003</v>
      </c>
      <c r="D457" s="243">
        <v>263.85649999999998</v>
      </c>
      <c r="E457" s="243">
        <v>263.85910000000001</v>
      </c>
      <c r="F457" s="94"/>
      <c r="G457" s="94"/>
      <c r="H457" s="94"/>
      <c r="I457" s="94"/>
      <c r="J457" s="94"/>
      <c r="K457" s="94"/>
      <c r="L457" s="94"/>
      <c r="M457" s="94"/>
      <c r="N457" s="94"/>
      <c r="O457" s="94"/>
      <c r="P457" s="94"/>
      <c r="Q457" s="94"/>
      <c r="R457" s="94"/>
      <c r="S457" s="94"/>
      <c r="T457" s="94"/>
      <c r="U457" s="94"/>
      <c r="V457" s="94"/>
      <c r="W457" s="94"/>
      <c r="X457" s="94"/>
      <c r="Y457" s="94">
        <f t="shared" si="112"/>
        <v>263.90433333333334</v>
      </c>
      <c r="Z457" s="94">
        <f t="shared" si="113"/>
        <v>263.5499681818182</v>
      </c>
      <c r="AA457" s="94">
        <f t="shared" si="114"/>
        <v>-0.35436515151513959</v>
      </c>
      <c r="AB457" s="1">
        <f t="shared" si="115"/>
        <v>15</v>
      </c>
      <c r="AC457" s="1">
        <f t="shared" si="116"/>
        <v>-26.577386363635469</v>
      </c>
    </row>
    <row r="458" spans="1:30" ht="14.25" customHeight="1" x14ac:dyDescent="0.45">
      <c r="A458" s="598"/>
      <c r="B458" s="219">
        <v>15</v>
      </c>
      <c r="C458" s="243">
        <v>264.21170000000001</v>
      </c>
      <c r="D458" s="243">
        <v>264.178</v>
      </c>
      <c r="E458" s="243">
        <v>263.98939999999999</v>
      </c>
      <c r="F458" s="94"/>
      <c r="G458" s="94"/>
      <c r="H458" s="94"/>
      <c r="I458" s="94"/>
      <c r="J458" s="94"/>
      <c r="K458" s="94"/>
      <c r="L458" s="94"/>
      <c r="M458" s="94"/>
      <c r="N458" s="94"/>
      <c r="O458" s="94"/>
      <c r="P458" s="94"/>
      <c r="Q458" s="94"/>
      <c r="R458" s="94"/>
      <c r="S458" s="94"/>
      <c r="T458" s="94"/>
      <c r="U458" s="94"/>
      <c r="V458" s="94"/>
      <c r="W458" s="94"/>
      <c r="X458" s="94"/>
      <c r="Y458" s="94">
        <f t="shared" si="112"/>
        <v>264.12636666666663</v>
      </c>
      <c r="Z458" s="94">
        <f t="shared" si="113"/>
        <v>263.5499681818182</v>
      </c>
      <c r="AA458" s="94">
        <f t="shared" si="114"/>
        <v>-0.5763984848484256</v>
      </c>
      <c r="AB458" s="1">
        <f t="shared" si="115"/>
        <v>15</v>
      </c>
      <c r="AC458" s="1">
        <f t="shared" si="116"/>
        <v>-43.22988636363192</v>
      </c>
    </row>
    <row r="459" spans="1:30" ht="14.25" customHeight="1" x14ac:dyDescent="0.45">
      <c r="A459" s="598"/>
      <c r="B459" s="219">
        <v>20</v>
      </c>
      <c r="C459" s="243">
        <v>264.11739999999998</v>
      </c>
      <c r="D459" s="243">
        <v>264.0684</v>
      </c>
      <c r="E459" s="243">
        <v>264.03109999999998</v>
      </c>
      <c r="F459" s="94"/>
      <c r="G459" s="94"/>
      <c r="H459" s="94"/>
      <c r="I459" s="94"/>
      <c r="J459" s="94"/>
      <c r="K459" s="94"/>
      <c r="L459" s="94"/>
      <c r="M459" s="94"/>
      <c r="N459" s="94"/>
      <c r="O459" s="94"/>
      <c r="P459" s="94"/>
      <c r="Q459" s="94"/>
      <c r="R459" s="94"/>
      <c r="S459" s="94"/>
      <c r="T459" s="94"/>
      <c r="U459" s="94"/>
      <c r="V459" s="94"/>
      <c r="W459" s="94"/>
      <c r="X459" s="94"/>
      <c r="Y459" s="94">
        <f t="shared" si="112"/>
        <v>264.07229999999998</v>
      </c>
      <c r="Z459" s="94">
        <f t="shared" si="113"/>
        <v>263.5499681818182</v>
      </c>
      <c r="AA459" s="94">
        <f t="shared" si="114"/>
        <v>-0.52233181818178309</v>
      </c>
      <c r="AB459" s="1">
        <f t="shared" si="115"/>
        <v>15</v>
      </c>
      <c r="AC459" s="1">
        <f t="shared" si="116"/>
        <v>-39.174886363633732</v>
      </c>
    </row>
    <row r="460" spans="1:30" ht="14.25" customHeight="1" x14ac:dyDescent="0.45">
      <c r="A460" s="598"/>
      <c r="B460" s="219">
        <v>25</v>
      </c>
      <c r="C460" s="243">
        <v>263.95249999999999</v>
      </c>
      <c r="D460" s="243">
        <v>264.01740000000001</v>
      </c>
      <c r="E460" s="243">
        <v>264.00959999999998</v>
      </c>
      <c r="F460" s="94"/>
      <c r="G460" s="94"/>
      <c r="H460" s="94"/>
      <c r="I460" s="94"/>
      <c r="J460" s="94"/>
      <c r="K460" s="94"/>
      <c r="L460" s="94"/>
      <c r="M460" s="94"/>
      <c r="N460" s="94"/>
      <c r="O460" s="94"/>
      <c r="P460" s="94"/>
      <c r="Q460" s="94"/>
      <c r="R460" s="94"/>
      <c r="S460" s="94"/>
      <c r="T460" s="94"/>
      <c r="U460" s="94"/>
      <c r="V460" s="94"/>
      <c r="W460" s="94"/>
      <c r="X460" s="94"/>
      <c r="Y460" s="94">
        <f t="shared" si="112"/>
        <v>263.9931666666667</v>
      </c>
      <c r="Z460" s="94">
        <f t="shared" si="113"/>
        <v>263.5499681818182</v>
      </c>
      <c r="AA460" s="94">
        <f t="shared" si="114"/>
        <v>-0.44319848484849445</v>
      </c>
      <c r="AB460" s="1">
        <f t="shared" si="115"/>
        <v>15</v>
      </c>
      <c r="AC460" s="1">
        <f t="shared" si="116"/>
        <v>-33.239886363637083</v>
      </c>
    </row>
    <row r="461" spans="1:30" ht="14.25" customHeight="1" x14ac:dyDescent="0.45">
      <c r="A461" s="598"/>
      <c r="B461" s="219">
        <v>30</v>
      </c>
      <c r="C461" s="243">
        <v>263.91419999999999</v>
      </c>
      <c r="D461" s="243">
        <v>263.79880000000003</v>
      </c>
      <c r="E461" s="243">
        <v>263.92039999999997</v>
      </c>
      <c r="F461" s="94"/>
      <c r="G461" s="94"/>
      <c r="H461" s="94"/>
      <c r="I461" s="94"/>
      <c r="J461" s="94"/>
      <c r="K461" s="94"/>
      <c r="L461" s="94"/>
      <c r="M461" s="94"/>
      <c r="N461" s="94"/>
      <c r="O461" s="94"/>
      <c r="P461" s="94"/>
      <c r="Q461" s="94"/>
      <c r="R461" s="94"/>
      <c r="S461" s="94"/>
      <c r="T461" s="94"/>
      <c r="U461" s="94"/>
      <c r="V461" s="94"/>
      <c r="W461" s="94"/>
      <c r="X461" s="94"/>
      <c r="Y461" s="94">
        <f t="shared" si="112"/>
        <v>263.87779999999998</v>
      </c>
      <c r="Z461" s="94">
        <f>Z462</f>
        <v>263.5499681818182</v>
      </c>
      <c r="AA461" s="94">
        <f t="shared" si="114"/>
        <v>-0.32783181818177809</v>
      </c>
      <c r="AB461" s="1">
        <f t="shared" si="115"/>
        <v>15</v>
      </c>
      <c r="AC461" s="1">
        <f t="shared" si="116"/>
        <v>-24.587386363633357</v>
      </c>
    </row>
    <row r="462" spans="1:30" ht="14.25" customHeight="1" x14ac:dyDescent="0.45">
      <c r="A462" s="598"/>
      <c r="B462" s="219">
        <v>35</v>
      </c>
      <c r="C462" s="243">
        <v>263.6551</v>
      </c>
      <c r="D462" s="243">
        <v>263.63630000000001</v>
      </c>
      <c r="E462" s="243">
        <v>263.64019999999999</v>
      </c>
      <c r="F462" s="94"/>
      <c r="G462" s="94"/>
      <c r="H462" s="94"/>
      <c r="I462" s="94"/>
      <c r="J462" s="94"/>
      <c r="K462" s="94"/>
      <c r="L462" s="94"/>
      <c r="M462" s="94"/>
      <c r="N462" s="94"/>
      <c r="O462" s="94"/>
      <c r="P462" s="94"/>
      <c r="Q462" s="94"/>
      <c r="R462" s="94"/>
      <c r="S462" s="94"/>
      <c r="T462" s="94"/>
      <c r="U462" s="94"/>
      <c r="V462" s="94"/>
      <c r="W462" s="94"/>
      <c r="X462" s="94"/>
      <c r="Y462" s="94">
        <f t="shared" si="112"/>
        <v>263.64386666666672</v>
      </c>
      <c r="Z462" s="235">
        <f>Z471</f>
        <v>263.5499681818182</v>
      </c>
      <c r="AA462" s="94">
        <f t="shared" si="114"/>
        <v>-9.3898484848523367E-2</v>
      </c>
      <c r="AB462" s="1">
        <f t="shared" si="115"/>
        <v>15</v>
      </c>
      <c r="AC462" s="1">
        <f t="shared" si="116"/>
        <v>-7.0423863636392525</v>
      </c>
      <c r="AD462" s="307">
        <f>SUM(AC455:AC462)</f>
        <v>-191.95909090908003</v>
      </c>
    </row>
    <row r="465" spans="1:30" ht="14.25" customHeight="1" x14ac:dyDescent="0.45">
      <c r="A465" s="598">
        <v>19</v>
      </c>
      <c r="B465" s="219">
        <v>0</v>
      </c>
      <c r="C465" s="94"/>
      <c r="D465" s="94"/>
      <c r="E465" s="94"/>
      <c r="F465" s="94"/>
      <c r="G465" s="94"/>
      <c r="H465" s="94"/>
      <c r="I465" s="94"/>
      <c r="J465" s="94"/>
      <c r="K465" s="94"/>
      <c r="L465" s="94"/>
      <c r="M465" s="94"/>
      <c r="N465" s="94"/>
      <c r="O465" s="94"/>
      <c r="P465" s="94"/>
      <c r="Q465" s="314"/>
      <c r="R465" s="314"/>
      <c r="S465" s="94"/>
      <c r="T465" s="94"/>
      <c r="U465" s="94"/>
      <c r="V465" s="94"/>
      <c r="W465" s="94"/>
      <c r="X465" s="94"/>
      <c r="Y465" s="94"/>
      <c r="Z465" s="94"/>
      <c r="AA465" s="94"/>
      <c r="AB465" s="1"/>
      <c r="AC465" s="1"/>
    </row>
    <row r="466" spans="1:30" ht="14.25" customHeight="1" x14ac:dyDescent="0.45">
      <c r="A466" s="598"/>
      <c r="B466" s="219">
        <v>5</v>
      </c>
      <c r="C466" s="244">
        <v>263.63839999999999</v>
      </c>
      <c r="D466" s="244">
        <v>263.63580000000002</v>
      </c>
      <c r="E466" s="244">
        <v>263.60849999999999</v>
      </c>
      <c r="F466" s="244">
        <v>263.58429999999998</v>
      </c>
      <c r="G466" s="244">
        <v>263.61399999999998</v>
      </c>
      <c r="H466" s="244">
        <v>263.625</v>
      </c>
      <c r="I466" s="244">
        <v>263.55309999999997</v>
      </c>
      <c r="J466" s="244">
        <v>263.56400000000002</v>
      </c>
      <c r="K466" s="244">
        <v>263.56189999999998</v>
      </c>
      <c r="L466" s="244">
        <v>263.58940000000001</v>
      </c>
      <c r="M466" s="244">
        <v>263.6155</v>
      </c>
      <c r="N466" s="244">
        <v>263.67669999999998</v>
      </c>
      <c r="O466" s="244">
        <v>263.67169999999999</v>
      </c>
      <c r="P466" s="244">
        <v>263.77969999999999</v>
      </c>
      <c r="Q466" s="244">
        <v>263.82670000000002</v>
      </c>
      <c r="R466" s="244">
        <v>263.94450000000001</v>
      </c>
      <c r="S466" s="94"/>
      <c r="T466" s="94"/>
      <c r="U466" s="94"/>
      <c r="V466" s="94"/>
      <c r="W466" s="94"/>
      <c r="X466" s="94"/>
      <c r="Y466" s="94">
        <f>AVERAGE(C466:X466)</f>
        <v>263.655575</v>
      </c>
      <c r="Z466" s="235">
        <f>Z191-0.185</f>
        <v>263.77496818181828</v>
      </c>
      <c r="AA466" s="94">
        <f t="shared" ref="AA466:AA467" si="117">Z466-Y466</f>
        <v>0.11939318181828185</v>
      </c>
      <c r="AB466" s="1">
        <f t="shared" ref="AB466:AB467" si="118">COUNTIF(C466:X466,"&gt;0")*5</f>
        <v>80</v>
      </c>
      <c r="AC466" s="1">
        <f t="shared" ref="AC466:AC467" si="119">AA466*AB466*5</f>
        <v>47.757272727312738</v>
      </c>
    </row>
    <row r="467" spans="1:30" ht="14.25" customHeight="1" x14ac:dyDescent="0.45">
      <c r="A467" s="598"/>
      <c r="B467" s="219">
        <v>10</v>
      </c>
      <c r="C467" s="244">
        <v>263.81040000000002</v>
      </c>
      <c r="D467" s="244">
        <v>263.9264</v>
      </c>
      <c r="E467" s="244">
        <v>263.83710000000002</v>
      </c>
      <c r="F467" s="244">
        <v>263.70479999999998</v>
      </c>
      <c r="G467" s="244">
        <v>263.66269999999997</v>
      </c>
      <c r="H467" s="244">
        <v>264.12599999999998</v>
      </c>
      <c r="I467" s="244">
        <v>263.6678</v>
      </c>
      <c r="J467" s="244">
        <v>263.62180000000001</v>
      </c>
      <c r="K467" s="244">
        <v>263.68770000000001</v>
      </c>
      <c r="L467" s="244">
        <v>263.62869999999998</v>
      </c>
      <c r="M467" s="244">
        <v>263.62970000000001</v>
      </c>
      <c r="N467" s="214"/>
      <c r="O467" s="94"/>
      <c r="P467" s="94"/>
      <c r="Q467" s="94"/>
      <c r="R467" s="94"/>
      <c r="S467" s="94"/>
      <c r="T467" s="94"/>
      <c r="U467" s="94"/>
      <c r="V467" s="94"/>
      <c r="W467" s="94"/>
      <c r="X467" s="94"/>
      <c r="Y467" s="94">
        <f>AVERAGE(C467:X467)</f>
        <v>263.75482727272725</v>
      </c>
      <c r="Z467" s="94">
        <f>Z466</f>
        <v>263.77496818181828</v>
      </c>
      <c r="AA467" s="94">
        <f t="shared" si="117"/>
        <v>2.014090909102606E-2</v>
      </c>
      <c r="AB467" s="1">
        <f t="shared" si="118"/>
        <v>55</v>
      </c>
      <c r="AC467" s="1">
        <f t="shared" si="119"/>
        <v>5.5387500000321666</v>
      </c>
      <c r="AD467" s="307">
        <f>SUM(AC465:AC467)</f>
        <v>53.296022727344905</v>
      </c>
    </row>
    <row r="468" spans="1:30" ht="14.25" customHeight="1" x14ac:dyDescent="0.45">
      <c r="A468" s="79"/>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spans="1:30" ht="14.25" customHeight="1" x14ac:dyDescent="0.45">
      <c r="A469" s="79"/>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spans="1:30" ht="14.25" customHeight="1" x14ac:dyDescent="0.45">
      <c r="A470" s="79"/>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spans="1:30" ht="14.25" customHeight="1" x14ac:dyDescent="0.45">
      <c r="A471" s="598">
        <v>20</v>
      </c>
      <c r="B471" s="219">
        <v>0</v>
      </c>
      <c r="C471" s="245">
        <v>263.51549999999997</v>
      </c>
      <c r="D471" s="245">
        <v>263.64519999999999</v>
      </c>
      <c r="E471" s="245">
        <v>263.59429999999998</v>
      </c>
      <c r="F471" s="245">
        <v>263.54660000000001</v>
      </c>
      <c r="G471" s="245">
        <v>263.5249</v>
      </c>
      <c r="H471" s="245">
        <v>263.44940000000003</v>
      </c>
      <c r="I471" s="245">
        <v>263.40550000000002</v>
      </c>
      <c r="J471" s="245">
        <v>263.38069999999999</v>
      </c>
      <c r="K471" s="94"/>
      <c r="L471" s="94"/>
      <c r="M471" s="94"/>
      <c r="N471" s="94"/>
      <c r="O471" s="94"/>
      <c r="P471" s="94"/>
      <c r="Q471" s="94"/>
      <c r="R471" s="94"/>
      <c r="S471" s="94"/>
      <c r="T471" s="94"/>
      <c r="U471" s="94"/>
      <c r="V471" s="94"/>
      <c r="W471" s="94"/>
      <c r="X471" s="94"/>
      <c r="Y471" s="94">
        <f t="shared" ref="Y471:Y478" si="120">AVERAGE(C471:X471)</f>
        <v>263.50776249999996</v>
      </c>
      <c r="Z471" s="94">
        <f>Z472+0.1</f>
        <v>263.5499681818182</v>
      </c>
      <c r="AA471" s="94">
        <f>Z471-Y471</f>
        <v>4.2205681818245466E-2</v>
      </c>
      <c r="AB471" s="1">
        <f>COUNTIF(C471:X471,"&gt;0")*5</f>
        <v>40</v>
      </c>
      <c r="AC471" s="1">
        <f>AA471*AB471*5</f>
        <v>8.4411363636490933</v>
      </c>
    </row>
    <row r="472" spans="1:30" ht="14.25" customHeight="1" x14ac:dyDescent="0.45">
      <c r="A472" s="598"/>
      <c r="B472" s="219">
        <v>5</v>
      </c>
      <c r="C472" s="245">
        <v>263.61410000000001</v>
      </c>
      <c r="D472" s="245">
        <v>263.55279999999999</v>
      </c>
      <c r="E472" s="245">
        <v>263.67520000000002</v>
      </c>
      <c r="F472" s="245">
        <v>263.56290000000001</v>
      </c>
      <c r="G472" s="245">
        <v>263.63420000000002</v>
      </c>
      <c r="H472" s="245">
        <v>263.4264</v>
      </c>
      <c r="I472" s="245">
        <v>263.4522</v>
      </c>
      <c r="J472" s="245">
        <v>263.45620000000002</v>
      </c>
      <c r="K472" s="94"/>
      <c r="L472" s="94"/>
      <c r="M472" s="94"/>
      <c r="N472" s="94"/>
      <c r="O472" s="94"/>
      <c r="P472" s="94"/>
      <c r="Q472" s="94"/>
      <c r="R472" s="94"/>
      <c r="S472" s="94"/>
      <c r="T472" s="94"/>
      <c r="U472" s="94"/>
      <c r="V472" s="94"/>
      <c r="W472" s="94"/>
      <c r="X472" s="94"/>
      <c r="Y472" s="94">
        <f t="shared" si="120"/>
        <v>263.54674999999997</v>
      </c>
      <c r="Z472" s="94">
        <f t="shared" ref="Z472:Z476" si="121">Z473</f>
        <v>263.44996818181818</v>
      </c>
      <c r="AA472" s="94">
        <f t="shared" ref="AA472:AA478" si="122">Z472-Y472</f>
        <v>-9.6781818181796098E-2</v>
      </c>
      <c r="AB472" s="1">
        <f t="shared" ref="AB472:AB478" si="123">COUNTIF(C472:X472,"&gt;0")*5</f>
        <v>40</v>
      </c>
      <c r="AC472" s="1">
        <f t="shared" ref="AC472:AC478" si="124">AA472*AB472*5</f>
        <v>-19.35636363635922</v>
      </c>
    </row>
    <row r="473" spans="1:30" ht="14.25" customHeight="1" x14ac:dyDescent="0.45">
      <c r="A473" s="598"/>
      <c r="B473" s="219">
        <v>10</v>
      </c>
      <c r="C473" s="245">
        <v>263.5188</v>
      </c>
      <c r="D473" s="245">
        <v>263.48579999999998</v>
      </c>
      <c r="E473" s="245">
        <v>263.47519999999997</v>
      </c>
      <c r="F473" s="245">
        <v>263.48059999999998</v>
      </c>
      <c r="G473" s="245">
        <v>263.49259999999998</v>
      </c>
      <c r="H473" s="245">
        <v>263.45080000000002</v>
      </c>
      <c r="I473" s="245">
        <v>263.46080000000001</v>
      </c>
      <c r="J473" s="245">
        <v>263.45740000000001</v>
      </c>
      <c r="K473" s="94"/>
      <c r="L473" s="94"/>
      <c r="M473" s="94"/>
      <c r="N473" s="94"/>
      <c r="O473" s="94"/>
      <c r="P473" s="94"/>
      <c r="Q473" s="94"/>
      <c r="R473" s="94"/>
      <c r="S473" s="94"/>
      <c r="T473" s="94"/>
      <c r="U473" s="94"/>
      <c r="V473" s="94"/>
      <c r="W473" s="94"/>
      <c r="X473" s="94"/>
      <c r="Y473" s="94">
        <f t="shared" si="120"/>
        <v>263.47775000000001</v>
      </c>
      <c r="Z473" s="94">
        <f t="shared" si="121"/>
        <v>263.44996818181818</v>
      </c>
      <c r="AA473" s="94">
        <f t="shared" si="122"/>
        <v>-2.7781818181836115E-2</v>
      </c>
      <c r="AB473" s="1">
        <f t="shared" si="123"/>
        <v>40</v>
      </c>
      <c r="AC473" s="1">
        <f t="shared" si="124"/>
        <v>-5.5563636363672231</v>
      </c>
    </row>
    <row r="474" spans="1:30" ht="14.25" customHeight="1" x14ac:dyDescent="0.45">
      <c r="A474" s="598"/>
      <c r="B474" s="219">
        <v>15</v>
      </c>
      <c r="C474" s="245">
        <v>263.51799999999997</v>
      </c>
      <c r="D474" s="245">
        <v>263.51569999999998</v>
      </c>
      <c r="E474" s="245">
        <v>263.505</v>
      </c>
      <c r="F474" s="245">
        <v>263.48919999999998</v>
      </c>
      <c r="G474" s="245">
        <v>263.50209999999998</v>
      </c>
      <c r="H474" s="245">
        <v>263.37860000000001</v>
      </c>
      <c r="I474" s="245">
        <v>263.43560000000002</v>
      </c>
      <c r="J474" s="245">
        <v>263.44229999999999</v>
      </c>
      <c r="K474" s="94"/>
      <c r="L474" s="94"/>
      <c r="M474" s="94"/>
      <c r="N474" s="94"/>
      <c r="O474" s="94"/>
      <c r="P474" s="94"/>
      <c r="Q474" s="94"/>
      <c r="R474" s="94"/>
      <c r="S474" s="94"/>
      <c r="T474" s="94"/>
      <c r="U474" s="94"/>
      <c r="V474" s="94"/>
      <c r="W474" s="94"/>
      <c r="X474" s="94"/>
      <c r="Y474" s="94">
        <f t="shared" si="120"/>
        <v>263.47331250000002</v>
      </c>
      <c r="Z474" s="94">
        <f t="shared" si="121"/>
        <v>263.44996818181818</v>
      </c>
      <c r="AA474" s="94">
        <f t="shared" si="122"/>
        <v>-2.3344318181841572E-2</v>
      </c>
      <c r="AB474" s="1">
        <f t="shared" si="123"/>
        <v>40</v>
      </c>
      <c r="AC474" s="1">
        <f t="shared" si="124"/>
        <v>-4.6688636363683145</v>
      </c>
    </row>
    <row r="475" spans="1:30" ht="14.25" customHeight="1" x14ac:dyDescent="0.45">
      <c r="A475" s="598"/>
      <c r="B475" s="219">
        <v>20</v>
      </c>
      <c r="C475" s="245">
        <v>263.56079999999997</v>
      </c>
      <c r="D475" s="245">
        <v>263.54610000000002</v>
      </c>
      <c r="E475" s="245">
        <v>263.52260000000001</v>
      </c>
      <c r="F475" s="245">
        <v>263.49259999999998</v>
      </c>
      <c r="G475" s="245">
        <v>263.45280000000002</v>
      </c>
      <c r="H475" s="245">
        <v>263.44850000000002</v>
      </c>
      <c r="I475" s="245">
        <v>263.39839999999998</v>
      </c>
      <c r="J475" s="245">
        <v>263.41789999999997</v>
      </c>
      <c r="K475" s="94"/>
      <c r="L475" s="94"/>
      <c r="M475" s="94"/>
      <c r="N475" s="94"/>
      <c r="O475" s="94"/>
      <c r="P475" s="94"/>
      <c r="Q475" s="94"/>
      <c r="R475" s="94"/>
      <c r="S475" s="94"/>
      <c r="T475" s="94"/>
      <c r="U475" s="94"/>
      <c r="V475" s="94"/>
      <c r="W475" s="94"/>
      <c r="X475" s="94"/>
      <c r="Y475" s="94">
        <f t="shared" si="120"/>
        <v>263.4799625</v>
      </c>
      <c r="Z475" s="94">
        <f t="shared" si="121"/>
        <v>263.44996818181818</v>
      </c>
      <c r="AA475" s="94">
        <f t="shared" si="122"/>
        <v>-2.9994318181820745E-2</v>
      </c>
      <c r="AB475" s="1">
        <f t="shared" si="123"/>
        <v>40</v>
      </c>
      <c r="AC475" s="1">
        <f t="shared" si="124"/>
        <v>-5.998863636364149</v>
      </c>
    </row>
    <row r="476" spans="1:30" ht="14.25" customHeight="1" x14ac:dyDescent="0.45">
      <c r="A476" s="598"/>
      <c r="B476" s="219">
        <v>25</v>
      </c>
      <c r="C476" s="245">
        <v>263.62180000000001</v>
      </c>
      <c r="D476" s="245">
        <v>263.61810000000003</v>
      </c>
      <c r="E476" s="245">
        <v>263.59010000000001</v>
      </c>
      <c r="F476" s="245">
        <v>263.6103</v>
      </c>
      <c r="G476" s="245">
        <v>263.50290000000001</v>
      </c>
      <c r="H476" s="245">
        <v>263.45330000000001</v>
      </c>
      <c r="I476" s="245">
        <v>263.44560000000001</v>
      </c>
      <c r="J476" s="245">
        <v>263.44380000000001</v>
      </c>
      <c r="K476" s="94"/>
      <c r="L476" s="94"/>
      <c r="M476" s="94"/>
      <c r="N476" s="94"/>
      <c r="O476" s="94"/>
      <c r="P476" s="94"/>
      <c r="Q476" s="94"/>
      <c r="R476" s="94"/>
      <c r="S476" s="94"/>
      <c r="T476" s="94"/>
      <c r="U476" s="94"/>
      <c r="V476" s="94"/>
      <c r="W476" s="94"/>
      <c r="X476" s="94"/>
      <c r="Y476" s="94">
        <f t="shared" si="120"/>
        <v>263.53573749999998</v>
      </c>
      <c r="Z476" s="94">
        <f t="shared" si="121"/>
        <v>263.44996818181818</v>
      </c>
      <c r="AA476" s="94">
        <f t="shared" si="122"/>
        <v>-8.5769318181803555E-2</v>
      </c>
      <c r="AB476" s="1">
        <f t="shared" si="123"/>
        <v>40</v>
      </c>
      <c r="AC476" s="1">
        <f t="shared" si="124"/>
        <v>-17.153863636360711</v>
      </c>
    </row>
    <row r="477" spans="1:30" ht="14.25" customHeight="1" x14ac:dyDescent="0.45">
      <c r="A477" s="598"/>
      <c r="B477" s="219">
        <v>30</v>
      </c>
      <c r="C477" s="245">
        <v>263.8091</v>
      </c>
      <c r="D477" s="245">
        <v>263.75290000000001</v>
      </c>
      <c r="E477" s="245">
        <v>263.6078</v>
      </c>
      <c r="F477" s="245">
        <v>263.62529999999998</v>
      </c>
      <c r="G477" s="245">
        <v>263.55590000000001</v>
      </c>
      <c r="H477" s="245">
        <v>263.48039999999997</v>
      </c>
      <c r="I477" s="245">
        <v>263.4581</v>
      </c>
      <c r="J477" s="245">
        <v>263.47269999999997</v>
      </c>
      <c r="K477" s="94"/>
      <c r="L477" s="94"/>
      <c r="M477" s="94"/>
      <c r="N477" s="94"/>
      <c r="O477" s="94"/>
      <c r="P477" s="94"/>
      <c r="Q477" s="94"/>
      <c r="R477" s="94"/>
      <c r="S477" s="94"/>
      <c r="T477" s="94"/>
      <c r="U477" s="94"/>
      <c r="V477" s="94"/>
      <c r="W477" s="94"/>
      <c r="X477" s="94"/>
      <c r="Y477" s="94">
        <f t="shared" si="120"/>
        <v>263.59527500000002</v>
      </c>
      <c r="Z477" s="94">
        <f>Z478</f>
        <v>263.44996818181818</v>
      </c>
      <c r="AA477" s="94">
        <f t="shared" si="122"/>
        <v>-0.14530681818183666</v>
      </c>
      <c r="AB477" s="1">
        <f t="shared" si="123"/>
        <v>40</v>
      </c>
      <c r="AC477" s="1">
        <f t="shared" si="124"/>
        <v>-29.061363636367332</v>
      </c>
    </row>
    <row r="478" spans="1:30" ht="14.25" customHeight="1" x14ac:dyDescent="0.45">
      <c r="A478" s="598"/>
      <c r="B478" s="219">
        <v>35</v>
      </c>
      <c r="C478" s="245">
        <v>263.6318</v>
      </c>
      <c r="D478" s="245">
        <v>263.66390000000001</v>
      </c>
      <c r="E478" s="245">
        <v>263.6019</v>
      </c>
      <c r="F478" s="245">
        <v>263.60919999999999</v>
      </c>
      <c r="G478" s="245">
        <v>263.54939999999999</v>
      </c>
      <c r="H478" s="245">
        <v>263.48790000000002</v>
      </c>
      <c r="I478" s="245">
        <v>263.49009999999998</v>
      </c>
      <c r="J478" s="245">
        <v>263.44049999999999</v>
      </c>
      <c r="K478" s="94"/>
      <c r="L478" s="94"/>
      <c r="M478" s="94"/>
      <c r="N478" s="94"/>
      <c r="O478" s="94"/>
      <c r="P478" s="94"/>
      <c r="Q478" s="94"/>
      <c r="R478" s="94"/>
      <c r="S478" s="94"/>
      <c r="T478" s="94"/>
      <c r="U478" s="94"/>
      <c r="V478" s="94"/>
      <c r="W478" s="94"/>
      <c r="X478" s="94"/>
      <c r="Y478" s="94">
        <f t="shared" si="120"/>
        <v>263.55933750000003</v>
      </c>
      <c r="Z478" s="235">
        <f>Z183-0.11</f>
        <v>263.44996818181818</v>
      </c>
      <c r="AA478" s="94">
        <f t="shared" si="122"/>
        <v>-0.10936931818184803</v>
      </c>
      <c r="AB478" s="1">
        <f t="shared" si="123"/>
        <v>40</v>
      </c>
      <c r="AC478" s="1">
        <f t="shared" si="124"/>
        <v>-21.873863636369606</v>
      </c>
      <c r="AD478" s="307">
        <f>SUM(AC470:AC478)</f>
        <v>-95.228409090907462</v>
      </c>
    </row>
    <row r="481" spans="1:30" ht="14.25" customHeight="1" x14ac:dyDescent="0.45">
      <c r="A481" s="598">
        <v>21</v>
      </c>
      <c r="B481" s="219">
        <v>0</v>
      </c>
      <c r="C481" s="246">
        <v>263.45069999999998</v>
      </c>
      <c r="D481" s="246">
        <v>263.4554</v>
      </c>
      <c r="E481" s="246">
        <v>263.45209999999997</v>
      </c>
      <c r="F481" s="246">
        <v>263.44979999999998</v>
      </c>
      <c r="G481" s="246">
        <v>263.4599</v>
      </c>
      <c r="H481" s="246">
        <v>263.49360000000001</v>
      </c>
      <c r="I481" s="246">
        <v>263.37729999999999</v>
      </c>
      <c r="J481" s="246">
        <v>263.37479999999999</v>
      </c>
      <c r="K481" s="246">
        <v>263.33190000000002</v>
      </c>
      <c r="L481" s="246">
        <v>263.3476</v>
      </c>
      <c r="M481" s="246">
        <v>263.35239999999999</v>
      </c>
      <c r="N481" s="246">
        <v>263.34530000000001</v>
      </c>
      <c r="O481" s="246">
        <v>263.34089999999998</v>
      </c>
      <c r="P481" s="246">
        <v>263.3408</v>
      </c>
      <c r="Q481" s="94"/>
      <c r="R481" s="94"/>
      <c r="S481" s="94"/>
      <c r="T481" s="94"/>
      <c r="U481" s="94"/>
      <c r="V481" s="94"/>
      <c r="W481" s="94"/>
      <c r="X481" s="94"/>
      <c r="Y481" s="94">
        <f>AVERAGE(C481:X481)</f>
        <v>263.39803571428575</v>
      </c>
      <c r="Z481" s="94">
        <f>Z482</f>
        <v>263.23540476190465</v>
      </c>
      <c r="AA481" s="94">
        <f t="shared" ref="AA481:AA482" si="125">Z481-Y481</f>
        <v>-0.16263095238110736</v>
      </c>
      <c r="AB481" s="1">
        <f>COUNTIF(C481:X481,"&gt;0")*5</f>
        <v>70</v>
      </c>
      <c r="AC481" s="1">
        <f t="shared" ref="AC481:AC482" si="126">AA481*AB481*5</f>
        <v>-56.920833333387577</v>
      </c>
    </row>
    <row r="482" spans="1:30" ht="14.25" customHeight="1" x14ac:dyDescent="0.45">
      <c r="A482" s="598"/>
      <c r="B482" s="219">
        <v>5</v>
      </c>
      <c r="C482" s="246">
        <v>263.46159999999998</v>
      </c>
      <c r="D482" s="246">
        <v>263.47039999999998</v>
      </c>
      <c r="E482" s="246">
        <v>263.47919999999999</v>
      </c>
      <c r="F482" s="246">
        <v>263.46350000000001</v>
      </c>
      <c r="G482" s="246">
        <v>263.4529</v>
      </c>
      <c r="H482" s="246">
        <v>263.48540000000003</v>
      </c>
      <c r="I482" s="246">
        <v>263.39429999999999</v>
      </c>
      <c r="J482" s="246">
        <v>263.3802</v>
      </c>
      <c r="K482" s="246">
        <v>263.36079999999998</v>
      </c>
      <c r="L482" s="246">
        <v>263.37060000000002</v>
      </c>
      <c r="M482" s="246">
        <v>263.35359999999997</v>
      </c>
      <c r="N482" s="246">
        <v>263.34739999999999</v>
      </c>
      <c r="O482" s="246">
        <v>263.36559999999997</v>
      </c>
      <c r="P482" s="246">
        <v>263.3614</v>
      </c>
      <c r="Q482" s="94"/>
      <c r="R482" s="94"/>
      <c r="S482" s="94"/>
      <c r="T482" s="94"/>
      <c r="U482" s="94"/>
      <c r="V482" s="94"/>
      <c r="W482" s="94"/>
      <c r="X482" s="94"/>
      <c r="Y482" s="94">
        <f>AVERAGE(C482:X482)</f>
        <v>263.41049285714286</v>
      </c>
      <c r="Z482" s="235">
        <f>Z157-0.1</f>
        <v>263.23540476190465</v>
      </c>
      <c r="AA482" s="94">
        <f t="shared" si="125"/>
        <v>-0.17508809523820901</v>
      </c>
      <c r="AB482" s="1">
        <f>COUNTIF(C482:X482,"&gt;0")*5</f>
        <v>70</v>
      </c>
      <c r="AC482" s="1">
        <f t="shared" si="126"/>
        <v>-61.280833333373153</v>
      </c>
      <c r="AD482" s="306">
        <f>SUM(AC481:AC482)</f>
        <v>-118.20166666676073</v>
      </c>
    </row>
    <row r="483" spans="1:30" ht="14.25" customHeight="1" x14ac:dyDescent="0.45">
      <c r="A483" s="79"/>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spans="1:30" ht="14.25" customHeight="1" x14ac:dyDescent="0.45">
      <c r="A484" s="79"/>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spans="1:30" ht="14.25" customHeight="1" x14ac:dyDescent="0.45">
      <c r="A485" s="79"/>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spans="1:30" ht="14.25" customHeight="1" x14ac:dyDescent="0.45">
      <c r="A486" s="598">
        <v>22</v>
      </c>
      <c r="B486" s="219">
        <v>0</v>
      </c>
      <c r="C486" s="242">
        <v>263.39879999999999</v>
      </c>
      <c r="D486" s="242">
        <v>263.38780000000003</v>
      </c>
      <c r="E486" s="94"/>
      <c r="F486" s="94"/>
      <c r="G486" s="94"/>
      <c r="H486" s="94"/>
      <c r="I486" s="94"/>
      <c r="J486" s="94"/>
      <c r="K486" s="94"/>
      <c r="L486" s="94"/>
      <c r="M486" s="94"/>
      <c r="N486" s="94"/>
      <c r="O486" s="94"/>
      <c r="P486" s="94"/>
      <c r="Q486" s="94"/>
      <c r="R486" s="94"/>
      <c r="S486" s="94"/>
      <c r="T486" s="94"/>
      <c r="U486" s="94"/>
      <c r="V486" s="94"/>
      <c r="W486" s="94"/>
      <c r="X486" s="94"/>
      <c r="Y486" s="94">
        <f t="shared" ref="Y486:Y493" si="127">AVERAGE(C486:X486)</f>
        <v>263.39330000000001</v>
      </c>
      <c r="Z486" s="94">
        <f t="shared" ref="Z486:Z492" si="128">Z175-0.015</f>
        <v>263.39952380952394</v>
      </c>
      <c r="AA486" s="94">
        <f t="shared" ref="AA486:AA492" si="129">Z486-Y486</f>
        <v>6.2238095239308677E-3</v>
      </c>
      <c r="AB486" s="1">
        <f t="shared" ref="AB486:AB492" si="130">COUNTIF(C486:X486,"&gt;0")*5</f>
        <v>10</v>
      </c>
      <c r="AC486" s="1">
        <f t="shared" ref="AC486:AC492" si="131">AA486*AB486*5</f>
        <v>0.31119047619654339</v>
      </c>
    </row>
    <row r="487" spans="1:30" ht="14.25" customHeight="1" x14ac:dyDescent="0.45">
      <c r="A487" s="598"/>
      <c r="B487" s="219">
        <v>5</v>
      </c>
      <c r="C487" s="242">
        <v>263.39659999999998</v>
      </c>
      <c r="D487" s="242">
        <v>263.36810000000003</v>
      </c>
      <c r="E487" s="94"/>
      <c r="F487" s="94"/>
      <c r="G487" s="94"/>
      <c r="H487" s="94"/>
      <c r="I487" s="94"/>
      <c r="J487" s="94"/>
      <c r="K487" s="94"/>
      <c r="L487" s="94"/>
      <c r="M487" s="94"/>
      <c r="N487" s="94"/>
      <c r="O487" s="94"/>
      <c r="P487" s="94"/>
      <c r="Q487" s="94"/>
      <c r="R487" s="94"/>
      <c r="S487" s="94"/>
      <c r="T487" s="94"/>
      <c r="U487" s="94"/>
      <c r="V487" s="94"/>
      <c r="W487" s="94"/>
      <c r="X487" s="94"/>
      <c r="Y487" s="94">
        <f t="shared" si="127"/>
        <v>263.38234999999997</v>
      </c>
      <c r="Z487" s="94">
        <f t="shared" si="128"/>
        <v>263.44952380952395</v>
      </c>
      <c r="AA487" s="94">
        <f t="shared" si="129"/>
        <v>6.7173809523978889E-2</v>
      </c>
      <c r="AB487" s="1">
        <f t="shared" si="130"/>
        <v>10</v>
      </c>
      <c r="AC487" s="1">
        <f t="shared" si="131"/>
        <v>3.3586904761989445</v>
      </c>
    </row>
    <row r="488" spans="1:30" ht="14.25" customHeight="1" x14ac:dyDescent="0.45">
      <c r="A488" s="598"/>
      <c r="B488" s="219">
        <v>10</v>
      </c>
      <c r="C488" s="242">
        <v>263.4348</v>
      </c>
      <c r="D488" s="242">
        <v>263.41399999999999</v>
      </c>
      <c r="E488" s="94"/>
      <c r="F488" s="94"/>
      <c r="G488" s="94"/>
      <c r="H488" s="94"/>
      <c r="I488" s="94"/>
      <c r="J488" s="94"/>
      <c r="K488" s="94"/>
      <c r="L488" s="94"/>
      <c r="M488" s="94"/>
      <c r="N488" s="94"/>
      <c r="O488" s="94"/>
      <c r="P488" s="94"/>
      <c r="Q488" s="94"/>
      <c r="R488" s="94"/>
      <c r="S488" s="94"/>
      <c r="T488" s="94"/>
      <c r="U488" s="94"/>
      <c r="V488" s="94"/>
      <c r="W488" s="94"/>
      <c r="X488" s="94"/>
      <c r="Y488" s="94">
        <f t="shared" si="127"/>
        <v>263.42439999999999</v>
      </c>
      <c r="Z488" s="94">
        <f t="shared" si="128"/>
        <v>263.49952380952396</v>
      </c>
      <c r="AA488" s="94">
        <f t="shared" si="129"/>
        <v>7.5123809523972795E-2</v>
      </c>
      <c r="AB488" s="1">
        <f t="shared" si="130"/>
        <v>10</v>
      </c>
      <c r="AC488" s="1">
        <f t="shared" si="131"/>
        <v>3.7561904761986398</v>
      </c>
    </row>
    <row r="489" spans="1:30" ht="14.25" customHeight="1" x14ac:dyDescent="0.45">
      <c r="A489" s="598"/>
      <c r="B489" s="219">
        <v>15</v>
      </c>
      <c r="C489" s="242">
        <v>263.45249999999999</v>
      </c>
      <c r="D489" s="242">
        <v>263.45409999999998</v>
      </c>
      <c r="E489" s="94"/>
      <c r="F489" s="94"/>
      <c r="G489" s="94"/>
      <c r="H489" s="94"/>
      <c r="I489" s="94"/>
      <c r="J489" s="94"/>
      <c r="K489" s="94"/>
      <c r="L489" s="94"/>
      <c r="M489" s="94"/>
      <c r="N489" s="94"/>
      <c r="O489" s="94"/>
      <c r="P489" s="94"/>
      <c r="Q489" s="94"/>
      <c r="R489" s="94"/>
      <c r="S489" s="94"/>
      <c r="T489" s="94"/>
      <c r="U489" s="94"/>
      <c r="V489" s="94"/>
      <c r="W489" s="94"/>
      <c r="X489" s="94"/>
      <c r="Y489" s="94">
        <f t="shared" si="127"/>
        <v>263.45330000000001</v>
      </c>
      <c r="Z489" s="94">
        <f t="shared" si="128"/>
        <v>263.54952380952398</v>
      </c>
      <c r="AA489" s="94">
        <f t="shared" si="129"/>
        <v>9.62238095239627E-2</v>
      </c>
      <c r="AB489" s="1">
        <f t="shared" si="130"/>
        <v>10</v>
      </c>
      <c r="AC489" s="1">
        <f t="shared" si="131"/>
        <v>4.811190476198135</v>
      </c>
    </row>
    <row r="490" spans="1:30" ht="14.25" customHeight="1" x14ac:dyDescent="0.45">
      <c r="A490" s="598"/>
      <c r="B490" s="219">
        <v>20</v>
      </c>
      <c r="C490" s="242">
        <v>263.48919999999998</v>
      </c>
      <c r="D490" s="242">
        <v>263.4889</v>
      </c>
      <c r="E490" s="94"/>
      <c r="F490" s="94"/>
      <c r="G490" s="94"/>
      <c r="H490" s="94"/>
      <c r="I490" s="94"/>
      <c r="J490" s="94"/>
      <c r="K490" s="94"/>
      <c r="L490" s="94"/>
      <c r="M490" s="94"/>
      <c r="N490" s="94"/>
      <c r="O490" s="94"/>
      <c r="P490" s="94"/>
      <c r="Q490" s="94"/>
      <c r="R490" s="94"/>
      <c r="S490" s="94"/>
      <c r="T490" s="94"/>
      <c r="U490" s="94"/>
      <c r="V490" s="94"/>
      <c r="W490" s="94"/>
      <c r="X490" s="94"/>
      <c r="Y490" s="94">
        <f t="shared" si="127"/>
        <v>263.48905000000002</v>
      </c>
      <c r="Z490" s="94">
        <f t="shared" si="128"/>
        <v>263.59952380952399</v>
      </c>
      <c r="AA490" s="94">
        <f t="shared" si="129"/>
        <v>0.11047380952396679</v>
      </c>
      <c r="AB490" s="1">
        <f t="shared" si="130"/>
        <v>10</v>
      </c>
      <c r="AC490" s="1">
        <f t="shared" si="131"/>
        <v>5.5236904761983396</v>
      </c>
    </row>
    <row r="491" spans="1:30" ht="14.25" customHeight="1" x14ac:dyDescent="0.45">
      <c r="A491" s="598"/>
      <c r="B491" s="219">
        <v>25</v>
      </c>
      <c r="C491" s="242">
        <v>263.5068</v>
      </c>
      <c r="D491" s="242">
        <v>263.53919999999999</v>
      </c>
      <c r="E491" s="94"/>
      <c r="F491" s="94"/>
      <c r="G491" s="94"/>
      <c r="H491" s="94"/>
      <c r="I491" s="94"/>
      <c r="J491" s="94"/>
      <c r="K491" s="94"/>
      <c r="L491" s="94"/>
      <c r="M491" s="94"/>
      <c r="N491" s="94"/>
      <c r="O491" s="94"/>
      <c r="P491" s="94"/>
      <c r="Q491" s="94"/>
      <c r="R491" s="94"/>
      <c r="S491" s="94"/>
      <c r="T491" s="94"/>
      <c r="U491" s="94"/>
      <c r="V491" s="94"/>
      <c r="W491" s="94"/>
      <c r="X491" s="94"/>
      <c r="Y491" s="94">
        <f t="shared" si="127"/>
        <v>263.52300000000002</v>
      </c>
      <c r="Z491" s="94">
        <f t="shared" si="128"/>
        <v>263.649523809524</v>
      </c>
      <c r="AA491" s="94">
        <f t="shared" si="129"/>
        <v>0.1265238095239738</v>
      </c>
      <c r="AB491" s="1">
        <f t="shared" si="130"/>
        <v>10</v>
      </c>
      <c r="AC491" s="1">
        <f t="shared" si="131"/>
        <v>6.3261904761986898</v>
      </c>
    </row>
    <row r="492" spans="1:30" ht="14.25" customHeight="1" x14ac:dyDescent="0.45">
      <c r="A492" s="598"/>
      <c r="B492" s="219">
        <v>30</v>
      </c>
      <c r="C492" s="242">
        <v>263.48309999999998</v>
      </c>
      <c r="D492" s="242">
        <v>263.51909999999998</v>
      </c>
      <c r="E492" s="94"/>
      <c r="F492" s="94"/>
      <c r="G492" s="94"/>
      <c r="H492" s="94"/>
      <c r="I492" s="94"/>
      <c r="J492" s="94"/>
      <c r="K492" s="94"/>
      <c r="L492" s="94"/>
      <c r="M492" s="94"/>
      <c r="N492" s="94"/>
      <c r="O492" s="94"/>
      <c r="P492" s="94"/>
      <c r="Q492" s="94"/>
      <c r="R492" s="94"/>
      <c r="S492" s="94"/>
      <c r="T492" s="94"/>
      <c r="U492" s="94"/>
      <c r="V492" s="94"/>
      <c r="W492" s="94"/>
      <c r="X492" s="94"/>
      <c r="Y492" s="94">
        <f t="shared" si="127"/>
        <v>263.50109999999995</v>
      </c>
      <c r="Z492" s="94">
        <f t="shared" si="128"/>
        <v>263.69952380952401</v>
      </c>
      <c r="AA492" s="94">
        <f t="shared" si="129"/>
        <v>0.19842380952405847</v>
      </c>
      <c r="AB492" s="1">
        <f t="shared" si="130"/>
        <v>10</v>
      </c>
      <c r="AC492" s="1">
        <f t="shared" si="131"/>
        <v>9.9211904762029235</v>
      </c>
    </row>
    <row r="493" spans="1:30" ht="14.25" customHeight="1" x14ac:dyDescent="0.45">
      <c r="A493" s="598"/>
      <c r="B493" s="219">
        <v>35</v>
      </c>
      <c r="C493" s="242">
        <v>263.52280000000002</v>
      </c>
      <c r="D493" s="242">
        <v>263.5675</v>
      </c>
      <c r="E493" s="94"/>
      <c r="F493" s="94"/>
      <c r="G493" s="94"/>
      <c r="H493" s="94"/>
      <c r="I493" s="94"/>
      <c r="J493" s="94"/>
      <c r="K493" s="94"/>
      <c r="L493" s="94"/>
      <c r="M493" s="94"/>
      <c r="N493" s="94"/>
      <c r="O493" s="94"/>
      <c r="P493" s="94"/>
      <c r="Q493" s="94"/>
      <c r="R493" s="94"/>
      <c r="S493" s="94"/>
      <c r="T493" s="94"/>
      <c r="U493" s="94"/>
      <c r="V493" s="94"/>
      <c r="W493" s="94"/>
      <c r="X493" s="94"/>
      <c r="Y493" s="94">
        <f t="shared" si="127"/>
        <v>263.54515000000004</v>
      </c>
      <c r="Z493" s="235">
        <f>Z182-0.015</f>
        <v>263.74952380952402</v>
      </c>
      <c r="AA493" s="94">
        <f t="shared" ref="AA493" si="132">Z493-Y493</f>
        <v>0.20437380952398598</v>
      </c>
      <c r="AB493" s="1">
        <f>COUNTIF(C493:X493,"&gt;0")*5</f>
        <v>10</v>
      </c>
      <c r="AC493" s="1">
        <f t="shared" ref="AC493" si="133">AA493*AB493*5</f>
        <v>10.218690476199299</v>
      </c>
      <c r="AD493" s="306">
        <f>SUM(AC486:AC493)</f>
        <v>44.227023809591515</v>
      </c>
    </row>
    <row r="497" spans="1:30" ht="14.25" customHeight="1" x14ac:dyDescent="0.45">
      <c r="A497" s="598">
        <v>23</v>
      </c>
      <c r="B497" s="219">
        <v>0</v>
      </c>
      <c r="C497" s="94"/>
      <c r="D497" s="94"/>
      <c r="E497" s="94"/>
      <c r="F497" s="94"/>
      <c r="G497" s="94"/>
      <c r="H497" s="94"/>
      <c r="I497" s="94"/>
      <c r="J497" s="94"/>
      <c r="K497" s="94"/>
      <c r="L497" s="94"/>
      <c r="M497" s="94"/>
      <c r="N497" s="94"/>
      <c r="O497" s="94"/>
      <c r="P497" s="94"/>
      <c r="Q497" s="94"/>
      <c r="R497" s="94"/>
      <c r="S497" s="247">
        <v>263.30759999999998</v>
      </c>
      <c r="T497" s="247">
        <v>263.18189999999998</v>
      </c>
      <c r="U497" s="247">
        <v>263.15750000000003</v>
      </c>
      <c r="V497" s="247">
        <v>263.3141</v>
      </c>
      <c r="W497" s="247">
        <v>263.15219999999999</v>
      </c>
      <c r="X497" s="94"/>
      <c r="Y497" s="94">
        <f>AVERAGE(C497:X497)</f>
        <v>263.22266000000002</v>
      </c>
      <c r="Z497" s="235">
        <f>Z182-0.1</f>
        <v>263.66452380952398</v>
      </c>
      <c r="AA497" s="94">
        <f t="shared" ref="AA497:AA498" si="134">Z497-Y497</f>
        <v>0.44186380952396576</v>
      </c>
      <c r="AB497" s="1">
        <f t="shared" ref="AB497:AB498" si="135">COUNTIF(C497:X497,"&gt;0")*5</f>
        <v>25</v>
      </c>
      <c r="AC497" s="1">
        <f t="shared" ref="AC497:AC498" si="136">AA497*AB497*5</f>
        <v>55.232976190495719</v>
      </c>
    </row>
    <row r="498" spans="1:30" ht="14.25" customHeight="1" x14ac:dyDescent="0.45">
      <c r="A498" s="598"/>
      <c r="B498" s="219">
        <v>5</v>
      </c>
      <c r="C498" s="247">
        <v>263.5498</v>
      </c>
      <c r="D498" s="247">
        <v>263.62729999999999</v>
      </c>
      <c r="E498" s="247">
        <v>263.553</v>
      </c>
      <c r="F498" s="247">
        <v>263.38869999999997</v>
      </c>
      <c r="G498" s="247">
        <v>263.38189999999997</v>
      </c>
      <c r="H498" s="247">
        <v>263.44900000000001</v>
      </c>
      <c r="I498" s="247">
        <v>263.44110000000001</v>
      </c>
      <c r="J498" s="247">
        <v>263.47250000000003</v>
      </c>
      <c r="K498" s="247">
        <v>263.49619999999999</v>
      </c>
      <c r="L498" s="247">
        <v>263.40769999999998</v>
      </c>
      <c r="M498" s="247">
        <v>263.39280000000002</v>
      </c>
      <c r="N498" s="247">
        <v>263.38380000000001</v>
      </c>
      <c r="O498" s="247">
        <v>263.36509999999998</v>
      </c>
      <c r="P498" s="247">
        <v>263.37509999999997</v>
      </c>
      <c r="Q498" s="247">
        <v>263.36590000000001</v>
      </c>
      <c r="R498" s="247">
        <v>263.36520000000002</v>
      </c>
      <c r="S498" s="247">
        <v>263.42160000000001</v>
      </c>
      <c r="T498" s="247">
        <v>263.20979999999997</v>
      </c>
      <c r="U498" s="247">
        <v>263.73579999999998</v>
      </c>
      <c r="V498" s="247">
        <v>263.95710000000003</v>
      </c>
      <c r="W498" s="247">
        <v>263.8596</v>
      </c>
      <c r="X498" s="94"/>
      <c r="Y498" s="94">
        <f>AVERAGE(C498:X498)</f>
        <v>263.48566666666665</v>
      </c>
      <c r="Z498" s="94">
        <f>Z497</f>
        <v>263.66452380952398</v>
      </c>
      <c r="AA498" s="94">
        <f t="shared" si="134"/>
        <v>0.17885714285733911</v>
      </c>
      <c r="AB498" s="1">
        <f t="shared" si="135"/>
        <v>105</v>
      </c>
      <c r="AC498" s="1">
        <f t="shared" si="136"/>
        <v>93.900000000103034</v>
      </c>
      <c r="AD498" s="306">
        <f>SUM(AC497:AC498)</f>
        <v>149.13297619059875</v>
      </c>
    </row>
    <row r="499" spans="1:30" ht="14.25" customHeight="1" x14ac:dyDescent="0.45">
      <c r="A499" s="79"/>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spans="1:30" ht="14.25" customHeight="1" x14ac:dyDescent="0.45">
      <c r="A500" s="79"/>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spans="1:30" ht="14.25" customHeight="1" x14ac:dyDescent="0.45">
      <c r="A501" s="598">
        <v>24</v>
      </c>
      <c r="B501" s="219">
        <v>0</v>
      </c>
      <c r="C501" s="248">
        <v>263.33659999999998</v>
      </c>
      <c r="D501" s="248">
        <v>263.37560000000002</v>
      </c>
      <c r="E501" s="248">
        <v>263.12700000000001</v>
      </c>
      <c r="F501" s="248">
        <v>263.25209999999998</v>
      </c>
      <c r="G501" s="248">
        <v>263.19880000000001</v>
      </c>
      <c r="H501" s="248">
        <v>263.20609999999999</v>
      </c>
      <c r="I501" s="248">
        <v>263.19940000000003</v>
      </c>
      <c r="J501" s="248">
        <v>263.20429999999999</v>
      </c>
      <c r="K501" s="248">
        <v>263.2321</v>
      </c>
      <c r="L501" s="248">
        <v>263.07810000000001</v>
      </c>
      <c r="M501" s="248">
        <v>263.14449999999999</v>
      </c>
      <c r="N501" s="248">
        <v>263.07470000000001</v>
      </c>
      <c r="O501" s="248">
        <v>263.0795</v>
      </c>
      <c r="P501" s="248">
        <v>263.0702</v>
      </c>
      <c r="Q501" s="248">
        <v>263.04669999999999</v>
      </c>
      <c r="R501" s="248">
        <v>263.04270000000002</v>
      </c>
      <c r="S501" s="248">
        <v>263.09059999999999</v>
      </c>
      <c r="T501" s="248">
        <v>263.03519999999997</v>
      </c>
      <c r="U501" s="248">
        <v>263.0308</v>
      </c>
      <c r="V501" s="248">
        <v>263.11340000000001</v>
      </c>
      <c r="W501" s="248">
        <v>263.13029999999998</v>
      </c>
      <c r="X501" s="94"/>
      <c r="Y501" s="94">
        <f>AVERAGE(C501:X501)</f>
        <v>263.14612857142862</v>
      </c>
      <c r="Z501" s="94">
        <f>Z502</f>
        <v>263.09016666666651</v>
      </c>
      <c r="AA501" s="94">
        <f t="shared" ref="AA501:AA502" si="137">Z501-Y501</f>
        <v>-5.5961904762114045E-2</v>
      </c>
      <c r="AB501" s="1">
        <f>COUNTIF(C501:X501,"&gt;0")*5</f>
        <v>105</v>
      </c>
      <c r="AC501" s="1">
        <f t="shared" ref="AC501:AC502" si="138">AA501*AB501*5</f>
        <v>-29.380000000109874</v>
      </c>
    </row>
    <row r="502" spans="1:30" ht="14.25" customHeight="1" x14ac:dyDescent="0.45">
      <c r="A502" s="598"/>
      <c r="B502" s="219">
        <v>5</v>
      </c>
      <c r="C502" s="248">
        <v>263.34719999999999</v>
      </c>
      <c r="D502" s="248">
        <v>263.39139999999998</v>
      </c>
      <c r="E502" s="248">
        <v>263.15120000000002</v>
      </c>
      <c r="F502" s="248">
        <v>263.34739999999999</v>
      </c>
      <c r="G502" s="248">
        <v>263.1422</v>
      </c>
      <c r="H502" s="248">
        <v>263.21260000000001</v>
      </c>
      <c r="I502" s="248">
        <v>263.39370000000002</v>
      </c>
      <c r="J502" s="248">
        <v>263.28539999999998</v>
      </c>
      <c r="K502" s="248">
        <v>263.3537</v>
      </c>
      <c r="L502" s="248">
        <v>263.09739999999999</v>
      </c>
      <c r="M502" s="248">
        <v>263.11</v>
      </c>
      <c r="N502" s="248">
        <v>263.08969999999999</v>
      </c>
      <c r="O502" s="248">
        <v>263.1225</v>
      </c>
      <c r="P502" s="248">
        <v>263.1148</v>
      </c>
      <c r="Q502" s="248">
        <v>263.077</v>
      </c>
      <c r="R502" s="248">
        <v>263.096</v>
      </c>
      <c r="S502" s="248">
        <v>263.16480000000001</v>
      </c>
      <c r="T502" s="248">
        <v>263.18560000000002</v>
      </c>
      <c r="U502" s="248">
        <v>262.9803</v>
      </c>
      <c r="V502" s="248">
        <v>263.15010000000001</v>
      </c>
      <c r="W502" s="248">
        <v>263.18799999999999</v>
      </c>
      <c r="X502" s="94"/>
      <c r="Y502" s="94">
        <f>AVERAGE(C502:X502)</f>
        <v>263.19052380952388</v>
      </c>
      <c r="Z502" s="235">
        <f>Z136-0.05</f>
        <v>263.09016666666651</v>
      </c>
      <c r="AA502" s="94">
        <f t="shared" si="137"/>
        <v>-0.1003571428573764</v>
      </c>
      <c r="AB502" s="1">
        <f>COUNTIF(C502:X502,"&gt;0")*5</f>
        <v>105</v>
      </c>
      <c r="AC502" s="1">
        <f t="shared" si="138"/>
        <v>-52.687500000122611</v>
      </c>
      <c r="AD502" s="306">
        <f>SUM(AC501:AC502)</f>
        <v>-82.067500000232485</v>
      </c>
    </row>
    <row r="503" spans="1:30" ht="14.25" customHeight="1" x14ac:dyDescent="0.45">
      <c r="A503" s="79"/>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spans="1:30" ht="14.25" customHeight="1" x14ac:dyDescent="0.45">
      <c r="A504" s="79"/>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spans="1:30" ht="14.25" customHeight="1" x14ac:dyDescent="0.45">
      <c r="A505" s="79"/>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spans="1:30" ht="14.25" customHeight="1" x14ac:dyDescent="0.45">
      <c r="A506" s="79">
        <v>25</v>
      </c>
      <c r="B506" s="219">
        <v>0</v>
      </c>
      <c r="C506" s="249">
        <v>263.06849999999997</v>
      </c>
      <c r="D506" s="249">
        <v>263.07850000000002</v>
      </c>
      <c r="E506" s="249">
        <v>263.19589999999999</v>
      </c>
      <c r="F506" s="249">
        <v>263.10469999999998</v>
      </c>
      <c r="G506" s="249">
        <v>263.15249999999997</v>
      </c>
      <c r="H506" s="249">
        <v>263.22519999999997</v>
      </c>
      <c r="I506" s="249">
        <v>263.21230000000003</v>
      </c>
      <c r="J506" s="249">
        <v>263.2586</v>
      </c>
      <c r="K506" s="249">
        <v>263.32060000000001</v>
      </c>
      <c r="L506" s="249">
        <v>263.36360000000002</v>
      </c>
      <c r="M506" s="249">
        <v>263.41289999999998</v>
      </c>
      <c r="N506" s="249">
        <v>263.40269999999998</v>
      </c>
      <c r="O506" s="94"/>
      <c r="P506" s="94"/>
      <c r="Q506" s="94"/>
      <c r="R506" s="94"/>
      <c r="S506" s="94"/>
      <c r="T506" s="94"/>
      <c r="U506" s="94"/>
      <c r="V506" s="94"/>
      <c r="W506" s="94"/>
      <c r="X506" s="94"/>
      <c r="Y506" s="94">
        <f t="shared" ref="Y506:Y517" si="139">AVERAGE(C506:X506)</f>
        <v>263.233</v>
      </c>
      <c r="Z506" s="235">
        <f>Z173-0.015</f>
        <v>263.29952380952392</v>
      </c>
      <c r="AA506" s="94">
        <f t="shared" ref="AA506" si="140">Z506-Y506</f>
        <v>6.6523809523914679E-2</v>
      </c>
      <c r="AB506" s="1">
        <f>COUNTIF(C506:X506,"&gt;0")*5</f>
        <v>60</v>
      </c>
      <c r="AC506" s="1">
        <f t="shared" ref="AC506" si="141">AA506*AB506*5</f>
        <v>19.957142857174404</v>
      </c>
    </row>
    <row r="507" spans="1:30" ht="14.25" customHeight="1" x14ac:dyDescent="0.45">
      <c r="A507" s="79"/>
      <c r="B507" s="219">
        <v>5</v>
      </c>
      <c r="C507" s="249">
        <v>263.18259999999998</v>
      </c>
      <c r="D507" s="249">
        <v>263.0992</v>
      </c>
      <c r="E507" s="249">
        <v>262.96140000000003</v>
      </c>
      <c r="F507" s="249">
        <v>263.24059999999997</v>
      </c>
      <c r="G507" s="249">
        <v>263.3168</v>
      </c>
      <c r="H507" s="249">
        <v>263.31540000000001</v>
      </c>
      <c r="I507" s="249">
        <v>263.38990000000001</v>
      </c>
      <c r="J507" s="249">
        <v>263.27510000000001</v>
      </c>
      <c r="K507" s="249">
        <v>263.33260000000001</v>
      </c>
      <c r="L507" s="249">
        <v>263.32830000000001</v>
      </c>
      <c r="M507" s="249">
        <v>263.41250000000002</v>
      </c>
      <c r="N507" s="249">
        <v>263.47199999999998</v>
      </c>
      <c r="O507" s="249">
        <v>263.54270000000002</v>
      </c>
      <c r="P507" s="94"/>
      <c r="Q507" s="94"/>
      <c r="R507" s="94"/>
      <c r="S507" s="94"/>
      <c r="T507" s="94"/>
      <c r="U507" s="94"/>
      <c r="V507" s="94"/>
      <c r="W507" s="94"/>
      <c r="X507" s="94"/>
      <c r="Y507" s="94">
        <f t="shared" si="139"/>
        <v>263.29762307692306</v>
      </c>
      <c r="Z507" s="94">
        <f>Z506</f>
        <v>263.29952380952392</v>
      </c>
      <c r="AA507" s="94">
        <f t="shared" ref="AA507:AA517" si="142">Z507-Y507</f>
        <v>1.9007326008591008E-3</v>
      </c>
      <c r="AB507" s="1">
        <f t="shared" ref="AB507:AB517" si="143">COUNTIF(C507:X507,"&gt;0")*5</f>
        <v>65</v>
      </c>
      <c r="AC507" s="1">
        <f t="shared" ref="AC507:AC517" si="144">AA507*AB507*5</f>
        <v>0.61773809527920776</v>
      </c>
    </row>
    <row r="508" spans="1:30" ht="14.25" customHeight="1" x14ac:dyDescent="0.45">
      <c r="A508" s="79"/>
      <c r="B508" s="219">
        <v>10</v>
      </c>
      <c r="C508" s="249">
        <v>263.01870000000002</v>
      </c>
      <c r="D508" s="249">
        <v>263.01729999999998</v>
      </c>
      <c r="E508" s="249">
        <v>262.74180000000001</v>
      </c>
      <c r="F508" s="249">
        <v>262.89170000000001</v>
      </c>
      <c r="G508" s="249">
        <v>263.14490000000001</v>
      </c>
      <c r="H508" s="249">
        <v>263.25700000000001</v>
      </c>
      <c r="I508" s="249">
        <v>263.29300000000001</v>
      </c>
      <c r="J508" s="249">
        <v>263.3476</v>
      </c>
      <c r="K508" s="249">
        <v>263.30290000000002</v>
      </c>
      <c r="L508" s="249">
        <v>263.1705</v>
      </c>
      <c r="M508" s="249">
        <v>263.2953</v>
      </c>
      <c r="N508" s="249">
        <v>263.36439999999999</v>
      </c>
      <c r="O508" s="249">
        <v>263.4427</v>
      </c>
      <c r="P508" s="94"/>
      <c r="Q508" s="94"/>
      <c r="R508" s="94"/>
      <c r="S508" s="94"/>
      <c r="T508" s="94"/>
      <c r="U508" s="94"/>
      <c r="V508" s="94"/>
      <c r="W508" s="94"/>
      <c r="X508" s="94"/>
      <c r="Y508" s="94">
        <f t="shared" si="139"/>
        <v>263.17598461538461</v>
      </c>
      <c r="Z508" s="94">
        <f t="shared" ref="Z508:Z517" si="145">Z507</f>
        <v>263.29952380952392</v>
      </c>
      <c r="AA508" s="94">
        <f t="shared" si="142"/>
        <v>0.1235391941393118</v>
      </c>
      <c r="AB508" s="1">
        <f t="shared" si="143"/>
        <v>65</v>
      </c>
      <c r="AC508" s="1">
        <f t="shared" si="144"/>
        <v>40.150238095276336</v>
      </c>
    </row>
    <row r="509" spans="1:30" ht="14.25" customHeight="1" x14ac:dyDescent="0.45">
      <c r="A509" s="79"/>
      <c r="B509" s="219">
        <v>15</v>
      </c>
      <c r="C509" s="249">
        <v>263.08300000000003</v>
      </c>
      <c r="D509" s="249">
        <v>262.83010000000002</v>
      </c>
      <c r="E509" s="249">
        <v>263.13290000000001</v>
      </c>
      <c r="F509" s="249">
        <v>263.15089999999998</v>
      </c>
      <c r="G509" s="249">
        <v>263.29669999999999</v>
      </c>
      <c r="H509" s="249">
        <v>263.18709999999999</v>
      </c>
      <c r="I509" s="249">
        <v>263.28969999999998</v>
      </c>
      <c r="J509" s="249">
        <v>263.2681</v>
      </c>
      <c r="K509" s="249">
        <v>263.21159999999998</v>
      </c>
      <c r="L509" s="249">
        <v>263.21469999999999</v>
      </c>
      <c r="M509" s="249">
        <v>263.27140000000003</v>
      </c>
      <c r="N509" s="249">
        <v>263.34190000000001</v>
      </c>
      <c r="O509" s="249">
        <v>263.40100000000001</v>
      </c>
      <c r="P509" s="94"/>
      <c r="Q509" s="94"/>
      <c r="R509" s="94"/>
      <c r="S509" s="94"/>
      <c r="T509" s="94"/>
      <c r="U509" s="94"/>
      <c r="V509" s="94"/>
      <c r="W509" s="94"/>
      <c r="X509" s="94"/>
      <c r="Y509" s="94">
        <f t="shared" si="139"/>
        <v>263.20608461538461</v>
      </c>
      <c r="Z509" s="94">
        <f t="shared" si="145"/>
        <v>263.29952380952392</v>
      </c>
      <c r="AA509" s="94">
        <f t="shared" si="142"/>
        <v>9.3439194139307347E-2</v>
      </c>
      <c r="AB509" s="1">
        <f t="shared" si="143"/>
        <v>65</v>
      </c>
      <c r="AC509" s="1">
        <f t="shared" si="144"/>
        <v>30.367738095274888</v>
      </c>
    </row>
    <row r="510" spans="1:30" ht="14.25" customHeight="1" x14ac:dyDescent="0.45">
      <c r="A510" s="79"/>
      <c r="B510" s="219">
        <v>20</v>
      </c>
      <c r="C510" s="249">
        <v>263.22559999999999</v>
      </c>
      <c r="D510" s="249">
        <v>262.90530000000001</v>
      </c>
      <c r="E510" s="249">
        <v>263.05900000000003</v>
      </c>
      <c r="F510" s="249">
        <v>263.2389</v>
      </c>
      <c r="G510" s="249">
        <v>263.54020000000003</v>
      </c>
      <c r="H510" s="249">
        <v>263.524</v>
      </c>
      <c r="I510" s="249">
        <v>263.25439999999998</v>
      </c>
      <c r="J510" s="249">
        <v>263.31259999999997</v>
      </c>
      <c r="K510" s="249">
        <v>263.23480000000001</v>
      </c>
      <c r="L510" s="249">
        <v>263.2878</v>
      </c>
      <c r="M510" s="249">
        <v>263.22210000000001</v>
      </c>
      <c r="N510" s="249">
        <v>263.28750000000002</v>
      </c>
      <c r="O510" s="249">
        <v>263.40109999999999</v>
      </c>
      <c r="P510" s="214">
        <v>263.59660000000002</v>
      </c>
      <c r="Q510" s="94"/>
      <c r="R510" s="94"/>
      <c r="S510" s="94"/>
      <c r="T510" s="94"/>
      <c r="U510" s="94"/>
      <c r="V510" s="94"/>
      <c r="W510" s="94"/>
      <c r="X510" s="94"/>
      <c r="Y510" s="94">
        <f t="shared" si="139"/>
        <v>263.29213571428573</v>
      </c>
      <c r="Z510" s="94">
        <f t="shared" si="145"/>
        <v>263.29952380952392</v>
      </c>
      <c r="AA510" s="94">
        <f t="shared" si="142"/>
        <v>7.388095238184178E-3</v>
      </c>
      <c r="AB510" s="1">
        <f t="shared" si="143"/>
        <v>70</v>
      </c>
      <c r="AC510" s="1">
        <f t="shared" si="144"/>
        <v>2.5858333333644623</v>
      </c>
    </row>
    <row r="511" spans="1:30" ht="14.25" customHeight="1" x14ac:dyDescent="0.45">
      <c r="A511" s="79"/>
      <c r="B511" s="219">
        <v>25</v>
      </c>
      <c r="C511" s="249">
        <v>263.22879999999998</v>
      </c>
      <c r="D511" s="249">
        <v>263.23559999999998</v>
      </c>
      <c r="E511" s="249">
        <v>263.2595</v>
      </c>
      <c r="F511" s="249">
        <v>263.33019999999999</v>
      </c>
      <c r="G511" s="249">
        <v>263.38389999999998</v>
      </c>
      <c r="H511" s="249">
        <v>263.37430000000001</v>
      </c>
      <c r="I511" s="249">
        <v>263.25529999999998</v>
      </c>
      <c r="J511" s="249">
        <v>263.27019999999999</v>
      </c>
      <c r="K511" s="249">
        <v>263.16250000000002</v>
      </c>
      <c r="L511" s="249">
        <v>263.33269999999999</v>
      </c>
      <c r="M511" s="249">
        <v>263.27789999999999</v>
      </c>
      <c r="N511" s="249">
        <v>263.3546</v>
      </c>
      <c r="O511" s="249">
        <v>263.41340000000002</v>
      </c>
      <c r="P511" s="249">
        <v>263.7439</v>
      </c>
      <c r="Q511" s="94"/>
      <c r="R511" s="94"/>
      <c r="S511" s="94"/>
      <c r="T511" s="94"/>
      <c r="U511" s="94"/>
      <c r="V511" s="94"/>
      <c r="W511" s="94"/>
      <c r="X511" s="94"/>
      <c r="Y511" s="94">
        <f t="shared" si="139"/>
        <v>263.33019999999999</v>
      </c>
      <c r="Z511" s="94">
        <f t="shared" si="145"/>
        <v>263.29952380952392</v>
      </c>
      <c r="AA511" s="94">
        <f t="shared" si="142"/>
        <v>-3.0676190476071952E-2</v>
      </c>
      <c r="AB511" s="1">
        <f t="shared" si="143"/>
        <v>70</v>
      </c>
      <c r="AC511" s="1">
        <f t="shared" si="144"/>
        <v>-10.736666666625183</v>
      </c>
    </row>
    <row r="512" spans="1:30" ht="14.25" customHeight="1" x14ac:dyDescent="0.45">
      <c r="A512" s="79"/>
      <c r="B512" s="219">
        <v>30</v>
      </c>
      <c r="C512" s="249">
        <v>263.49400000000003</v>
      </c>
      <c r="D512" s="249">
        <v>263.33949999999999</v>
      </c>
      <c r="E512" s="249">
        <v>263.70620000000002</v>
      </c>
      <c r="F512" s="249">
        <v>263.0575</v>
      </c>
      <c r="G512" s="249">
        <v>263.16489999999999</v>
      </c>
      <c r="H512" s="249">
        <v>263.0462</v>
      </c>
      <c r="I512" s="249">
        <v>263.45260000000002</v>
      </c>
      <c r="J512" s="249">
        <v>263.4939</v>
      </c>
      <c r="K512" s="249">
        <v>263.35680000000002</v>
      </c>
      <c r="L512" s="249">
        <v>263.45100000000002</v>
      </c>
      <c r="M512" s="249">
        <v>263.36689999999999</v>
      </c>
      <c r="N512" s="249">
        <v>263.30419999999998</v>
      </c>
      <c r="O512" s="249">
        <v>263.4699</v>
      </c>
      <c r="P512" s="249">
        <v>263.44499999999999</v>
      </c>
      <c r="Q512" s="94"/>
      <c r="R512" s="94"/>
      <c r="S512" s="94"/>
      <c r="T512" s="94"/>
      <c r="U512" s="94"/>
      <c r="V512" s="94"/>
      <c r="W512" s="94"/>
      <c r="X512" s="94"/>
      <c r="Y512" s="94">
        <f t="shared" si="139"/>
        <v>263.36775714285716</v>
      </c>
      <c r="Z512" s="94">
        <f t="shared" si="145"/>
        <v>263.29952380952392</v>
      </c>
      <c r="AA512" s="94">
        <f t="shared" si="142"/>
        <v>-6.8233333333239443E-2</v>
      </c>
      <c r="AB512" s="1">
        <f t="shared" si="143"/>
        <v>70</v>
      </c>
      <c r="AC512" s="1">
        <f t="shared" si="144"/>
        <v>-23.881666666633805</v>
      </c>
    </row>
    <row r="513" spans="1:30" ht="14.25" customHeight="1" x14ac:dyDescent="0.45">
      <c r="A513" s="79"/>
      <c r="B513" s="219">
        <v>35</v>
      </c>
      <c r="C513" s="249">
        <v>263.18279999999999</v>
      </c>
      <c r="D513" s="249">
        <v>263.34249999999997</v>
      </c>
      <c r="E513" s="249">
        <v>263.5256</v>
      </c>
      <c r="F513" s="249">
        <v>263.07799999999997</v>
      </c>
      <c r="G513" s="249">
        <v>262.98050000000001</v>
      </c>
      <c r="H513" s="249">
        <v>263.2561</v>
      </c>
      <c r="I513" s="249">
        <v>263.40879999999999</v>
      </c>
      <c r="J513" s="249">
        <v>263.43329999999997</v>
      </c>
      <c r="K513" s="249">
        <v>263.47519999999997</v>
      </c>
      <c r="L513" s="249">
        <v>263.43180000000001</v>
      </c>
      <c r="M513" s="249">
        <v>263.09030000000001</v>
      </c>
      <c r="N513" s="249">
        <v>263.16199999999998</v>
      </c>
      <c r="O513" s="249">
        <v>263.27</v>
      </c>
      <c r="P513" s="249">
        <v>263.21469999999999</v>
      </c>
      <c r="Q513" s="94"/>
      <c r="R513" s="94"/>
      <c r="S513" s="94"/>
      <c r="T513" s="94"/>
      <c r="U513" s="94"/>
      <c r="V513" s="94"/>
      <c r="W513" s="94"/>
      <c r="X513" s="94"/>
      <c r="Y513" s="94">
        <f t="shared" si="139"/>
        <v>263.27511428571421</v>
      </c>
      <c r="Z513" s="94">
        <f t="shared" si="145"/>
        <v>263.29952380952392</v>
      </c>
      <c r="AA513" s="94">
        <f t="shared" si="142"/>
        <v>2.4409523809708844E-2</v>
      </c>
      <c r="AB513" s="1">
        <f t="shared" si="143"/>
        <v>70</v>
      </c>
      <c r="AC513" s="1">
        <f t="shared" si="144"/>
        <v>8.5433333333980954</v>
      </c>
    </row>
    <row r="514" spans="1:30" ht="14.25" customHeight="1" x14ac:dyDescent="0.45">
      <c r="A514" s="79"/>
      <c r="B514" s="219">
        <v>40</v>
      </c>
      <c r="C514" s="249">
        <v>263.22320000000002</v>
      </c>
      <c r="D514" s="249">
        <v>263.10820000000001</v>
      </c>
      <c r="E514" s="249">
        <v>263.24439999999998</v>
      </c>
      <c r="F514" s="249">
        <v>263.23430000000002</v>
      </c>
      <c r="G514" s="249">
        <v>263.36860000000001</v>
      </c>
      <c r="H514" s="249">
        <v>263.43540000000002</v>
      </c>
      <c r="I514" s="249">
        <v>263.5095</v>
      </c>
      <c r="J514" s="249">
        <v>263.40199999999999</v>
      </c>
      <c r="K514" s="249">
        <v>263.32569999999998</v>
      </c>
      <c r="L514" s="249">
        <v>263.45139999999998</v>
      </c>
      <c r="M514" s="249">
        <v>263.17720000000003</v>
      </c>
      <c r="N514" s="249">
        <v>263.21370000000002</v>
      </c>
      <c r="O514" s="249">
        <v>263.43669999999997</v>
      </c>
      <c r="P514" s="249">
        <v>263.23630000000003</v>
      </c>
      <c r="Q514" s="214">
        <v>263.44959999999998</v>
      </c>
      <c r="R514" s="94"/>
      <c r="S514" s="94"/>
      <c r="T514" s="94"/>
      <c r="U514" s="94"/>
      <c r="V514" s="94"/>
      <c r="W514" s="94"/>
      <c r="X514" s="94"/>
      <c r="Y514" s="94">
        <f t="shared" si="139"/>
        <v>263.32108000000005</v>
      </c>
      <c r="Z514" s="94">
        <f t="shared" si="145"/>
        <v>263.29952380952392</v>
      </c>
      <c r="AA514" s="94">
        <f t="shared" si="142"/>
        <v>-2.1556190476132997E-2</v>
      </c>
      <c r="AB514" s="1">
        <f t="shared" si="143"/>
        <v>75</v>
      </c>
      <c r="AC514" s="1">
        <f t="shared" si="144"/>
        <v>-8.0835714285498739</v>
      </c>
    </row>
    <row r="515" spans="1:30" ht="14.25" customHeight="1" x14ac:dyDescent="0.45">
      <c r="A515" s="79"/>
      <c r="B515" s="219">
        <v>45</v>
      </c>
      <c r="C515" s="249">
        <v>263.07600000000002</v>
      </c>
      <c r="D515" s="249">
        <v>263.35669999999999</v>
      </c>
      <c r="E515" s="249">
        <v>263.48540000000003</v>
      </c>
      <c r="F515" s="249">
        <v>263.33330000000001</v>
      </c>
      <c r="G515" s="249">
        <v>263.35120000000001</v>
      </c>
      <c r="H515" s="249">
        <v>263.33030000000002</v>
      </c>
      <c r="I515" s="249">
        <v>263.54379999999998</v>
      </c>
      <c r="J515" s="249">
        <v>263.25400000000002</v>
      </c>
      <c r="K515" s="249">
        <v>263.31619999999998</v>
      </c>
      <c r="L515" s="249">
        <v>263.37720000000002</v>
      </c>
      <c r="M515" s="249">
        <v>263.80869999999999</v>
      </c>
      <c r="N515" s="249">
        <v>263.77159999999998</v>
      </c>
      <c r="O515" s="249">
        <v>263.51749999999998</v>
      </c>
      <c r="P515" s="249">
        <v>263.90300000000002</v>
      </c>
      <c r="Q515" s="249">
        <v>263.6671</v>
      </c>
      <c r="R515" s="94"/>
      <c r="S515" s="94"/>
      <c r="T515" s="94"/>
      <c r="U515" s="94"/>
      <c r="V515" s="94"/>
      <c r="W515" s="94"/>
      <c r="X515" s="94"/>
      <c r="Y515" s="94">
        <f t="shared" si="139"/>
        <v>263.47280000000001</v>
      </c>
      <c r="Z515" s="94">
        <f t="shared" si="145"/>
        <v>263.29952380952392</v>
      </c>
      <c r="AA515" s="94">
        <f t="shared" si="142"/>
        <v>-0.17327619047608778</v>
      </c>
      <c r="AB515" s="1">
        <f t="shared" si="143"/>
        <v>75</v>
      </c>
      <c r="AC515" s="1">
        <f t="shared" si="144"/>
        <v>-64.978571428532916</v>
      </c>
    </row>
    <row r="516" spans="1:30" ht="14.25" customHeight="1" x14ac:dyDescent="0.45">
      <c r="A516" s="79"/>
      <c r="B516" s="219">
        <v>50</v>
      </c>
      <c r="C516" s="249">
        <v>263.7801</v>
      </c>
      <c r="D516" s="249">
        <v>263.80549999999999</v>
      </c>
      <c r="E516" s="249">
        <v>263.3313</v>
      </c>
      <c r="F516" s="249">
        <v>263.6918</v>
      </c>
      <c r="G516" s="249">
        <v>263.33679999999998</v>
      </c>
      <c r="H516" s="249">
        <v>263.51010000000002</v>
      </c>
      <c r="I516" s="249">
        <v>263.34660000000002</v>
      </c>
      <c r="J516" s="249">
        <v>263.40499999999997</v>
      </c>
      <c r="K516" s="249">
        <v>263.44310000000002</v>
      </c>
      <c r="L516" s="249">
        <v>263.7681</v>
      </c>
      <c r="M516" s="249">
        <v>264.0412</v>
      </c>
      <c r="N516" s="249">
        <v>263.80439999999999</v>
      </c>
      <c r="O516" s="249">
        <v>263.91289999999998</v>
      </c>
      <c r="P516" s="249">
        <v>263.98309999999998</v>
      </c>
      <c r="Q516" s="249">
        <v>263.76440000000002</v>
      </c>
      <c r="R516" s="94"/>
      <c r="S516" s="94"/>
      <c r="T516" s="94"/>
      <c r="U516" s="94"/>
      <c r="V516" s="94"/>
      <c r="W516" s="94"/>
      <c r="X516" s="94"/>
      <c r="Y516" s="94">
        <f t="shared" si="139"/>
        <v>263.66162666666662</v>
      </c>
      <c r="Z516" s="94">
        <f t="shared" si="145"/>
        <v>263.29952380952392</v>
      </c>
      <c r="AA516" s="94">
        <f t="shared" si="142"/>
        <v>-0.36210285714270185</v>
      </c>
      <c r="AB516" s="1">
        <f t="shared" si="143"/>
        <v>75</v>
      </c>
      <c r="AC516" s="1">
        <f t="shared" si="144"/>
        <v>-135.78857142851319</v>
      </c>
    </row>
    <row r="517" spans="1:30" ht="14.25" customHeight="1" x14ac:dyDescent="0.45">
      <c r="A517" s="79"/>
      <c r="B517" s="219">
        <v>55</v>
      </c>
      <c r="C517" s="94"/>
      <c r="D517" s="249">
        <v>264.00639999999999</v>
      </c>
      <c r="E517" s="249">
        <v>263.8852</v>
      </c>
      <c r="F517" s="249">
        <v>263.91579999999999</v>
      </c>
      <c r="G517" s="249">
        <v>263.83929999999998</v>
      </c>
      <c r="H517" s="249">
        <v>263.66919999999999</v>
      </c>
      <c r="I517" s="249">
        <v>263.70659999999998</v>
      </c>
      <c r="J517" s="214">
        <v>263.87470000000002</v>
      </c>
      <c r="K517" s="214">
        <v>263.70010000000002</v>
      </c>
      <c r="L517" s="214">
        <v>263.80590000000001</v>
      </c>
      <c r="M517" s="249">
        <v>264.1352</v>
      </c>
      <c r="N517" s="249">
        <v>263.94369999999998</v>
      </c>
      <c r="O517" s="214">
        <v>263.87220000000002</v>
      </c>
      <c r="P517" s="214">
        <v>263.9631</v>
      </c>
      <c r="Q517" s="214">
        <v>263.5206</v>
      </c>
      <c r="R517" s="94"/>
      <c r="S517" s="94"/>
      <c r="T517" s="94"/>
      <c r="U517" s="94"/>
      <c r="V517" s="94"/>
      <c r="W517" s="94"/>
      <c r="X517" s="94"/>
      <c r="Y517" s="94">
        <f t="shared" si="139"/>
        <v>263.84557142857142</v>
      </c>
      <c r="Z517" s="94">
        <f t="shared" si="145"/>
        <v>263.29952380952392</v>
      </c>
      <c r="AA517" s="94">
        <f t="shared" si="142"/>
        <v>-0.54604761904749921</v>
      </c>
      <c r="AB517" s="1">
        <f t="shared" si="143"/>
        <v>70</v>
      </c>
      <c r="AC517" s="1">
        <f t="shared" si="144"/>
        <v>-191.11666666662472</v>
      </c>
      <c r="AD517" s="306">
        <f>SUM(AC506:AC517)</f>
        <v>-332.3636904757123</v>
      </c>
    </row>
    <row r="518" spans="1:30" ht="14.25" customHeight="1" x14ac:dyDescent="0.45">
      <c r="A518" s="79"/>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spans="1:30" ht="14.25" customHeight="1" x14ac:dyDescent="0.45">
      <c r="A519" s="79"/>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spans="1:30" ht="14.25" customHeight="1" x14ac:dyDescent="0.45">
      <c r="A520" s="79"/>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spans="1:30" ht="14.25" customHeight="1" x14ac:dyDescent="0.45">
      <c r="A521" s="79">
        <v>26</v>
      </c>
      <c r="B521" s="219">
        <v>0</v>
      </c>
      <c r="C521" s="247">
        <v>263.08730000000003</v>
      </c>
      <c r="D521" s="247">
        <v>263.09629999999999</v>
      </c>
      <c r="E521" s="247">
        <v>263.12529999999998</v>
      </c>
      <c r="F521" s="94"/>
      <c r="G521" s="94"/>
      <c r="H521" s="94"/>
      <c r="I521" s="94"/>
      <c r="J521" s="94"/>
      <c r="K521" s="94"/>
      <c r="L521" s="94"/>
      <c r="M521" s="94"/>
      <c r="N521" s="94"/>
      <c r="O521" s="94"/>
      <c r="P521" s="94"/>
      <c r="Q521" s="94"/>
      <c r="R521" s="94"/>
      <c r="S521" s="94"/>
      <c r="T521" s="94"/>
      <c r="U521" s="94"/>
      <c r="V521" s="94"/>
      <c r="W521" s="94"/>
      <c r="X521" s="94"/>
      <c r="Y521" s="94">
        <f t="shared" ref="Y521:Y541" si="146">AVERAGE(C521:X521)</f>
        <v>263.10296666666665</v>
      </c>
      <c r="Z521" s="94">
        <f t="shared" ref="Z521:Z529" si="147">Z522-5/100</f>
        <v>263.09016666666651</v>
      </c>
      <c r="AA521" s="94">
        <f t="shared" ref="AA521" si="148">Z521-Y521</f>
        <v>-1.2800000000140699E-2</v>
      </c>
      <c r="AB521" s="1">
        <f>COUNTIF(C521:X521,"&gt;0")*5</f>
        <v>15</v>
      </c>
      <c r="AC521" s="1">
        <f t="shared" ref="AC521" si="149">AA521*AB521*5</f>
        <v>-0.96000000001055241</v>
      </c>
      <c r="AD521" s="94"/>
    </row>
    <row r="522" spans="1:30" ht="14.25" customHeight="1" x14ac:dyDescent="0.45">
      <c r="A522" s="79"/>
      <c r="B522" s="219">
        <v>5</v>
      </c>
      <c r="C522" s="247">
        <v>263.1361</v>
      </c>
      <c r="D522" s="247">
        <v>263.0933</v>
      </c>
      <c r="E522" s="247">
        <v>263.084</v>
      </c>
      <c r="F522" s="94"/>
      <c r="G522" s="94"/>
      <c r="H522" s="94"/>
      <c r="I522" s="94"/>
      <c r="J522" s="94"/>
      <c r="K522" s="94"/>
      <c r="L522" s="94"/>
      <c r="M522" s="94"/>
      <c r="N522" s="94"/>
      <c r="O522" s="94"/>
      <c r="P522" s="94"/>
      <c r="Q522" s="94"/>
      <c r="R522" s="94"/>
      <c r="S522" s="94"/>
      <c r="T522" s="94"/>
      <c r="U522" s="94"/>
      <c r="V522" s="94"/>
      <c r="W522" s="94"/>
      <c r="X522" s="94"/>
      <c r="Y522" s="94">
        <f t="shared" si="146"/>
        <v>263.10446666666667</v>
      </c>
      <c r="Z522" s="94">
        <f t="shared" si="147"/>
        <v>263.14016666666652</v>
      </c>
      <c r="AA522" s="94">
        <f t="shared" ref="AA522:AA541" si="150">Z522-Y522</f>
        <v>3.5699999999849297E-2</v>
      </c>
      <c r="AB522" s="1">
        <f t="shared" ref="AB522:AB541" si="151">COUNTIF(C522:X522,"&gt;0")*5</f>
        <v>15</v>
      </c>
      <c r="AC522" s="1">
        <f t="shared" ref="AC522:AC541" si="152">AA522*AB522*5</f>
        <v>2.6774999999886973</v>
      </c>
      <c r="AD522" s="94"/>
    </row>
    <row r="523" spans="1:30" ht="14.25" customHeight="1" x14ac:dyDescent="0.45">
      <c r="A523" s="79"/>
      <c r="B523" s="219">
        <v>10</v>
      </c>
      <c r="C523" s="247">
        <v>263.2253</v>
      </c>
      <c r="D523" s="247">
        <v>263.17059999999998</v>
      </c>
      <c r="E523" s="247">
        <v>263.10789999999997</v>
      </c>
      <c r="F523" s="94"/>
      <c r="G523" s="94"/>
      <c r="H523" s="94"/>
      <c r="I523" s="94"/>
      <c r="J523" s="94"/>
      <c r="K523" s="94"/>
      <c r="L523" s="94"/>
      <c r="M523" s="94"/>
      <c r="N523" s="94"/>
      <c r="O523" s="94"/>
      <c r="P523" s="94"/>
      <c r="Q523" s="94"/>
      <c r="R523" s="94"/>
      <c r="S523" s="94"/>
      <c r="T523" s="94"/>
      <c r="U523" s="94"/>
      <c r="V523" s="94"/>
      <c r="W523" s="94"/>
      <c r="X523" s="94"/>
      <c r="Y523" s="94">
        <f t="shared" si="146"/>
        <v>263.16793333333334</v>
      </c>
      <c r="Z523" s="94">
        <f t="shared" si="147"/>
        <v>263.19016666666653</v>
      </c>
      <c r="AA523" s="94">
        <f t="shared" si="150"/>
        <v>2.223333333319033E-2</v>
      </c>
      <c r="AB523" s="1">
        <f t="shared" si="151"/>
        <v>15</v>
      </c>
      <c r="AC523" s="1">
        <f t="shared" si="152"/>
        <v>1.6674999999892748</v>
      </c>
      <c r="AD523" s="94"/>
    </row>
    <row r="524" spans="1:30" ht="14.25" customHeight="1" x14ac:dyDescent="0.45">
      <c r="A524" s="79"/>
      <c r="B524" s="219">
        <v>15</v>
      </c>
      <c r="C524" s="247">
        <v>263.18369999999999</v>
      </c>
      <c r="D524" s="247">
        <v>263.18209999999999</v>
      </c>
      <c r="E524" s="247">
        <v>263.1302</v>
      </c>
      <c r="F524" s="94"/>
      <c r="G524" s="94"/>
      <c r="H524" s="94"/>
      <c r="I524" s="94"/>
      <c r="J524" s="94"/>
      <c r="K524" s="94"/>
      <c r="L524" s="94"/>
      <c r="M524" s="94"/>
      <c r="N524" s="94"/>
      <c r="O524" s="94"/>
      <c r="P524" s="94"/>
      <c r="Q524" s="94"/>
      <c r="R524" s="94"/>
      <c r="S524" s="94"/>
      <c r="T524" s="94"/>
      <c r="U524" s="94"/>
      <c r="V524" s="94"/>
      <c r="W524" s="94"/>
      <c r="X524" s="94"/>
      <c r="Y524" s="94">
        <f t="shared" si="146"/>
        <v>263.16533333333336</v>
      </c>
      <c r="Z524" s="94">
        <f t="shared" si="147"/>
        <v>263.24016666666654</v>
      </c>
      <c r="AA524" s="94">
        <f t="shared" si="150"/>
        <v>7.4833333333174323E-2</v>
      </c>
      <c r="AB524" s="1">
        <f t="shared" si="151"/>
        <v>15</v>
      </c>
      <c r="AC524" s="1">
        <f t="shared" si="152"/>
        <v>5.6124999999880743</v>
      </c>
      <c r="AD524" s="94"/>
    </row>
    <row r="525" spans="1:30" ht="14.25" customHeight="1" x14ac:dyDescent="0.45">
      <c r="A525" s="79"/>
      <c r="B525" s="219">
        <v>20</v>
      </c>
      <c r="C525" s="247">
        <v>263.39749999999998</v>
      </c>
      <c r="D525" s="247">
        <v>263.44709999999998</v>
      </c>
      <c r="E525" s="247">
        <v>263.35520000000002</v>
      </c>
      <c r="F525" s="94"/>
      <c r="G525" s="94"/>
      <c r="H525" s="94"/>
      <c r="I525" s="94"/>
      <c r="J525" s="94"/>
      <c r="K525" s="94"/>
      <c r="L525" s="94"/>
      <c r="M525" s="94"/>
      <c r="N525" s="94"/>
      <c r="O525" s="94"/>
      <c r="P525" s="94"/>
      <c r="Q525" s="94"/>
      <c r="R525" s="94"/>
      <c r="S525" s="94"/>
      <c r="T525" s="94"/>
      <c r="U525" s="94"/>
      <c r="V525" s="94"/>
      <c r="W525" s="94"/>
      <c r="X525" s="94"/>
      <c r="Y525" s="94">
        <f t="shared" si="146"/>
        <v>263.39993333333331</v>
      </c>
      <c r="Z525" s="94">
        <f t="shared" si="147"/>
        <v>263.29016666666655</v>
      </c>
      <c r="AA525" s="94">
        <f t="shared" si="150"/>
        <v>-0.10976666666675783</v>
      </c>
      <c r="AB525" s="1">
        <f t="shared" si="151"/>
        <v>15</v>
      </c>
      <c r="AC525" s="1">
        <f t="shared" si="152"/>
        <v>-8.2325000000068371</v>
      </c>
      <c r="AD525" s="94"/>
    </row>
    <row r="526" spans="1:30" ht="14.25" customHeight="1" x14ac:dyDescent="0.45">
      <c r="A526" s="79"/>
      <c r="B526" s="219">
        <v>25</v>
      </c>
      <c r="C526" s="247">
        <v>263.4511</v>
      </c>
      <c r="D526" s="247">
        <v>263.27190000000002</v>
      </c>
      <c r="E526" s="247">
        <v>263.3159</v>
      </c>
      <c r="F526" s="94"/>
      <c r="G526" s="94"/>
      <c r="H526" s="94"/>
      <c r="I526" s="94"/>
      <c r="J526" s="94"/>
      <c r="K526" s="94"/>
      <c r="L526" s="94"/>
      <c r="M526" s="94"/>
      <c r="N526" s="94"/>
      <c r="O526" s="94"/>
      <c r="P526" s="94"/>
      <c r="Q526" s="94"/>
      <c r="R526" s="94"/>
      <c r="S526" s="94"/>
      <c r="T526" s="94"/>
      <c r="U526" s="94"/>
      <c r="V526" s="94"/>
      <c r="W526" s="94"/>
      <c r="X526" s="94"/>
      <c r="Y526" s="94">
        <f t="shared" si="146"/>
        <v>263.34629999999999</v>
      </c>
      <c r="Z526" s="94">
        <f t="shared" si="147"/>
        <v>263.34016666666656</v>
      </c>
      <c r="AA526" s="94">
        <f t="shared" si="150"/>
        <v>-6.133333333423252E-3</v>
      </c>
      <c r="AB526" s="1">
        <f t="shared" si="151"/>
        <v>15</v>
      </c>
      <c r="AC526" s="1">
        <f t="shared" si="152"/>
        <v>-0.4600000000067439</v>
      </c>
      <c r="AD526" s="94"/>
    </row>
    <row r="527" spans="1:30" ht="14.25" customHeight="1" x14ac:dyDescent="0.45">
      <c r="A527" s="79"/>
      <c r="B527" s="219">
        <v>30</v>
      </c>
      <c r="C527" s="247">
        <v>263.3064</v>
      </c>
      <c r="D527" s="247">
        <v>263.29109999999997</v>
      </c>
      <c r="E527" s="247">
        <v>263.29790000000003</v>
      </c>
      <c r="F527" s="94"/>
      <c r="G527" s="94"/>
      <c r="H527" s="94"/>
      <c r="I527" s="94"/>
      <c r="J527" s="94"/>
      <c r="K527" s="94"/>
      <c r="L527" s="94"/>
      <c r="M527" s="94"/>
      <c r="N527" s="94"/>
      <c r="O527" s="94"/>
      <c r="P527" s="94"/>
      <c r="Q527" s="94"/>
      <c r="R527" s="94"/>
      <c r="S527" s="94"/>
      <c r="T527" s="94"/>
      <c r="U527" s="94"/>
      <c r="V527" s="94"/>
      <c r="W527" s="94"/>
      <c r="X527" s="94"/>
      <c r="Y527" s="94">
        <f t="shared" si="146"/>
        <v>263.29846666666668</v>
      </c>
      <c r="Z527" s="94">
        <f t="shared" si="147"/>
        <v>263.39016666666657</v>
      </c>
      <c r="AA527" s="94">
        <f t="shared" si="150"/>
        <v>9.1699999999889314E-2</v>
      </c>
      <c r="AB527" s="1">
        <f t="shared" si="151"/>
        <v>15</v>
      </c>
      <c r="AC527" s="1">
        <f t="shared" si="152"/>
        <v>6.8774999999916986</v>
      </c>
      <c r="AD527" s="94"/>
    </row>
    <row r="528" spans="1:30" ht="14.25" customHeight="1" x14ac:dyDescent="0.45">
      <c r="A528" s="79"/>
      <c r="B528" s="219">
        <v>35</v>
      </c>
      <c r="C528" s="247">
        <v>262.92259999999999</v>
      </c>
      <c r="D528" s="247">
        <v>263.07470000000001</v>
      </c>
      <c r="E528" s="247">
        <v>263.23899999999998</v>
      </c>
      <c r="F528" s="94"/>
      <c r="G528" s="94"/>
      <c r="H528" s="94"/>
      <c r="I528" s="94"/>
      <c r="J528" s="94"/>
      <c r="K528" s="94"/>
      <c r="L528" s="94"/>
      <c r="M528" s="94"/>
      <c r="N528" s="94"/>
      <c r="O528" s="94"/>
      <c r="P528" s="94"/>
      <c r="Q528" s="94"/>
      <c r="R528" s="94"/>
      <c r="S528" s="94"/>
      <c r="T528" s="94"/>
      <c r="U528" s="94"/>
      <c r="V528" s="94"/>
      <c r="W528" s="94"/>
      <c r="X528" s="94"/>
      <c r="Y528" s="94">
        <f t="shared" si="146"/>
        <v>263.0787666666667</v>
      </c>
      <c r="Z528" s="94">
        <f t="shared" si="147"/>
        <v>263.44016666666658</v>
      </c>
      <c r="AA528" s="94">
        <f t="shared" si="150"/>
        <v>0.36139999999988959</v>
      </c>
      <c r="AB528" s="1">
        <f t="shared" si="151"/>
        <v>15</v>
      </c>
      <c r="AC528" s="1">
        <f t="shared" si="152"/>
        <v>27.104999999991719</v>
      </c>
      <c r="AD528" s="94"/>
    </row>
    <row r="529" spans="1:30" ht="14.25" customHeight="1" x14ac:dyDescent="0.45">
      <c r="A529" s="79"/>
      <c r="B529" s="219">
        <v>40</v>
      </c>
      <c r="C529" s="247">
        <v>263.2167</v>
      </c>
      <c r="D529" s="247">
        <v>263.2826</v>
      </c>
      <c r="E529" s="247">
        <v>263.31099999999998</v>
      </c>
      <c r="F529" s="94"/>
      <c r="G529" s="94"/>
      <c r="H529" s="94"/>
      <c r="I529" s="94"/>
      <c r="J529" s="94"/>
      <c r="K529" s="94"/>
      <c r="L529" s="94"/>
      <c r="M529" s="94"/>
      <c r="N529" s="94"/>
      <c r="O529" s="94"/>
      <c r="P529" s="94"/>
      <c r="Q529" s="94"/>
      <c r="R529" s="94"/>
      <c r="S529" s="94"/>
      <c r="T529" s="94"/>
      <c r="U529" s="94"/>
      <c r="V529" s="94"/>
      <c r="W529" s="94"/>
      <c r="X529" s="94"/>
      <c r="Y529" s="94">
        <f t="shared" si="146"/>
        <v>263.27009999999996</v>
      </c>
      <c r="Z529" s="94">
        <f t="shared" si="147"/>
        <v>263.4901666666666</v>
      </c>
      <c r="AA529" s="94">
        <f t="shared" si="150"/>
        <v>0.22006666666663932</v>
      </c>
      <c r="AB529" s="1">
        <f t="shared" si="151"/>
        <v>15</v>
      </c>
      <c r="AC529" s="1">
        <f t="shared" si="152"/>
        <v>16.504999999997949</v>
      </c>
      <c r="AD529" s="94"/>
    </row>
    <row r="530" spans="1:30" ht="14.25" customHeight="1" x14ac:dyDescent="0.45">
      <c r="A530" s="79"/>
      <c r="B530" s="219">
        <v>45</v>
      </c>
      <c r="C530" s="247">
        <v>263.14150000000001</v>
      </c>
      <c r="D530" s="247">
        <v>263.12740000000002</v>
      </c>
      <c r="E530" s="247">
        <v>263.16550000000001</v>
      </c>
      <c r="F530" s="94"/>
      <c r="G530" s="94"/>
      <c r="H530" s="94"/>
      <c r="I530" s="94"/>
      <c r="J530" s="94"/>
      <c r="K530" s="94"/>
      <c r="L530" s="94"/>
      <c r="M530" s="94"/>
      <c r="N530" s="94"/>
      <c r="O530" s="94"/>
      <c r="P530" s="94"/>
      <c r="Q530" s="94"/>
      <c r="R530" s="94"/>
      <c r="S530" s="94"/>
      <c r="T530" s="94"/>
      <c r="U530" s="94"/>
      <c r="V530" s="94"/>
      <c r="W530" s="94"/>
      <c r="X530" s="94"/>
      <c r="Y530" s="94">
        <f t="shared" si="146"/>
        <v>263.14480000000003</v>
      </c>
      <c r="Z530" s="94">
        <f>Z531-5/100</f>
        <v>263.54016666666661</v>
      </c>
      <c r="AA530" s="94">
        <f t="shared" si="150"/>
        <v>0.39536666666657538</v>
      </c>
      <c r="AB530" s="1">
        <f t="shared" si="151"/>
        <v>15</v>
      </c>
      <c r="AC530" s="1">
        <f t="shared" si="152"/>
        <v>29.652499999993154</v>
      </c>
      <c r="AD530" s="94"/>
    </row>
    <row r="531" spans="1:30" ht="14.25" customHeight="1" x14ac:dyDescent="0.45">
      <c r="A531" s="79"/>
      <c r="B531" s="219">
        <v>50</v>
      </c>
      <c r="C531" s="247">
        <v>263.17079999999999</v>
      </c>
      <c r="D531" s="247">
        <v>263.13720000000001</v>
      </c>
      <c r="E531" s="247">
        <v>263.26979999999998</v>
      </c>
      <c r="F531" s="94"/>
      <c r="G531" s="94"/>
      <c r="H531" s="94"/>
      <c r="I531" s="94"/>
      <c r="J531" s="94"/>
      <c r="K531" s="94"/>
      <c r="L531" s="94"/>
      <c r="M531" s="94"/>
      <c r="N531" s="94"/>
      <c r="O531" s="94"/>
      <c r="P531" s="94"/>
      <c r="Q531" s="94"/>
      <c r="R531" s="94"/>
      <c r="S531" s="94"/>
      <c r="T531" s="94"/>
      <c r="U531" s="94"/>
      <c r="V531" s="94"/>
      <c r="W531" s="94"/>
      <c r="X531" s="94"/>
      <c r="Y531" s="94">
        <f t="shared" si="146"/>
        <v>263.19260000000003</v>
      </c>
      <c r="Z531" s="94">
        <f t="shared" ref="Z531:Z539" si="153">Z532+5/100</f>
        <v>263.59016666666662</v>
      </c>
      <c r="AA531" s="94">
        <f t="shared" si="150"/>
        <v>0.39756666666659157</v>
      </c>
      <c r="AB531" s="1">
        <f t="shared" si="151"/>
        <v>15</v>
      </c>
      <c r="AC531" s="1">
        <f t="shared" si="152"/>
        <v>29.817499999994368</v>
      </c>
      <c r="AD531" s="94"/>
    </row>
    <row r="532" spans="1:30" ht="14.25" customHeight="1" x14ac:dyDescent="0.45">
      <c r="A532" s="79"/>
      <c r="B532" s="219">
        <v>55</v>
      </c>
      <c r="C532" s="247">
        <v>263.2253</v>
      </c>
      <c r="D532" s="247">
        <v>263.24959999999999</v>
      </c>
      <c r="E532" s="247">
        <v>263.24759999999998</v>
      </c>
      <c r="F532" s="94"/>
      <c r="G532" s="94"/>
      <c r="H532" s="94"/>
      <c r="I532" s="94"/>
      <c r="J532" s="94"/>
      <c r="K532" s="94"/>
      <c r="L532" s="94"/>
      <c r="M532" s="94"/>
      <c r="N532" s="94"/>
      <c r="O532" s="94"/>
      <c r="P532" s="94"/>
      <c r="Q532" s="94"/>
      <c r="R532" s="94"/>
      <c r="S532" s="94"/>
      <c r="T532" s="94"/>
      <c r="U532" s="94"/>
      <c r="V532" s="94"/>
      <c r="W532" s="94"/>
      <c r="X532" s="94"/>
      <c r="Y532" s="94">
        <f t="shared" si="146"/>
        <v>263.24083333333328</v>
      </c>
      <c r="Z532" s="94">
        <f t="shared" si="153"/>
        <v>263.54016666666661</v>
      </c>
      <c r="AA532" s="94">
        <f t="shared" si="150"/>
        <v>0.29933333333332257</v>
      </c>
      <c r="AB532" s="1">
        <f t="shared" si="151"/>
        <v>15</v>
      </c>
      <c r="AC532" s="1">
        <f t="shared" si="152"/>
        <v>22.449999999999193</v>
      </c>
      <c r="AD532" s="94"/>
    </row>
    <row r="533" spans="1:30" ht="14.25" customHeight="1" x14ac:dyDescent="0.45">
      <c r="A533" s="79"/>
      <c r="B533" s="219">
        <v>60</v>
      </c>
      <c r="C533" s="247">
        <v>263.23649999999998</v>
      </c>
      <c r="D533" s="247">
        <v>263.21850000000001</v>
      </c>
      <c r="E533" s="247">
        <v>263.20479999999998</v>
      </c>
      <c r="F533" s="94"/>
      <c r="G533" s="94"/>
      <c r="H533" s="94"/>
      <c r="I533" s="94"/>
      <c r="J533" s="94"/>
      <c r="K533" s="94"/>
      <c r="L533" s="94"/>
      <c r="M533" s="94"/>
      <c r="N533" s="94"/>
      <c r="O533" s="94"/>
      <c r="P533" s="94"/>
      <c r="Q533" s="94"/>
      <c r="R533" s="94"/>
      <c r="S533" s="94"/>
      <c r="T533" s="94"/>
      <c r="U533" s="94"/>
      <c r="V533" s="94"/>
      <c r="W533" s="94"/>
      <c r="X533" s="94"/>
      <c r="Y533" s="94">
        <f t="shared" si="146"/>
        <v>263.2199333333333</v>
      </c>
      <c r="Z533" s="94">
        <f t="shared" si="153"/>
        <v>263.4901666666666</v>
      </c>
      <c r="AA533" s="94">
        <f t="shared" si="150"/>
        <v>0.27023333333329447</v>
      </c>
      <c r="AB533" s="1">
        <f t="shared" si="151"/>
        <v>15</v>
      </c>
      <c r="AC533" s="1">
        <f t="shared" si="152"/>
        <v>20.267499999997085</v>
      </c>
      <c r="AD533" s="94"/>
    </row>
    <row r="534" spans="1:30" ht="14.25" customHeight="1" x14ac:dyDescent="0.45">
      <c r="A534" s="79"/>
      <c r="B534" s="219">
        <v>65</v>
      </c>
      <c r="C534" s="247">
        <v>263.22770000000003</v>
      </c>
      <c r="D534" s="247">
        <v>263.16219999999998</v>
      </c>
      <c r="E534" s="247">
        <v>263.24090000000001</v>
      </c>
      <c r="F534" s="94"/>
      <c r="G534" s="94"/>
      <c r="H534" s="94"/>
      <c r="I534" s="94"/>
      <c r="J534" s="94"/>
      <c r="K534" s="94"/>
      <c r="L534" s="94"/>
      <c r="M534" s="94"/>
      <c r="N534" s="94"/>
      <c r="O534" s="94"/>
      <c r="P534" s="94"/>
      <c r="Q534" s="94"/>
      <c r="R534" s="94"/>
      <c r="S534" s="94"/>
      <c r="T534" s="94"/>
      <c r="U534" s="94"/>
      <c r="V534" s="94"/>
      <c r="W534" s="94"/>
      <c r="X534" s="94"/>
      <c r="Y534" s="94">
        <f t="shared" si="146"/>
        <v>263.21026666666666</v>
      </c>
      <c r="Z534" s="94">
        <f t="shared" si="153"/>
        <v>263.44016666666658</v>
      </c>
      <c r="AA534" s="94">
        <f t="shared" si="150"/>
        <v>0.22989999999992961</v>
      </c>
      <c r="AB534" s="1">
        <f t="shared" si="151"/>
        <v>15</v>
      </c>
      <c r="AC534" s="1">
        <f t="shared" si="152"/>
        <v>17.24249999999472</v>
      </c>
      <c r="AD534" s="94"/>
    </row>
    <row r="535" spans="1:30" ht="14.25" customHeight="1" x14ac:dyDescent="0.45">
      <c r="A535" s="79"/>
      <c r="B535" s="219">
        <v>70</v>
      </c>
      <c r="C535" s="247">
        <v>263.226</v>
      </c>
      <c r="D535" s="247">
        <v>263.21809999999999</v>
      </c>
      <c r="E535" s="247">
        <v>263.32380000000001</v>
      </c>
      <c r="F535" s="94"/>
      <c r="G535" s="94"/>
      <c r="H535" s="94"/>
      <c r="I535" s="94"/>
      <c r="J535" s="94"/>
      <c r="K535" s="94"/>
      <c r="L535" s="94"/>
      <c r="M535" s="94"/>
      <c r="N535" s="94"/>
      <c r="O535" s="94"/>
      <c r="P535" s="94"/>
      <c r="Q535" s="94"/>
      <c r="R535" s="94"/>
      <c r="S535" s="94"/>
      <c r="T535" s="94"/>
      <c r="U535" s="94"/>
      <c r="V535" s="94"/>
      <c r="W535" s="94"/>
      <c r="X535" s="94"/>
      <c r="Y535" s="94">
        <f t="shared" si="146"/>
        <v>263.25596666666667</v>
      </c>
      <c r="Z535" s="94">
        <f t="shared" si="153"/>
        <v>263.39016666666657</v>
      </c>
      <c r="AA535" s="94">
        <f t="shared" si="150"/>
        <v>0.1341999999999075</v>
      </c>
      <c r="AB535" s="1">
        <f t="shared" si="151"/>
        <v>15</v>
      </c>
      <c r="AC535" s="1">
        <f t="shared" si="152"/>
        <v>10.064999999993063</v>
      </c>
      <c r="AD535" s="94"/>
    </row>
    <row r="536" spans="1:30" ht="14.25" customHeight="1" x14ac:dyDescent="0.45">
      <c r="A536" s="79"/>
      <c r="B536" s="219">
        <v>75</v>
      </c>
      <c r="C536" s="247">
        <v>263.2029</v>
      </c>
      <c r="D536" s="247">
        <v>263.11</v>
      </c>
      <c r="E536" s="247">
        <v>263.14460000000003</v>
      </c>
      <c r="F536" s="94"/>
      <c r="G536" s="94"/>
      <c r="H536" s="94"/>
      <c r="I536" s="94"/>
      <c r="J536" s="94"/>
      <c r="K536" s="94"/>
      <c r="L536" s="94"/>
      <c r="M536" s="94"/>
      <c r="N536" s="94"/>
      <c r="O536" s="94"/>
      <c r="P536" s="94"/>
      <c r="Q536" s="94"/>
      <c r="R536" s="94"/>
      <c r="S536" s="94"/>
      <c r="T536" s="94"/>
      <c r="U536" s="94"/>
      <c r="V536" s="94"/>
      <c r="W536" s="94"/>
      <c r="X536" s="94"/>
      <c r="Y536" s="94">
        <f t="shared" si="146"/>
        <v>263.15249999999997</v>
      </c>
      <c r="Z536" s="94">
        <f t="shared" si="153"/>
        <v>263.34016666666656</v>
      </c>
      <c r="AA536" s="94">
        <f t="shared" si="150"/>
        <v>0.18766666666658693</v>
      </c>
      <c r="AB536" s="1">
        <f t="shared" si="151"/>
        <v>15</v>
      </c>
      <c r="AC536" s="1">
        <f t="shared" si="152"/>
        <v>14.07499999999402</v>
      </c>
      <c r="AD536" s="94"/>
    </row>
    <row r="537" spans="1:30" ht="14.25" customHeight="1" x14ac:dyDescent="0.45">
      <c r="A537" s="79"/>
      <c r="B537" s="219">
        <v>80</v>
      </c>
      <c r="C537" s="247">
        <v>263.17149999999998</v>
      </c>
      <c r="D537" s="247">
        <v>263.18369999999999</v>
      </c>
      <c r="E537" s="247">
        <v>263.18040000000002</v>
      </c>
      <c r="F537" s="94"/>
      <c r="G537" s="94"/>
      <c r="H537" s="94"/>
      <c r="I537" s="94"/>
      <c r="J537" s="94"/>
      <c r="K537" s="94"/>
      <c r="L537" s="94"/>
      <c r="M537" s="94"/>
      <c r="N537" s="94"/>
      <c r="O537" s="94"/>
      <c r="P537" s="94"/>
      <c r="Q537" s="94"/>
      <c r="R537" s="94"/>
      <c r="S537" s="94"/>
      <c r="T537" s="94"/>
      <c r="U537" s="94"/>
      <c r="V537" s="94"/>
      <c r="W537" s="94"/>
      <c r="X537" s="94"/>
      <c r="Y537" s="94">
        <f t="shared" si="146"/>
        <v>263.17853333333329</v>
      </c>
      <c r="Z537" s="94">
        <f t="shared" si="153"/>
        <v>263.29016666666655</v>
      </c>
      <c r="AA537" s="94">
        <f t="shared" si="150"/>
        <v>0.11163333333325909</v>
      </c>
      <c r="AB537" s="1">
        <f t="shared" si="151"/>
        <v>15</v>
      </c>
      <c r="AC537" s="1">
        <f t="shared" si="152"/>
        <v>8.3724999999944316</v>
      </c>
      <c r="AD537" s="94"/>
    </row>
    <row r="538" spans="1:30" ht="14.25" customHeight="1" x14ac:dyDescent="0.45">
      <c r="A538" s="79"/>
      <c r="B538" s="219">
        <v>85</v>
      </c>
      <c r="C538" s="247">
        <v>263.16129999999998</v>
      </c>
      <c r="D538" s="247">
        <v>263.14010000000002</v>
      </c>
      <c r="E538" s="247">
        <v>263.13529999999997</v>
      </c>
      <c r="F538" s="94"/>
      <c r="G538" s="94"/>
      <c r="H538" s="94"/>
      <c r="I538" s="94"/>
      <c r="J538" s="94"/>
      <c r="K538" s="94"/>
      <c r="L538" s="94"/>
      <c r="M538" s="94"/>
      <c r="N538" s="94"/>
      <c r="O538" s="94"/>
      <c r="P538" s="94"/>
      <c r="Q538" s="94"/>
      <c r="R538" s="94"/>
      <c r="S538" s="94"/>
      <c r="T538" s="94"/>
      <c r="U538" s="94"/>
      <c r="V538" s="94"/>
      <c r="W538" s="94"/>
      <c r="X538" s="94"/>
      <c r="Y538" s="94">
        <f t="shared" si="146"/>
        <v>263.14556666666664</v>
      </c>
      <c r="Z538" s="94">
        <f t="shared" si="153"/>
        <v>263.24016666666654</v>
      </c>
      <c r="AA538" s="94">
        <f t="shared" si="150"/>
        <v>9.4599999999900319E-2</v>
      </c>
      <c r="AB538" s="1">
        <f t="shared" si="151"/>
        <v>15</v>
      </c>
      <c r="AC538" s="1">
        <f t="shared" si="152"/>
        <v>7.094999999992524</v>
      </c>
      <c r="AD538" s="94"/>
    </row>
    <row r="539" spans="1:30" ht="14.25" customHeight="1" x14ac:dyDescent="0.45">
      <c r="A539" s="79"/>
      <c r="B539" s="219">
        <v>90</v>
      </c>
      <c r="C539" s="247">
        <v>263.2946</v>
      </c>
      <c r="D539" s="247">
        <v>263.1977</v>
      </c>
      <c r="E539" s="247">
        <v>263.19940000000003</v>
      </c>
      <c r="F539" s="94"/>
      <c r="G539" s="94"/>
      <c r="H539" s="94"/>
      <c r="I539" s="94"/>
      <c r="J539" s="94"/>
      <c r="K539" s="94"/>
      <c r="L539" s="94"/>
      <c r="M539" s="94"/>
      <c r="N539" s="94"/>
      <c r="O539" s="94"/>
      <c r="P539" s="94"/>
      <c r="Q539" s="94"/>
      <c r="R539" s="94"/>
      <c r="S539" s="94"/>
      <c r="T539" s="94"/>
      <c r="U539" s="94"/>
      <c r="V539" s="94"/>
      <c r="W539" s="94"/>
      <c r="X539" s="94"/>
      <c r="Y539" s="94">
        <f t="shared" si="146"/>
        <v>263.23056666666668</v>
      </c>
      <c r="Z539" s="94">
        <f t="shared" si="153"/>
        <v>263.19016666666653</v>
      </c>
      <c r="AA539" s="94">
        <f t="shared" si="150"/>
        <v>-4.0400000000147429E-2</v>
      </c>
      <c r="AB539" s="1">
        <f t="shared" si="151"/>
        <v>15</v>
      </c>
      <c r="AC539" s="1">
        <f t="shared" si="152"/>
        <v>-3.0300000000110572</v>
      </c>
      <c r="AD539" s="94"/>
    </row>
    <row r="540" spans="1:30" ht="14.25" customHeight="1" x14ac:dyDescent="0.45">
      <c r="A540" s="79"/>
      <c r="B540" s="219">
        <v>95</v>
      </c>
      <c r="C540" s="247">
        <v>263.26029999999997</v>
      </c>
      <c r="D540" s="247">
        <v>263.19380000000001</v>
      </c>
      <c r="E540" s="247">
        <v>263.08339999999998</v>
      </c>
      <c r="F540" s="94"/>
      <c r="G540" s="94"/>
      <c r="H540" s="94"/>
      <c r="I540" s="94"/>
      <c r="J540" s="94"/>
      <c r="K540" s="94"/>
      <c r="L540" s="94"/>
      <c r="M540" s="94"/>
      <c r="N540" s="94"/>
      <c r="O540" s="94"/>
      <c r="P540" s="94"/>
      <c r="Q540" s="94"/>
      <c r="R540" s="94"/>
      <c r="S540" s="94"/>
      <c r="T540" s="94"/>
      <c r="U540" s="94"/>
      <c r="V540" s="94"/>
      <c r="W540" s="94"/>
      <c r="X540" s="94"/>
      <c r="Y540" s="94">
        <f t="shared" si="146"/>
        <v>263.17916666666662</v>
      </c>
      <c r="Z540" s="94">
        <f>Z541+5/100</f>
        <v>263.14016666666652</v>
      </c>
      <c r="AA540" s="94">
        <f t="shared" si="150"/>
        <v>-3.9000000000100954E-2</v>
      </c>
      <c r="AB540" s="1">
        <f t="shared" si="151"/>
        <v>15</v>
      </c>
      <c r="AC540" s="1">
        <f t="shared" si="152"/>
        <v>-2.9250000000075715</v>
      </c>
      <c r="AD540" s="94"/>
    </row>
    <row r="541" spans="1:30" ht="14.25" customHeight="1" x14ac:dyDescent="0.45">
      <c r="A541" s="79"/>
      <c r="B541" s="219">
        <v>100</v>
      </c>
      <c r="C541" s="247">
        <v>263.21379999999999</v>
      </c>
      <c r="D541" s="247">
        <v>263.14190000000002</v>
      </c>
      <c r="E541" s="247">
        <v>263.13010000000003</v>
      </c>
      <c r="F541" s="94"/>
      <c r="G541" s="94"/>
      <c r="H541" s="94"/>
      <c r="I541" s="94"/>
      <c r="J541" s="94"/>
      <c r="K541" s="94"/>
      <c r="L541" s="94"/>
      <c r="M541" s="94"/>
      <c r="N541" s="94"/>
      <c r="O541" s="94"/>
      <c r="P541" s="94"/>
      <c r="Q541" s="94"/>
      <c r="R541" s="94"/>
      <c r="S541" s="94"/>
      <c r="T541" s="94"/>
      <c r="U541" s="94"/>
      <c r="V541" s="94"/>
      <c r="W541" s="94"/>
      <c r="X541" s="94"/>
      <c r="Y541" s="94">
        <f t="shared" si="146"/>
        <v>263.16193333333337</v>
      </c>
      <c r="Z541" s="235">
        <f>Z136-0.05</f>
        <v>263.09016666666651</v>
      </c>
      <c r="AA541" s="94">
        <f t="shared" si="150"/>
        <v>-7.1766666666860601E-2</v>
      </c>
      <c r="AB541" s="1">
        <f t="shared" si="151"/>
        <v>15</v>
      </c>
      <c r="AC541" s="1">
        <f t="shared" si="152"/>
        <v>-5.3825000000145451</v>
      </c>
      <c r="AD541" s="307">
        <f>SUM(AC521:AC541)</f>
        <v>198.49249999984266</v>
      </c>
    </row>
    <row r="546" spans="1:30" ht="14.25" customHeight="1" x14ac:dyDescent="0.45">
      <c r="A546" s="79">
        <v>27</v>
      </c>
      <c r="B546" s="219">
        <v>0</v>
      </c>
      <c r="C546" s="244">
        <v>263.36410000000001</v>
      </c>
      <c r="D546" s="244">
        <v>262.92759999999998</v>
      </c>
      <c r="E546" s="240"/>
      <c r="F546" s="240"/>
      <c r="G546" s="94"/>
      <c r="H546" s="94"/>
      <c r="I546" s="94"/>
      <c r="J546" s="94"/>
      <c r="K546" s="94"/>
      <c r="L546" s="94"/>
      <c r="M546" s="94"/>
      <c r="N546" s="94"/>
      <c r="O546" s="94"/>
      <c r="P546" s="94"/>
      <c r="Q546" s="94"/>
      <c r="R546" s="94"/>
      <c r="S546" s="94"/>
      <c r="T546" s="94"/>
      <c r="U546" s="94"/>
      <c r="V546" s="94"/>
      <c r="W546" s="94"/>
      <c r="X546" s="94"/>
      <c r="Y546" s="94">
        <f t="shared" ref="Y546:Y554" si="154">AVERAGE(C546:X546)</f>
        <v>263.14585</v>
      </c>
      <c r="Z546" s="235">
        <f t="shared" ref="Z546:Z554" si="155">Z128-0.05</f>
        <v>263.4901666666666</v>
      </c>
      <c r="AA546" s="94">
        <f t="shared" ref="AA546:AA554" si="156">Z546-Y546</f>
        <v>0.34431666666660021</v>
      </c>
      <c r="AB546" s="1">
        <f t="shared" ref="AB546:AB554" si="157">COUNTIF(C546:X546,"&gt;0")*5</f>
        <v>10</v>
      </c>
      <c r="AC546" s="1">
        <f t="shared" ref="AC546:AC554" si="158">AA546*AB546*5</f>
        <v>17.215833333330011</v>
      </c>
    </row>
    <row r="547" spans="1:30" ht="14.25" customHeight="1" x14ac:dyDescent="0.45">
      <c r="A547" s="79"/>
      <c r="B547" s="219">
        <v>5</v>
      </c>
      <c r="C547" s="244">
        <v>263.20519999999999</v>
      </c>
      <c r="D547" s="244">
        <v>262.95280000000002</v>
      </c>
      <c r="E547" s="240"/>
      <c r="F547" s="240"/>
      <c r="G547" s="94"/>
      <c r="H547" s="94"/>
      <c r="I547" s="94"/>
      <c r="J547" s="94"/>
      <c r="K547" s="94"/>
      <c r="L547" s="94"/>
      <c r="M547" s="94"/>
      <c r="N547" s="94"/>
      <c r="O547" s="94"/>
      <c r="P547" s="94"/>
      <c r="Q547" s="94"/>
      <c r="R547" s="94"/>
      <c r="S547" s="94"/>
      <c r="T547" s="94"/>
      <c r="U547" s="94"/>
      <c r="V547" s="94"/>
      <c r="W547" s="94"/>
      <c r="X547" s="94"/>
      <c r="Y547" s="94">
        <f t="shared" si="154"/>
        <v>263.07900000000001</v>
      </c>
      <c r="Z547" s="94">
        <f t="shared" si="155"/>
        <v>263.44016666666658</v>
      </c>
      <c r="AA547" s="94">
        <f t="shared" si="156"/>
        <v>0.36116666666657693</v>
      </c>
      <c r="AB547" s="1">
        <f t="shared" si="157"/>
        <v>10</v>
      </c>
      <c r="AC547" s="1">
        <f t="shared" si="158"/>
        <v>18.058333333328846</v>
      </c>
    </row>
    <row r="548" spans="1:30" ht="14.25" customHeight="1" x14ac:dyDescent="0.45">
      <c r="A548" s="79"/>
      <c r="B548" s="219">
        <v>10</v>
      </c>
      <c r="C548" s="244">
        <v>263.24209999999999</v>
      </c>
      <c r="D548" s="244">
        <v>263.13350000000003</v>
      </c>
      <c r="E548" s="240"/>
      <c r="F548" s="240"/>
      <c r="G548" s="94"/>
      <c r="H548" s="94"/>
      <c r="I548" s="94"/>
      <c r="J548" s="94"/>
      <c r="K548" s="94"/>
      <c r="L548" s="94"/>
      <c r="M548" s="94"/>
      <c r="N548" s="94"/>
      <c r="O548" s="94"/>
      <c r="P548" s="94"/>
      <c r="Q548" s="94"/>
      <c r="R548" s="94"/>
      <c r="S548" s="94"/>
      <c r="T548" s="94"/>
      <c r="U548" s="94"/>
      <c r="V548" s="94"/>
      <c r="W548" s="94"/>
      <c r="X548" s="94"/>
      <c r="Y548" s="94">
        <f t="shared" si="154"/>
        <v>263.18780000000004</v>
      </c>
      <c r="Z548" s="94">
        <f t="shared" si="155"/>
        <v>263.39016666666657</v>
      </c>
      <c r="AA548" s="94">
        <f t="shared" si="156"/>
        <v>0.20236666666653491</v>
      </c>
      <c r="AB548" s="1">
        <f t="shared" si="157"/>
        <v>10</v>
      </c>
      <c r="AC548" s="1">
        <f t="shared" si="158"/>
        <v>10.118333333326746</v>
      </c>
    </row>
    <row r="549" spans="1:30" ht="14.25" customHeight="1" x14ac:dyDescent="0.45">
      <c r="A549" s="79"/>
      <c r="B549" s="219">
        <v>15</v>
      </c>
      <c r="C549" s="244">
        <v>263.19850000000002</v>
      </c>
      <c r="D549" s="244">
        <v>263.07459999999998</v>
      </c>
      <c r="E549" s="94"/>
      <c r="F549" s="94"/>
      <c r="G549" s="94"/>
      <c r="H549" s="94"/>
      <c r="I549" s="94"/>
      <c r="J549" s="94"/>
      <c r="K549" s="94"/>
      <c r="L549" s="94"/>
      <c r="M549" s="94"/>
      <c r="N549" s="94"/>
      <c r="O549" s="94"/>
      <c r="P549" s="94"/>
      <c r="Q549" s="94"/>
      <c r="R549" s="94"/>
      <c r="S549" s="94"/>
      <c r="T549" s="94"/>
      <c r="U549" s="94"/>
      <c r="V549" s="94"/>
      <c r="W549" s="94"/>
      <c r="X549" s="94"/>
      <c r="Y549" s="94">
        <f t="shared" si="154"/>
        <v>263.13655</v>
      </c>
      <c r="Z549" s="94">
        <f t="shared" si="155"/>
        <v>263.34016666666656</v>
      </c>
      <c r="AA549" s="94">
        <f t="shared" si="156"/>
        <v>0.2036166666665622</v>
      </c>
      <c r="AB549" s="1">
        <f t="shared" si="157"/>
        <v>10</v>
      </c>
      <c r="AC549" s="1">
        <f t="shared" si="158"/>
        <v>10.18083333332811</v>
      </c>
    </row>
    <row r="550" spans="1:30" ht="14.25" customHeight="1" x14ac:dyDescent="0.45">
      <c r="A550" s="79"/>
      <c r="B550" s="219">
        <v>20</v>
      </c>
      <c r="C550" s="244">
        <v>263.15559999999999</v>
      </c>
      <c r="D550" s="244">
        <v>263.2013</v>
      </c>
      <c r="E550" s="244">
        <v>263.36329999999998</v>
      </c>
      <c r="F550" s="94"/>
      <c r="G550" s="94"/>
      <c r="H550" s="94"/>
      <c r="I550" s="94"/>
      <c r="J550" s="94"/>
      <c r="K550" s="94"/>
      <c r="L550" s="94"/>
      <c r="M550" s="94"/>
      <c r="N550" s="94"/>
      <c r="O550" s="94"/>
      <c r="P550" s="94"/>
      <c r="Q550" s="94"/>
      <c r="R550" s="94"/>
      <c r="S550" s="94"/>
      <c r="T550" s="94"/>
      <c r="U550" s="94"/>
      <c r="V550" s="94"/>
      <c r="W550" s="94"/>
      <c r="X550" s="94"/>
      <c r="Y550" s="94">
        <f t="shared" si="154"/>
        <v>263.24006666666668</v>
      </c>
      <c r="Z550" s="94">
        <f t="shared" si="155"/>
        <v>263.29016666666655</v>
      </c>
      <c r="AA550" s="94">
        <f t="shared" si="156"/>
        <v>5.009999999987258E-2</v>
      </c>
      <c r="AB550" s="1">
        <f t="shared" si="157"/>
        <v>15</v>
      </c>
      <c r="AC550" s="1">
        <f t="shared" si="158"/>
        <v>3.7574999999904435</v>
      </c>
    </row>
    <row r="551" spans="1:30" ht="14.25" customHeight="1" x14ac:dyDescent="0.45">
      <c r="A551" s="79"/>
      <c r="B551" s="219">
        <v>25</v>
      </c>
      <c r="C551" s="244">
        <v>263.27550000000002</v>
      </c>
      <c r="D551" s="244">
        <v>263.26490000000001</v>
      </c>
      <c r="E551" s="244">
        <v>263.29899999999998</v>
      </c>
      <c r="F551" s="94"/>
      <c r="G551" s="94"/>
      <c r="H551" s="94"/>
      <c r="I551" s="94"/>
      <c r="J551" s="94"/>
      <c r="K551" s="94"/>
      <c r="L551" s="94"/>
      <c r="M551" s="94"/>
      <c r="N551" s="94"/>
      <c r="O551" s="94"/>
      <c r="P551" s="94"/>
      <c r="Q551" s="94"/>
      <c r="R551" s="94"/>
      <c r="S551" s="94"/>
      <c r="T551" s="94"/>
      <c r="U551" s="94"/>
      <c r="V551" s="94"/>
      <c r="W551" s="94"/>
      <c r="X551" s="94"/>
      <c r="Y551" s="94">
        <f t="shared" si="154"/>
        <v>263.27980000000002</v>
      </c>
      <c r="Z551" s="94">
        <f t="shared" si="155"/>
        <v>263.24016666666654</v>
      </c>
      <c r="AA551" s="94">
        <f t="shared" si="156"/>
        <v>-3.9633333333483733E-2</v>
      </c>
      <c r="AB551" s="1">
        <f t="shared" si="157"/>
        <v>15</v>
      </c>
      <c r="AC551" s="1">
        <f t="shared" si="158"/>
        <v>-2.97250000001128</v>
      </c>
    </row>
    <row r="552" spans="1:30" ht="14.25" customHeight="1" x14ac:dyDescent="0.45">
      <c r="A552" s="79"/>
      <c r="B552" s="219">
        <v>30</v>
      </c>
      <c r="C552" s="244">
        <v>263.44929999999999</v>
      </c>
      <c r="D552" s="244">
        <v>263.28309999999999</v>
      </c>
      <c r="E552" s="244">
        <v>263.42970000000003</v>
      </c>
      <c r="F552" s="214"/>
      <c r="G552" s="94"/>
      <c r="H552" s="94"/>
      <c r="I552" s="94"/>
      <c r="J552" s="94"/>
      <c r="K552" s="94"/>
      <c r="L552" s="94"/>
      <c r="M552" s="94"/>
      <c r="N552" s="94"/>
      <c r="O552" s="94"/>
      <c r="P552" s="94"/>
      <c r="Q552" s="94"/>
      <c r="R552" s="94"/>
      <c r="S552" s="94"/>
      <c r="T552" s="94"/>
      <c r="U552" s="94"/>
      <c r="V552" s="94"/>
      <c r="W552" s="94"/>
      <c r="X552" s="94"/>
      <c r="Y552" s="94">
        <f t="shared" si="154"/>
        <v>263.38736666666665</v>
      </c>
      <c r="Z552" s="94">
        <f t="shared" si="155"/>
        <v>263.19016666666653</v>
      </c>
      <c r="AA552" s="94">
        <f t="shared" si="156"/>
        <v>-0.19720000000012305</v>
      </c>
      <c r="AB552" s="1">
        <f t="shared" si="157"/>
        <v>15</v>
      </c>
      <c r="AC552" s="1">
        <f t="shared" si="158"/>
        <v>-14.790000000009229</v>
      </c>
    </row>
    <row r="553" spans="1:30" ht="14.25" customHeight="1" x14ac:dyDescent="0.45">
      <c r="A553" s="79"/>
      <c r="B553" s="219">
        <v>35</v>
      </c>
      <c r="C553" s="244">
        <v>263.30880000000002</v>
      </c>
      <c r="D553" s="244">
        <v>263.2672</v>
      </c>
      <c r="E553" s="244">
        <v>263.40359999999998</v>
      </c>
      <c r="F553" s="244">
        <v>263.45339999999999</v>
      </c>
      <c r="G553" s="94"/>
      <c r="H553" s="94"/>
      <c r="I553" s="94"/>
      <c r="J553" s="94"/>
      <c r="K553" s="94"/>
      <c r="L553" s="94"/>
      <c r="M553" s="94"/>
      <c r="N553" s="94"/>
      <c r="O553" s="94"/>
      <c r="P553" s="94"/>
      <c r="Q553" s="94"/>
      <c r="R553" s="94"/>
      <c r="S553" s="94"/>
      <c r="T553" s="94"/>
      <c r="U553" s="94"/>
      <c r="V553" s="94"/>
      <c r="W553" s="94"/>
      <c r="X553" s="94"/>
      <c r="Y553" s="94">
        <f t="shared" si="154"/>
        <v>263.35825</v>
      </c>
      <c r="Z553" s="94">
        <f t="shared" si="155"/>
        <v>263.14016666666652</v>
      </c>
      <c r="AA553" s="94">
        <f t="shared" si="156"/>
        <v>-0.21808333333348173</v>
      </c>
      <c r="AB553" s="1">
        <f t="shared" si="157"/>
        <v>20</v>
      </c>
      <c r="AC553" s="1">
        <f t="shared" si="158"/>
        <v>-21.808333333348173</v>
      </c>
    </row>
    <row r="554" spans="1:30" ht="14.25" customHeight="1" x14ac:dyDescent="0.45">
      <c r="A554" s="79"/>
      <c r="B554" s="219">
        <v>40</v>
      </c>
      <c r="C554" s="244">
        <v>263.23579999999998</v>
      </c>
      <c r="D554" s="244">
        <v>263.221</v>
      </c>
      <c r="E554" s="244">
        <v>263.35090000000002</v>
      </c>
      <c r="F554" s="244">
        <v>263.4015</v>
      </c>
      <c r="G554" s="94"/>
      <c r="H554" s="94"/>
      <c r="I554" s="94"/>
      <c r="J554" s="94"/>
      <c r="K554" s="94"/>
      <c r="L554" s="94"/>
      <c r="M554" s="94"/>
      <c r="N554" s="94"/>
      <c r="O554" s="94"/>
      <c r="P554" s="94"/>
      <c r="Q554" s="94"/>
      <c r="R554" s="94"/>
      <c r="S554" s="94"/>
      <c r="T554" s="94"/>
      <c r="U554" s="94"/>
      <c r="V554" s="94"/>
      <c r="W554" s="94"/>
      <c r="X554" s="94"/>
      <c r="Y554" s="94">
        <f t="shared" si="154"/>
        <v>263.3023</v>
      </c>
      <c r="Z554" s="94">
        <f t="shared" si="155"/>
        <v>263.09016666666651</v>
      </c>
      <c r="AA554" s="94">
        <f t="shared" si="156"/>
        <v>-0.21213333333349738</v>
      </c>
      <c r="AB554" s="1">
        <f t="shared" si="157"/>
        <v>20</v>
      </c>
      <c r="AC554" s="1">
        <f t="shared" si="158"/>
        <v>-21.213333333349738</v>
      </c>
      <c r="AD554" s="306">
        <f>SUM(AC546:AC554)</f>
        <v>-1.453333333414264</v>
      </c>
    </row>
    <row r="555" spans="1:30" ht="14.25" customHeight="1" x14ac:dyDescent="0.45">
      <c r="A555" s="79"/>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spans="1:30" ht="14.25" customHeight="1" x14ac:dyDescent="0.45">
      <c r="A556" s="79"/>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spans="1:30" ht="14.25" customHeight="1" x14ac:dyDescent="0.45">
      <c r="A557" s="79">
        <v>28</v>
      </c>
      <c r="B557" s="219">
        <v>0</v>
      </c>
      <c r="C557" s="250">
        <v>264.2432</v>
      </c>
      <c r="D557" s="250">
        <v>263.83859999999999</v>
      </c>
      <c r="E557" s="250">
        <v>263.93959999999998</v>
      </c>
      <c r="F557" s="250">
        <v>263.9348</v>
      </c>
      <c r="G557" s="250">
        <v>263.79579999999999</v>
      </c>
      <c r="H557" s="94"/>
      <c r="I557" s="94"/>
      <c r="J557" s="94"/>
      <c r="K557" s="94"/>
      <c r="L557" s="94"/>
      <c r="M557" s="94"/>
      <c r="N557" s="94"/>
      <c r="O557" s="94"/>
      <c r="P557" s="94"/>
      <c r="Q557" s="94"/>
      <c r="R557" s="94"/>
      <c r="S557" s="94"/>
      <c r="T557" s="94"/>
      <c r="U557" s="94"/>
      <c r="V557" s="94"/>
      <c r="W557" s="94"/>
      <c r="X557" s="94"/>
      <c r="Y557" s="94">
        <f t="shared" ref="Y557:Y565" si="159">AVERAGE(C557:X557)</f>
        <v>263.9504</v>
      </c>
      <c r="Z557" s="94">
        <f t="shared" ref="Z557:Z564" si="160">Z164-0.1</f>
        <v>263.789838095238</v>
      </c>
      <c r="AA557" s="94">
        <f t="shared" ref="AA557:AA565" si="161">Z557-Y557</f>
        <v>-0.16056190476200527</v>
      </c>
      <c r="AB557" s="1">
        <f t="shared" ref="AB557:AB565" si="162">COUNTIF(C557:X557,"&gt;0")*5</f>
        <v>25</v>
      </c>
      <c r="AC557" s="1">
        <f t="shared" ref="AC557:AC565" si="163">AA557*AB557*5</f>
        <v>-20.070238095250659</v>
      </c>
    </row>
    <row r="558" spans="1:30" ht="14.25" customHeight="1" x14ac:dyDescent="0.45">
      <c r="A558" s="79"/>
      <c r="B558" s="219">
        <v>5</v>
      </c>
      <c r="C558" s="250">
        <v>263.97179999999997</v>
      </c>
      <c r="D558" s="250">
        <v>263.46260000000001</v>
      </c>
      <c r="E558" s="250">
        <v>264.2414</v>
      </c>
      <c r="F558" s="250">
        <v>263.65800000000002</v>
      </c>
      <c r="G558" s="250">
        <v>263.49259999999998</v>
      </c>
      <c r="H558" s="94"/>
      <c r="I558" s="94"/>
      <c r="J558" s="94"/>
      <c r="K558" s="94"/>
      <c r="L558" s="94"/>
      <c r="M558" s="94"/>
      <c r="N558" s="94"/>
      <c r="O558" s="94"/>
      <c r="P558" s="94"/>
      <c r="Q558" s="94"/>
      <c r="R558" s="94"/>
      <c r="S558" s="94"/>
      <c r="T558" s="94"/>
      <c r="U558" s="94"/>
      <c r="V558" s="94"/>
      <c r="W558" s="94"/>
      <c r="X558" s="94"/>
      <c r="Y558" s="94">
        <f t="shared" si="159"/>
        <v>263.76527999999996</v>
      </c>
      <c r="Z558" s="94">
        <f t="shared" si="160"/>
        <v>263.83983809523801</v>
      </c>
      <c r="AA558" s="94">
        <f t="shared" si="161"/>
        <v>7.4558095238046462E-2</v>
      </c>
      <c r="AB558" s="1">
        <f t="shared" si="162"/>
        <v>25</v>
      </c>
      <c r="AC558" s="1">
        <f t="shared" si="163"/>
        <v>9.3197619047558078</v>
      </c>
    </row>
    <row r="559" spans="1:30" ht="14.25" customHeight="1" x14ac:dyDescent="0.45">
      <c r="A559" s="79"/>
      <c r="B559" s="219">
        <v>10</v>
      </c>
      <c r="C559" s="214"/>
      <c r="D559" s="94"/>
      <c r="E559" s="214"/>
      <c r="F559" s="250">
        <v>263.84010000000001</v>
      </c>
      <c r="G559" s="250">
        <v>263.72890000000001</v>
      </c>
      <c r="H559" s="94"/>
      <c r="I559" s="94"/>
      <c r="J559" s="94"/>
      <c r="K559" s="94"/>
      <c r="L559" s="94"/>
      <c r="M559" s="94"/>
      <c r="N559" s="94"/>
      <c r="O559" s="94"/>
      <c r="P559" s="94"/>
      <c r="Q559" s="94"/>
      <c r="R559" s="94"/>
      <c r="S559" s="94"/>
      <c r="T559" s="94"/>
      <c r="U559" s="94"/>
      <c r="V559" s="94"/>
      <c r="W559" s="94"/>
      <c r="X559" s="94"/>
      <c r="Y559" s="94">
        <f t="shared" si="159"/>
        <v>263.78449999999998</v>
      </c>
      <c r="Z559" s="94">
        <f t="shared" si="160"/>
        <v>263.789838095238</v>
      </c>
      <c r="AA559" s="94">
        <f t="shared" si="161"/>
        <v>5.3380952380166491E-3</v>
      </c>
      <c r="AB559" s="1">
        <f t="shared" si="162"/>
        <v>10</v>
      </c>
      <c r="AC559" s="1">
        <f t="shared" si="163"/>
        <v>0.26690476190083245</v>
      </c>
    </row>
    <row r="560" spans="1:30" ht="14.25" customHeight="1" x14ac:dyDescent="0.45">
      <c r="A560" s="79"/>
      <c r="B560" s="219">
        <v>15</v>
      </c>
      <c r="C560" s="94"/>
      <c r="D560" s="94"/>
      <c r="E560" s="94"/>
      <c r="F560" s="250">
        <v>263.77600000000001</v>
      </c>
      <c r="G560" s="250">
        <v>263.63670000000002</v>
      </c>
      <c r="H560" s="94"/>
      <c r="I560" s="94"/>
      <c r="J560" s="94"/>
      <c r="K560" s="94"/>
      <c r="L560" s="94"/>
      <c r="M560" s="94"/>
      <c r="N560" s="94"/>
      <c r="O560" s="94"/>
      <c r="P560" s="94"/>
      <c r="Q560" s="94"/>
      <c r="R560" s="94"/>
      <c r="S560" s="94"/>
      <c r="T560" s="94"/>
      <c r="U560" s="94"/>
      <c r="V560" s="94"/>
      <c r="W560" s="94"/>
      <c r="X560" s="94"/>
      <c r="Y560" s="94">
        <f t="shared" si="159"/>
        <v>263.70635000000004</v>
      </c>
      <c r="Z560" s="94">
        <f t="shared" si="160"/>
        <v>263.73983809523799</v>
      </c>
      <c r="AA560" s="94">
        <f t="shared" si="161"/>
        <v>3.3488095237942161E-2</v>
      </c>
      <c r="AB560" s="1">
        <f t="shared" si="162"/>
        <v>10</v>
      </c>
      <c r="AC560" s="1">
        <f t="shared" si="163"/>
        <v>1.6744047618971081</v>
      </c>
    </row>
    <row r="561" spans="1:30" ht="14.25" customHeight="1" x14ac:dyDescent="0.45">
      <c r="A561" s="79"/>
      <c r="B561" s="219">
        <v>20</v>
      </c>
      <c r="C561" s="94"/>
      <c r="D561" s="94"/>
      <c r="E561" s="94"/>
      <c r="F561" s="250">
        <v>263.5172</v>
      </c>
      <c r="G561" s="250">
        <v>263.8107</v>
      </c>
      <c r="H561" s="94"/>
      <c r="I561" s="94"/>
      <c r="J561" s="94"/>
      <c r="K561" s="94"/>
      <c r="L561" s="94"/>
      <c r="M561" s="94"/>
      <c r="N561" s="94"/>
      <c r="O561" s="94"/>
      <c r="P561" s="94"/>
      <c r="Q561" s="94"/>
      <c r="R561" s="94"/>
      <c r="S561" s="94"/>
      <c r="T561" s="94"/>
      <c r="U561" s="94"/>
      <c r="V561" s="94"/>
      <c r="W561" s="94"/>
      <c r="X561" s="94"/>
      <c r="Y561" s="94">
        <f t="shared" si="159"/>
        <v>263.66395</v>
      </c>
      <c r="Z561" s="94">
        <f t="shared" si="160"/>
        <v>263.68983809523797</v>
      </c>
      <c r="AA561" s="94">
        <f t="shared" si="161"/>
        <v>2.5888095237974085E-2</v>
      </c>
      <c r="AB561" s="1">
        <f t="shared" si="162"/>
        <v>10</v>
      </c>
      <c r="AC561" s="1">
        <f t="shared" si="163"/>
        <v>1.2944047618987042</v>
      </c>
    </row>
    <row r="562" spans="1:30" ht="14.25" customHeight="1" x14ac:dyDescent="0.45">
      <c r="A562" s="79"/>
      <c r="B562" s="219">
        <v>25</v>
      </c>
      <c r="C562" s="94"/>
      <c r="D562" s="94"/>
      <c r="E562" s="94"/>
      <c r="F562" s="250">
        <v>263.63319999999999</v>
      </c>
      <c r="G562" s="250">
        <v>263.71159999999998</v>
      </c>
      <c r="H562" s="94"/>
      <c r="I562" s="94"/>
      <c r="J562" s="94"/>
      <c r="K562" s="94"/>
      <c r="L562" s="94"/>
      <c r="M562" s="94"/>
      <c r="N562" s="94"/>
      <c r="O562" s="94"/>
      <c r="P562" s="94"/>
      <c r="Q562" s="94"/>
      <c r="R562" s="94"/>
      <c r="S562" s="94"/>
      <c r="T562" s="94"/>
      <c r="U562" s="94"/>
      <c r="V562" s="94"/>
      <c r="W562" s="94"/>
      <c r="X562" s="94"/>
      <c r="Y562" s="94">
        <f t="shared" si="159"/>
        <v>263.67239999999998</v>
      </c>
      <c r="Z562" s="94">
        <f t="shared" si="160"/>
        <v>263.63983809523796</v>
      </c>
      <c r="AA562" s="94">
        <f t="shared" si="161"/>
        <v>-3.2561904762019367E-2</v>
      </c>
      <c r="AB562" s="1">
        <f t="shared" si="162"/>
        <v>10</v>
      </c>
      <c r="AC562" s="1">
        <f t="shared" si="163"/>
        <v>-1.6280952381009683</v>
      </c>
    </row>
    <row r="563" spans="1:30" ht="14.25" customHeight="1" x14ac:dyDescent="0.45">
      <c r="A563" s="79"/>
      <c r="B563" s="219">
        <v>30</v>
      </c>
      <c r="C563" s="94"/>
      <c r="D563" s="94"/>
      <c r="E563" s="94"/>
      <c r="F563" s="250">
        <v>263.75020000000001</v>
      </c>
      <c r="G563" s="250">
        <v>263.75020000000001</v>
      </c>
      <c r="H563" s="94"/>
      <c r="I563" s="94"/>
      <c r="J563" s="94"/>
      <c r="K563" s="94"/>
      <c r="L563" s="94"/>
      <c r="M563" s="94"/>
      <c r="N563" s="94"/>
      <c r="O563" s="94"/>
      <c r="P563" s="94"/>
      <c r="Q563" s="94"/>
      <c r="R563" s="94"/>
      <c r="S563" s="94"/>
      <c r="T563" s="94"/>
      <c r="U563" s="94"/>
      <c r="V563" s="94"/>
      <c r="W563" s="94"/>
      <c r="X563" s="94"/>
      <c r="Y563" s="94">
        <f t="shared" si="159"/>
        <v>263.75020000000001</v>
      </c>
      <c r="Z563" s="94">
        <f t="shared" si="160"/>
        <v>263.58983809523795</v>
      </c>
      <c r="AA563" s="94">
        <f t="shared" si="161"/>
        <v>-0.16036190476205547</v>
      </c>
      <c r="AB563" s="1">
        <f t="shared" si="162"/>
        <v>10</v>
      </c>
      <c r="AC563" s="1">
        <f t="shared" si="163"/>
        <v>-8.0180952381027737</v>
      </c>
    </row>
    <row r="564" spans="1:30" ht="14.25" customHeight="1" x14ac:dyDescent="0.45">
      <c r="A564" s="79"/>
      <c r="B564" s="219">
        <v>35</v>
      </c>
      <c r="C564" s="94"/>
      <c r="D564" s="94"/>
      <c r="E564" s="94"/>
      <c r="F564" s="250">
        <v>263.93490000000003</v>
      </c>
      <c r="G564" s="250">
        <v>263.51639999999998</v>
      </c>
      <c r="H564" s="94"/>
      <c r="I564" s="94"/>
      <c r="J564" s="94"/>
      <c r="K564" s="94"/>
      <c r="L564" s="94"/>
      <c r="M564" s="94"/>
      <c r="N564" s="94"/>
      <c r="O564" s="94"/>
      <c r="P564" s="94"/>
      <c r="Q564" s="94"/>
      <c r="R564" s="94"/>
      <c r="S564" s="94"/>
      <c r="T564" s="94"/>
      <c r="U564" s="94"/>
      <c r="V564" s="94"/>
      <c r="W564" s="94"/>
      <c r="X564" s="94"/>
      <c r="Y564" s="94">
        <f t="shared" si="159"/>
        <v>263.72564999999997</v>
      </c>
      <c r="Z564" s="94">
        <f t="shared" si="160"/>
        <v>263.53983809523794</v>
      </c>
      <c r="AA564" s="94">
        <f t="shared" si="161"/>
        <v>-0.18581190476203346</v>
      </c>
      <c r="AB564" s="1">
        <f t="shared" si="162"/>
        <v>10</v>
      </c>
      <c r="AC564" s="1">
        <f t="shared" si="163"/>
        <v>-9.2905952381016732</v>
      </c>
    </row>
    <row r="565" spans="1:30" ht="14.25" customHeight="1" x14ac:dyDescent="0.45">
      <c r="A565" s="79"/>
      <c r="B565" s="219">
        <v>40</v>
      </c>
      <c r="C565" s="94"/>
      <c r="D565" s="94"/>
      <c r="E565" s="214"/>
      <c r="F565" s="250">
        <v>263.93090000000001</v>
      </c>
      <c r="G565" s="250">
        <v>263.83909999999997</v>
      </c>
      <c r="H565" s="94"/>
      <c r="I565" s="94"/>
      <c r="J565" s="94"/>
      <c r="K565" s="94"/>
      <c r="L565" s="94"/>
      <c r="M565" s="94"/>
      <c r="N565" s="94"/>
      <c r="O565" s="94"/>
      <c r="P565" s="94"/>
      <c r="Q565" s="94"/>
      <c r="R565" s="94"/>
      <c r="S565" s="94"/>
      <c r="T565" s="94"/>
      <c r="U565" s="94"/>
      <c r="V565" s="94"/>
      <c r="W565" s="94"/>
      <c r="X565" s="94"/>
      <c r="Y565" s="94">
        <f t="shared" si="159"/>
        <v>263.88499999999999</v>
      </c>
      <c r="Z565" s="235">
        <f>Z172-0.05</f>
        <v>263.53983809523794</v>
      </c>
      <c r="AA565" s="94">
        <f t="shared" si="161"/>
        <v>-0.34516190476205111</v>
      </c>
      <c r="AB565" s="1">
        <f t="shared" si="162"/>
        <v>10</v>
      </c>
      <c r="AC565" s="1">
        <f t="shared" si="163"/>
        <v>-17.258095238102555</v>
      </c>
      <c r="AD565" s="306">
        <f>SUM(AC557:AC565)</f>
        <v>-43.709642857206177</v>
      </c>
    </row>
    <row r="566" spans="1:30" ht="14.25" customHeight="1" x14ac:dyDescent="0.45">
      <c r="A566" s="79"/>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spans="1:30" ht="14.25" customHeight="1" x14ac:dyDescent="0.45">
      <c r="A567" s="79"/>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spans="1:30" ht="14.25" customHeight="1" x14ac:dyDescent="0.45">
      <c r="A568" s="79"/>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spans="1:30" ht="14.25" customHeight="1" x14ac:dyDescent="0.45">
      <c r="A569" s="79">
        <v>29</v>
      </c>
      <c r="B569" s="219">
        <v>0</v>
      </c>
      <c r="C569" s="251">
        <v>264.18599999999998</v>
      </c>
      <c r="D569" s="251">
        <v>263.88549999999998</v>
      </c>
      <c r="E569" s="251">
        <v>264.15980000000002</v>
      </c>
      <c r="F569" s="251">
        <v>264.1617</v>
      </c>
      <c r="G569" s="251">
        <v>264.12709999999998</v>
      </c>
      <c r="H569" s="251">
        <v>263.9794</v>
      </c>
      <c r="I569" s="94"/>
      <c r="J569" s="94"/>
      <c r="K569" s="94"/>
      <c r="L569" s="94"/>
      <c r="M569" s="94"/>
      <c r="N569" s="94"/>
      <c r="O569" s="94"/>
      <c r="P569" s="94"/>
      <c r="Q569" s="94"/>
      <c r="R569" s="94"/>
      <c r="S569" s="94"/>
      <c r="T569" s="94"/>
      <c r="U569" s="94"/>
      <c r="V569" s="94"/>
      <c r="W569" s="94"/>
      <c r="X569" s="94"/>
      <c r="Y569" s="94">
        <f t="shared" ref="Y569:Y576" si="164">AVERAGE(C569:X569)</f>
        <v>264.08324999999996</v>
      </c>
      <c r="Z569" s="94">
        <f t="shared" ref="Z569:Z574" si="165">Z570-5/100</f>
        <v>263.43983809523792</v>
      </c>
      <c r="AA569" s="94">
        <f t="shared" ref="AA569:AA576" si="166">Z569-Y569</f>
        <v>-0.64341190476204702</v>
      </c>
      <c r="AB569" s="1">
        <f t="shared" ref="AB569:AB576" si="167">COUNTIF(C569:X569,"&gt;0")*5</f>
        <v>30</v>
      </c>
      <c r="AC569" s="1">
        <f t="shared" ref="AC569:AC576" si="168">AA569*AB569*5</f>
        <v>-96.511785714307052</v>
      </c>
    </row>
    <row r="570" spans="1:30" ht="14.25" customHeight="1" x14ac:dyDescent="0.45">
      <c r="A570" s="79"/>
      <c r="B570" s="219">
        <v>5</v>
      </c>
      <c r="C570" s="251">
        <v>264.24540000000002</v>
      </c>
      <c r="D570" s="251">
        <v>263.93029999999999</v>
      </c>
      <c r="E570" s="251">
        <v>264.02999999999997</v>
      </c>
      <c r="F570" s="251">
        <v>264.06229999999999</v>
      </c>
      <c r="G570" s="251">
        <v>264.0181</v>
      </c>
      <c r="H570" s="251">
        <v>264.01940000000002</v>
      </c>
      <c r="I570" s="94"/>
      <c r="J570" s="94"/>
      <c r="K570" s="94"/>
      <c r="L570" s="94"/>
      <c r="M570" s="94"/>
      <c r="N570" s="94"/>
      <c r="O570" s="94"/>
      <c r="P570" s="94"/>
      <c r="Q570" s="94"/>
      <c r="R570" s="94"/>
      <c r="S570" s="94"/>
      <c r="T570" s="94"/>
      <c r="U570" s="94"/>
      <c r="V570" s="94"/>
      <c r="W570" s="94"/>
      <c r="X570" s="94"/>
      <c r="Y570" s="94">
        <f t="shared" si="164"/>
        <v>264.05091666666664</v>
      </c>
      <c r="Z570" s="94">
        <f t="shared" si="165"/>
        <v>263.48983809523793</v>
      </c>
      <c r="AA570" s="94">
        <f t="shared" si="166"/>
        <v>-0.56107857142870898</v>
      </c>
      <c r="AB570" s="1">
        <f t="shared" si="167"/>
        <v>30</v>
      </c>
      <c r="AC570" s="1">
        <f t="shared" si="168"/>
        <v>-84.161785714306347</v>
      </c>
    </row>
    <row r="571" spans="1:30" ht="14.25" customHeight="1" x14ac:dyDescent="0.45">
      <c r="A571" s="79"/>
      <c r="B571" s="219">
        <v>10</v>
      </c>
      <c r="C571" s="251">
        <v>263.94619999999998</v>
      </c>
      <c r="D571" s="251">
        <v>263.95139999999998</v>
      </c>
      <c r="E571" s="251">
        <v>263.99430000000001</v>
      </c>
      <c r="F571" s="251">
        <v>263.94439999999997</v>
      </c>
      <c r="G571" s="251">
        <v>263.89659999999998</v>
      </c>
      <c r="H571" s="251">
        <v>263.92250000000001</v>
      </c>
      <c r="I571" s="94"/>
      <c r="J571" s="94"/>
      <c r="K571" s="94"/>
      <c r="L571" s="94"/>
      <c r="M571" s="94"/>
      <c r="N571" s="94"/>
      <c r="O571" s="94"/>
      <c r="P571" s="94"/>
      <c r="Q571" s="94"/>
      <c r="R571" s="94"/>
      <c r="S571" s="94"/>
      <c r="T571" s="94"/>
      <c r="U571" s="94"/>
      <c r="V571" s="94"/>
      <c r="W571" s="94"/>
      <c r="X571" s="94"/>
      <c r="Y571" s="94">
        <f t="shared" si="164"/>
        <v>263.94256666666666</v>
      </c>
      <c r="Z571" s="94">
        <f t="shared" si="165"/>
        <v>263.53983809523794</v>
      </c>
      <c r="AA571" s="94">
        <f t="shared" si="166"/>
        <v>-0.40272857142872454</v>
      </c>
      <c r="AB571" s="1">
        <f t="shared" si="167"/>
        <v>30</v>
      </c>
      <c r="AC571" s="1">
        <f t="shared" si="168"/>
        <v>-60.40928571430868</v>
      </c>
    </row>
    <row r="572" spans="1:30" ht="14.25" customHeight="1" x14ac:dyDescent="0.45">
      <c r="A572" s="79"/>
      <c r="B572" s="219">
        <v>15</v>
      </c>
      <c r="C572" s="251">
        <v>263.90899999999999</v>
      </c>
      <c r="D572" s="251">
        <v>264.09269999999998</v>
      </c>
      <c r="E572" s="251">
        <v>263.86930000000001</v>
      </c>
      <c r="F572" s="251">
        <v>263.86959999999999</v>
      </c>
      <c r="G572" s="251">
        <v>263.85410000000002</v>
      </c>
      <c r="H572" s="251">
        <v>263.80259999999998</v>
      </c>
      <c r="I572" s="94"/>
      <c r="J572" s="94"/>
      <c r="K572" s="94"/>
      <c r="L572" s="94"/>
      <c r="M572" s="94"/>
      <c r="N572" s="94"/>
      <c r="O572" s="94"/>
      <c r="P572" s="94"/>
      <c r="Q572" s="94"/>
      <c r="R572" s="94"/>
      <c r="S572" s="94"/>
      <c r="T572" s="94"/>
      <c r="U572" s="94"/>
      <c r="V572" s="94"/>
      <c r="W572" s="94"/>
      <c r="X572" s="94"/>
      <c r="Y572" s="94">
        <f t="shared" si="164"/>
        <v>263.89955000000003</v>
      </c>
      <c r="Z572" s="94">
        <f t="shared" si="165"/>
        <v>263.58983809523795</v>
      </c>
      <c r="AA572" s="94">
        <f t="shared" si="166"/>
        <v>-0.30971190476208221</v>
      </c>
      <c r="AB572" s="1">
        <f t="shared" si="167"/>
        <v>30</v>
      </c>
      <c r="AC572" s="1">
        <f t="shared" si="168"/>
        <v>-46.456785714312332</v>
      </c>
    </row>
    <row r="573" spans="1:30" ht="14.25" customHeight="1" x14ac:dyDescent="0.45">
      <c r="A573" s="79"/>
      <c r="B573" s="219">
        <v>20</v>
      </c>
      <c r="C573" s="251">
        <v>263.8494</v>
      </c>
      <c r="D573" s="251">
        <v>263.84769999999997</v>
      </c>
      <c r="E573" s="251">
        <v>263.85629999999998</v>
      </c>
      <c r="F573" s="251">
        <v>263.79500000000002</v>
      </c>
      <c r="G573" s="251">
        <v>263.76679999999999</v>
      </c>
      <c r="H573" s="251">
        <v>263.68889999999999</v>
      </c>
      <c r="I573" s="94"/>
      <c r="J573" s="94"/>
      <c r="K573" s="94"/>
      <c r="L573" s="94"/>
      <c r="M573" s="94"/>
      <c r="N573" s="94"/>
      <c r="O573" s="94"/>
      <c r="P573" s="94"/>
      <c r="Q573" s="94"/>
      <c r="R573" s="94"/>
      <c r="S573" s="94"/>
      <c r="T573" s="94"/>
      <c r="U573" s="94"/>
      <c r="V573" s="94"/>
      <c r="W573" s="94"/>
      <c r="X573" s="94"/>
      <c r="Y573" s="94">
        <f t="shared" si="164"/>
        <v>263.80068333333338</v>
      </c>
      <c r="Z573" s="94">
        <f t="shared" si="165"/>
        <v>263.63983809523796</v>
      </c>
      <c r="AA573" s="94">
        <f t="shared" si="166"/>
        <v>-0.16084523809541906</v>
      </c>
      <c r="AB573" s="1">
        <f t="shared" si="167"/>
        <v>30</v>
      </c>
      <c r="AC573" s="1">
        <f t="shared" si="168"/>
        <v>-24.126785714312859</v>
      </c>
    </row>
    <row r="574" spans="1:30" ht="14.25" customHeight="1" x14ac:dyDescent="0.45">
      <c r="A574" s="79"/>
      <c r="B574" s="219">
        <v>25</v>
      </c>
      <c r="C574" s="251">
        <v>263.71719999999999</v>
      </c>
      <c r="D574" s="251">
        <v>263.82900000000001</v>
      </c>
      <c r="E574" s="251">
        <v>263.83030000000002</v>
      </c>
      <c r="F574" s="251">
        <v>263.80939999999998</v>
      </c>
      <c r="G574" s="251">
        <v>263.81180000000001</v>
      </c>
      <c r="H574" s="251">
        <v>263.791</v>
      </c>
      <c r="I574" s="94"/>
      <c r="J574" s="94"/>
      <c r="K574" s="94"/>
      <c r="L574" s="94"/>
      <c r="M574" s="94"/>
      <c r="N574" s="94"/>
      <c r="O574" s="94"/>
      <c r="P574" s="94"/>
      <c r="Q574" s="94"/>
      <c r="R574" s="94"/>
      <c r="S574" s="94"/>
      <c r="T574" s="94"/>
      <c r="U574" s="94"/>
      <c r="V574" s="94"/>
      <c r="W574" s="94"/>
      <c r="X574" s="94"/>
      <c r="Y574" s="94">
        <f t="shared" si="164"/>
        <v>263.79811666666666</v>
      </c>
      <c r="Z574" s="94">
        <f t="shared" si="165"/>
        <v>263.68983809523797</v>
      </c>
      <c r="AA574" s="94">
        <f t="shared" si="166"/>
        <v>-0.10827857142868424</v>
      </c>
      <c r="AB574" s="1">
        <f t="shared" si="167"/>
        <v>30</v>
      </c>
      <c r="AC574" s="1">
        <f t="shared" si="168"/>
        <v>-16.241785714302637</v>
      </c>
    </row>
    <row r="575" spans="1:30" ht="14.25" customHeight="1" x14ac:dyDescent="0.45">
      <c r="A575" s="79"/>
      <c r="B575" s="219">
        <v>30</v>
      </c>
      <c r="C575" s="251">
        <v>263.71960000000001</v>
      </c>
      <c r="D575" s="251">
        <v>264.21030000000002</v>
      </c>
      <c r="E575" s="251">
        <v>263.79109999999997</v>
      </c>
      <c r="F575" s="251">
        <v>263.62889999999999</v>
      </c>
      <c r="G575" s="251">
        <v>263.5994</v>
      </c>
      <c r="H575" s="251">
        <v>263.85309999999998</v>
      </c>
      <c r="I575" s="94"/>
      <c r="J575" s="94"/>
      <c r="K575" s="94"/>
      <c r="L575" s="94"/>
      <c r="M575" s="94"/>
      <c r="N575" s="94"/>
      <c r="O575" s="94"/>
      <c r="P575" s="94"/>
      <c r="Q575" s="94"/>
      <c r="R575" s="94"/>
      <c r="S575" s="94"/>
      <c r="T575" s="94"/>
      <c r="U575" s="94"/>
      <c r="V575" s="94"/>
      <c r="W575" s="94"/>
      <c r="X575" s="94"/>
      <c r="Y575" s="94">
        <f t="shared" si="164"/>
        <v>263.80040000000002</v>
      </c>
      <c r="Z575" s="94">
        <f>Z576-5/100</f>
        <v>263.73983809523799</v>
      </c>
      <c r="AA575" s="94">
        <f t="shared" si="166"/>
        <v>-6.0561904762039376E-2</v>
      </c>
      <c r="AB575" s="1">
        <f t="shared" si="167"/>
        <v>30</v>
      </c>
      <c r="AC575" s="1">
        <f t="shared" si="168"/>
        <v>-9.0842857143059064</v>
      </c>
    </row>
    <row r="576" spans="1:30" ht="14.25" customHeight="1" x14ac:dyDescent="0.45">
      <c r="A576" s="79"/>
      <c r="B576" s="219">
        <v>35</v>
      </c>
      <c r="C576" s="251">
        <v>263.75349999999997</v>
      </c>
      <c r="D576" s="251">
        <v>264.57499999999999</v>
      </c>
      <c r="E576" s="251">
        <v>263.95600000000002</v>
      </c>
      <c r="F576" s="251">
        <v>263.81830000000002</v>
      </c>
      <c r="G576" s="251">
        <v>263.91039999999998</v>
      </c>
      <c r="H576" s="251">
        <v>264.14670000000001</v>
      </c>
      <c r="I576" s="94"/>
      <c r="J576" s="94"/>
      <c r="K576" s="94"/>
      <c r="L576" s="94"/>
      <c r="M576" s="94"/>
      <c r="N576" s="94"/>
      <c r="O576" s="94"/>
      <c r="P576" s="94"/>
      <c r="Q576" s="94"/>
      <c r="R576" s="94"/>
      <c r="S576" s="94"/>
      <c r="T576" s="94"/>
      <c r="U576" s="94"/>
      <c r="V576" s="94"/>
      <c r="W576" s="94"/>
      <c r="X576" s="94"/>
      <c r="Y576" s="94">
        <f t="shared" si="164"/>
        <v>264.02665000000002</v>
      </c>
      <c r="Z576" s="235">
        <f>Z557</f>
        <v>263.789838095238</v>
      </c>
      <c r="AA576" s="94">
        <f t="shared" si="166"/>
        <v>-0.23681190476202119</v>
      </c>
      <c r="AB576" s="1">
        <f t="shared" si="167"/>
        <v>30</v>
      </c>
      <c r="AC576" s="1">
        <f t="shared" si="168"/>
        <v>-35.521785714303178</v>
      </c>
      <c r="AD576" s="306">
        <f>SUM(AC569:AC576)</f>
        <v>-372.51428571445899</v>
      </c>
    </row>
    <row r="580" spans="1:29" ht="14.25" customHeight="1" x14ac:dyDescent="0.45">
      <c r="A580" s="79">
        <v>30</v>
      </c>
      <c r="B580" s="219">
        <v>0</v>
      </c>
      <c r="C580" s="244">
        <v>264.02330000000001</v>
      </c>
      <c r="D580" s="314"/>
      <c r="E580" s="94"/>
      <c r="F580" s="94"/>
      <c r="G580" s="94"/>
      <c r="H580" s="94"/>
      <c r="I580" s="94"/>
      <c r="J580" s="94"/>
      <c r="K580" s="94"/>
      <c r="L580" s="94"/>
      <c r="M580" s="94"/>
      <c r="N580" s="94"/>
      <c r="O580" s="94"/>
      <c r="P580" s="94"/>
      <c r="Q580" s="94"/>
      <c r="R580" s="94"/>
      <c r="S580" s="94"/>
      <c r="T580" s="94"/>
      <c r="U580" s="94"/>
      <c r="V580" s="94"/>
      <c r="W580" s="94"/>
      <c r="X580" s="94"/>
      <c r="Y580" s="94">
        <f t="shared" ref="Y580:Y594" si="169">AVERAGE(C580:X580)</f>
        <v>264.02330000000001</v>
      </c>
      <c r="Z580" s="94">
        <f t="shared" ref="Z580:Z585" si="170">Z581-5/100</f>
        <v>263.43983999999989</v>
      </c>
      <c r="AA580" s="94">
        <f t="shared" ref="AA580:AA594" si="171">Z580-Y580</f>
        <v>-0.583460000000116</v>
      </c>
      <c r="AB580" s="1">
        <f t="shared" ref="AB580:AB594" si="172">COUNTIF(C580:X580,"&gt;0")*5</f>
        <v>5</v>
      </c>
      <c r="AC580" s="1">
        <f t="shared" ref="AC580:AC594" si="173">AA580*AB580*5</f>
        <v>-14.5865000000029</v>
      </c>
    </row>
    <row r="581" spans="1:29" ht="14.25" customHeight="1" x14ac:dyDescent="0.45">
      <c r="A581" s="79"/>
      <c r="B581" s="219">
        <v>5</v>
      </c>
      <c r="C581" s="244">
        <v>264.1891</v>
      </c>
      <c r="D581" s="314"/>
      <c r="E581" s="94"/>
      <c r="F581" s="94"/>
      <c r="G581" s="94"/>
      <c r="H581" s="94"/>
      <c r="I581" s="94"/>
      <c r="J581" s="94"/>
      <c r="K581" s="94"/>
      <c r="L581" s="94"/>
      <c r="M581" s="94"/>
      <c r="N581" s="94"/>
      <c r="O581" s="94"/>
      <c r="P581" s="94"/>
      <c r="Q581" s="94"/>
      <c r="R581" s="94"/>
      <c r="S581" s="94"/>
      <c r="T581" s="94"/>
      <c r="U581" s="94"/>
      <c r="V581" s="94"/>
      <c r="W581" s="94"/>
      <c r="X581" s="94"/>
      <c r="Y581" s="94">
        <f t="shared" si="169"/>
        <v>264.1891</v>
      </c>
      <c r="Z581" s="94">
        <f t="shared" si="170"/>
        <v>263.4898399999999</v>
      </c>
      <c r="AA581" s="94">
        <f t="shared" si="171"/>
        <v>-0.69926000000009481</v>
      </c>
      <c r="AB581" s="1">
        <f t="shared" si="172"/>
        <v>5</v>
      </c>
      <c r="AC581" s="1">
        <f t="shared" si="173"/>
        <v>-17.48150000000237</v>
      </c>
    </row>
    <row r="582" spans="1:29" ht="14.25" customHeight="1" x14ac:dyDescent="0.45">
      <c r="A582" s="79"/>
      <c r="B582" s="219">
        <v>10</v>
      </c>
      <c r="C582" s="244">
        <v>264.20639999999997</v>
      </c>
      <c r="D582" s="314"/>
      <c r="E582" s="94"/>
      <c r="F582" s="94"/>
      <c r="G582" s="94"/>
      <c r="H582" s="94"/>
      <c r="I582" s="94"/>
      <c r="J582" s="94"/>
      <c r="K582" s="94"/>
      <c r="L582" s="94"/>
      <c r="M582" s="94"/>
      <c r="N582" s="94"/>
      <c r="O582" s="94"/>
      <c r="P582" s="94"/>
      <c r="Q582" s="94"/>
      <c r="R582" s="94"/>
      <c r="S582" s="94"/>
      <c r="T582" s="94"/>
      <c r="U582" s="94"/>
      <c r="V582" s="94"/>
      <c r="W582" s="94"/>
      <c r="X582" s="94"/>
      <c r="Y582" s="94">
        <f t="shared" si="169"/>
        <v>264.20639999999997</v>
      </c>
      <c r="Z582" s="94">
        <f t="shared" si="170"/>
        <v>263.53983999999991</v>
      </c>
      <c r="AA582" s="94">
        <f t="shared" si="171"/>
        <v>-0.66656000000006088</v>
      </c>
      <c r="AB582" s="1">
        <f t="shared" si="172"/>
        <v>5</v>
      </c>
      <c r="AC582" s="1">
        <f t="shared" si="173"/>
        <v>-16.664000000001522</v>
      </c>
    </row>
    <row r="583" spans="1:29" ht="14.25" customHeight="1" x14ac:dyDescent="0.45">
      <c r="A583" s="79"/>
      <c r="B583" s="219">
        <v>15</v>
      </c>
      <c r="C583" s="244">
        <v>263.97899999999998</v>
      </c>
      <c r="D583" s="314"/>
      <c r="E583" s="94"/>
      <c r="F583" s="94"/>
      <c r="G583" s="94"/>
      <c r="H583" s="94"/>
      <c r="I583" s="94"/>
      <c r="J583" s="94"/>
      <c r="K583" s="94"/>
      <c r="L583" s="94"/>
      <c r="M583" s="94"/>
      <c r="N583" s="94"/>
      <c r="O583" s="94"/>
      <c r="P583" s="94"/>
      <c r="Q583" s="94"/>
      <c r="R583" s="94"/>
      <c r="S583" s="94"/>
      <c r="T583" s="94"/>
      <c r="U583" s="94"/>
      <c r="V583" s="94"/>
      <c r="W583" s="94"/>
      <c r="X583" s="94"/>
      <c r="Y583" s="94">
        <f t="shared" si="169"/>
        <v>263.97899999999998</v>
      </c>
      <c r="Z583" s="94">
        <f t="shared" si="170"/>
        <v>263.58983999999992</v>
      </c>
      <c r="AA583" s="94">
        <f t="shared" si="171"/>
        <v>-0.38916000000006079</v>
      </c>
      <c r="AB583" s="1">
        <f t="shared" si="172"/>
        <v>5</v>
      </c>
      <c r="AC583" s="1">
        <f t="shared" si="173"/>
        <v>-9.7290000000015198</v>
      </c>
    </row>
    <row r="584" spans="1:29" ht="14.25" customHeight="1" x14ac:dyDescent="0.45">
      <c r="A584" s="79"/>
      <c r="B584" s="219">
        <v>20</v>
      </c>
      <c r="C584" s="244">
        <v>263.9751</v>
      </c>
      <c r="D584" s="314"/>
      <c r="E584" s="94"/>
      <c r="F584" s="94"/>
      <c r="G584" s="94"/>
      <c r="H584" s="94"/>
      <c r="I584" s="94"/>
      <c r="J584" s="94"/>
      <c r="K584" s="94"/>
      <c r="L584" s="94"/>
      <c r="M584" s="94"/>
      <c r="N584" s="94"/>
      <c r="O584" s="94"/>
      <c r="P584" s="94"/>
      <c r="Q584" s="94"/>
      <c r="R584" s="94"/>
      <c r="S584" s="94"/>
      <c r="T584" s="94"/>
      <c r="U584" s="94"/>
      <c r="V584" s="94"/>
      <c r="W584" s="94"/>
      <c r="X584" s="94"/>
      <c r="Y584" s="94">
        <f t="shared" si="169"/>
        <v>263.9751</v>
      </c>
      <c r="Z584" s="94">
        <f t="shared" si="170"/>
        <v>263.63983999999994</v>
      </c>
      <c r="AA584" s="94">
        <f t="shared" si="171"/>
        <v>-0.33526000000006206</v>
      </c>
      <c r="AB584" s="1">
        <f t="shared" si="172"/>
        <v>5</v>
      </c>
      <c r="AC584" s="1">
        <f t="shared" si="173"/>
        <v>-8.3815000000015516</v>
      </c>
    </row>
    <row r="585" spans="1:29" ht="14.25" customHeight="1" x14ac:dyDescent="0.45">
      <c r="A585" s="79"/>
      <c r="B585" s="219">
        <v>25</v>
      </c>
      <c r="C585" s="244">
        <v>264.21050000000002</v>
      </c>
      <c r="D585" s="314"/>
      <c r="E585" s="94"/>
      <c r="F585" s="94"/>
      <c r="G585" s="94"/>
      <c r="H585" s="94"/>
      <c r="I585" s="94"/>
      <c r="J585" s="94"/>
      <c r="K585" s="94"/>
      <c r="L585" s="94"/>
      <c r="M585" s="94"/>
      <c r="N585" s="94"/>
      <c r="O585" s="94"/>
      <c r="P585" s="94"/>
      <c r="Q585" s="94"/>
      <c r="R585" s="94"/>
      <c r="S585" s="94"/>
      <c r="T585" s="94"/>
      <c r="U585" s="94"/>
      <c r="V585" s="94"/>
      <c r="W585" s="94"/>
      <c r="X585" s="94"/>
      <c r="Y585" s="94">
        <f t="shared" si="169"/>
        <v>264.21050000000002</v>
      </c>
      <c r="Z585" s="94">
        <f t="shared" si="170"/>
        <v>263.68983999999995</v>
      </c>
      <c r="AA585" s="94">
        <f t="shared" si="171"/>
        <v>-0.52066000000007762</v>
      </c>
      <c r="AB585" s="1">
        <f t="shared" si="172"/>
        <v>5</v>
      </c>
      <c r="AC585" s="1">
        <f t="shared" si="173"/>
        <v>-13.01650000000194</v>
      </c>
    </row>
    <row r="586" spans="1:29" ht="14.25" customHeight="1" x14ac:dyDescent="0.45">
      <c r="A586" s="79"/>
      <c r="B586" s="219">
        <v>30</v>
      </c>
      <c r="C586" s="244">
        <v>264.14449999999999</v>
      </c>
      <c r="D586" s="314"/>
      <c r="E586" s="94"/>
      <c r="F586" s="94"/>
      <c r="G586" s="94"/>
      <c r="H586" s="94"/>
      <c r="I586" s="94"/>
      <c r="J586" s="94"/>
      <c r="K586" s="94"/>
      <c r="L586" s="94"/>
      <c r="M586" s="94"/>
      <c r="N586" s="94"/>
      <c r="O586" s="94"/>
      <c r="P586" s="94"/>
      <c r="Q586" s="94"/>
      <c r="R586" s="94"/>
      <c r="S586" s="94"/>
      <c r="T586" s="94"/>
      <c r="U586" s="94"/>
      <c r="V586" s="94"/>
      <c r="W586" s="94"/>
      <c r="X586" s="94"/>
      <c r="Y586" s="94">
        <f t="shared" si="169"/>
        <v>264.14449999999999</v>
      </c>
      <c r="Z586" s="94">
        <f>Z587-5/100</f>
        <v>263.73983999999996</v>
      </c>
      <c r="AA586" s="94">
        <f t="shared" si="171"/>
        <v>-0.40466000000003532</v>
      </c>
      <c r="AB586" s="1">
        <f t="shared" si="172"/>
        <v>5</v>
      </c>
      <c r="AC586" s="1">
        <f t="shared" si="173"/>
        <v>-10.116500000000883</v>
      </c>
    </row>
    <row r="587" spans="1:29" ht="14.25" customHeight="1" x14ac:dyDescent="0.45">
      <c r="A587" s="79"/>
      <c r="B587" s="219">
        <v>35</v>
      </c>
      <c r="C587" s="244">
        <v>264.13330000000002</v>
      </c>
      <c r="D587" s="314"/>
      <c r="E587" s="94"/>
      <c r="F587" s="94"/>
      <c r="G587" s="94"/>
      <c r="H587" s="94"/>
      <c r="I587" s="94"/>
      <c r="J587" s="94"/>
      <c r="K587" s="94"/>
      <c r="L587" s="94"/>
      <c r="M587" s="94"/>
      <c r="N587" s="94"/>
      <c r="O587" s="94"/>
      <c r="P587" s="94"/>
      <c r="Q587" s="94"/>
      <c r="R587" s="94"/>
      <c r="S587" s="94"/>
      <c r="T587" s="94"/>
      <c r="U587" s="94"/>
      <c r="V587" s="94"/>
      <c r="W587" s="94"/>
      <c r="X587" s="94"/>
      <c r="Y587" s="94">
        <f t="shared" si="169"/>
        <v>264.13330000000002</v>
      </c>
      <c r="Z587" s="94">
        <f t="shared" ref="Z587:Z592" si="174">Z588+5/100</f>
        <v>263.78983999999997</v>
      </c>
      <c r="AA587" s="94">
        <f t="shared" si="171"/>
        <v>-0.34346000000005006</v>
      </c>
      <c r="AB587" s="1">
        <f t="shared" si="172"/>
        <v>5</v>
      </c>
      <c r="AC587" s="1">
        <f t="shared" si="173"/>
        <v>-8.5865000000012515</v>
      </c>
    </row>
    <row r="588" spans="1:29" ht="14.25" customHeight="1" x14ac:dyDescent="0.45">
      <c r="A588" s="79"/>
      <c r="B588" s="219">
        <v>40</v>
      </c>
      <c r="C588" s="244">
        <v>263.89620000000002</v>
      </c>
      <c r="D588" s="314"/>
      <c r="E588" s="94"/>
      <c r="F588" s="94"/>
      <c r="G588" s="94"/>
      <c r="H588" s="94"/>
      <c r="I588" s="94"/>
      <c r="J588" s="94"/>
      <c r="K588" s="94"/>
      <c r="L588" s="94"/>
      <c r="M588" s="94"/>
      <c r="N588" s="94"/>
      <c r="O588" s="94"/>
      <c r="P588" s="94"/>
      <c r="Q588" s="94"/>
      <c r="R588" s="94"/>
      <c r="S588" s="94"/>
      <c r="T588" s="94"/>
      <c r="U588" s="94"/>
      <c r="V588" s="94"/>
      <c r="W588" s="94"/>
      <c r="X588" s="94"/>
      <c r="Y588" s="94">
        <f t="shared" si="169"/>
        <v>263.89620000000002</v>
      </c>
      <c r="Z588" s="94">
        <f t="shared" si="174"/>
        <v>263.73983999999996</v>
      </c>
      <c r="AA588" s="94">
        <f t="shared" si="171"/>
        <v>-0.15636000000006334</v>
      </c>
      <c r="AB588" s="1">
        <f t="shared" si="172"/>
        <v>5</v>
      </c>
      <c r="AC588" s="1">
        <f t="shared" si="173"/>
        <v>-3.9090000000015834</v>
      </c>
    </row>
    <row r="589" spans="1:29" ht="14.25" customHeight="1" x14ac:dyDescent="0.45">
      <c r="A589" s="79"/>
      <c r="B589" s="219">
        <v>45</v>
      </c>
      <c r="C589" s="244">
        <v>264.38830000000002</v>
      </c>
      <c r="D589" s="314"/>
      <c r="E589" s="94"/>
      <c r="F589" s="94"/>
      <c r="G589" s="94"/>
      <c r="H589" s="94"/>
      <c r="I589" s="94"/>
      <c r="J589" s="94"/>
      <c r="K589" s="94"/>
      <c r="L589" s="94"/>
      <c r="M589" s="94"/>
      <c r="N589" s="94"/>
      <c r="O589" s="94"/>
      <c r="P589" s="94"/>
      <c r="Q589" s="94"/>
      <c r="R589" s="94"/>
      <c r="S589" s="94"/>
      <c r="T589" s="94"/>
      <c r="U589" s="94"/>
      <c r="V589" s="94"/>
      <c r="W589" s="94"/>
      <c r="X589" s="94"/>
      <c r="Y589" s="94">
        <f t="shared" si="169"/>
        <v>264.38830000000002</v>
      </c>
      <c r="Z589" s="94">
        <f t="shared" si="174"/>
        <v>263.68983999999995</v>
      </c>
      <c r="AA589" s="94">
        <f t="shared" si="171"/>
        <v>-0.69846000000006825</v>
      </c>
      <c r="AB589" s="1">
        <f t="shared" si="172"/>
        <v>5</v>
      </c>
      <c r="AC589" s="1">
        <f t="shared" si="173"/>
        <v>-17.461500000001706</v>
      </c>
    </row>
    <row r="590" spans="1:29" ht="14.25" customHeight="1" x14ac:dyDescent="0.45">
      <c r="A590" s="79"/>
      <c r="B590" s="219">
        <v>50</v>
      </c>
      <c r="C590" s="244">
        <v>263.88810000000001</v>
      </c>
      <c r="D590" s="314"/>
      <c r="E590" s="94"/>
      <c r="F590" s="94"/>
      <c r="G590" s="94"/>
      <c r="H590" s="94"/>
      <c r="I590" s="94"/>
      <c r="J590" s="94"/>
      <c r="K590" s="94"/>
      <c r="L590" s="94"/>
      <c r="M590" s="94"/>
      <c r="N590" s="94"/>
      <c r="O590" s="94"/>
      <c r="P590" s="94"/>
      <c r="Q590" s="94"/>
      <c r="R590" s="94"/>
      <c r="S590" s="94"/>
      <c r="T590" s="94"/>
      <c r="U590" s="94"/>
      <c r="V590" s="94"/>
      <c r="W590" s="94"/>
      <c r="X590" s="94"/>
      <c r="Y590" s="94">
        <f t="shared" si="169"/>
        <v>263.88810000000001</v>
      </c>
      <c r="Z590" s="94">
        <f t="shared" si="174"/>
        <v>263.63983999999994</v>
      </c>
      <c r="AA590" s="94">
        <f t="shared" si="171"/>
        <v>-0.24826000000007298</v>
      </c>
      <c r="AB590" s="1">
        <f t="shared" si="172"/>
        <v>5</v>
      </c>
      <c r="AC590" s="1">
        <f t="shared" si="173"/>
        <v>-6.2065000000018244</v>
      </c>
    </row>
    <row r="591" spans="1:29" ht="14.25" customHeight="1" x14ac:dyDescent="0.45">
      <c r="A591" s="79"/>
      <c r="B591" s="219">
        <v>55</v>
      </c>
      <c r="C591" s="244">
        <v>264.02210000000002</v>
      </c>
      <c r="D591" s="314"/>
      <c r="E591" s="94"/>
      <c r="F591" s="94"/>
      <c r="G591" s="94"/>
      <c r="H591" s="94"/>
      <c r="I591" s="94"/>
      <c r="J591" s="94"/>
      <c r="K591" s="94"/>
      <c r="L591" s="94"/>
      <c r="M591" s="94"/>
      <c r="N591" s="94"/>
      <c r="O591" s="94"/>
      <c r="P591" s="94"/>
      <c r="Q591" s="94"/>
      <c r="R591" s="94"/>
      <c r="S591" s="94"/>
      <c r="T591" s="94"/>
      <c r="U591" s="94"/>
      <c r="V591" s="94"/>
      <c r="W591" s="94"/>
      <c r="X591" s="94"/>
      <c r="Y591" s="94">
        <f t="shared" si="169"/>
        <v>264.02210000000002</v>
      </c>
      <c r="Z591" s="94">
        <f t="shared" si="174"/>
        <v>263.58983999999992</v>
      </c>
      <c r="AA591" s="94">
        <f t="shared" si="171"/>
        <v>-0.4322600000000989</v>
      </c>
      <c r="AB591" s="1">
        <f t="shared" si="172"/>
        <v>5</v>
      </c>
      <c r="AC591" s="1">
        <f t="shared" si="173"/>
        <v>-10.806500000002472</v>
      </c>
    </row>
    <row r="592" spans="1:29" ht="14.25" customHeight="1" x14ac:dyDescent="0.45">
      <c r="A592" s="79"/>
      <c r="B592" s="219">
        <v>60</v>
      </c>
      <c r="C592" s="244">
        <v>264.03410000000002</v>
      </c>
      <c r="D592" s="314"/>
      <c r="E592" s="94"/>
      <c r="F592" s="94"/>
      <c r="G592" s="94"/>
      <c r="H592" s="94"/>
      <c r="I592" s="94"/>
      <c r="J592" s="94"/>
      <c r="K592" s="94"/>
      <c r="L592" s="94"/>
      <c r="M592" s="94"/>
      <c r="N592" s="94"/>
      <c r="O592" s="94"/>
      <c r="P592" s="94"/>
      <c r="Q592" s="94"/>
      <c r="R592" s="94"/>
      <c r="S592" s="94"/>
      <c r="T592" s="94"/>
      <c r="U592" s="94"/>
      <c r="V592" s="94"/>
      <c r="W592" s="94"/>
      <c r="X592" s="94"/>
      <c r="Y592" s="94">
        <f t="shared" si="169"/>
        <v>264.03410000000002</v>
      </c>
      <c r="Z592" s="94">
        <f t="shared" si="174"/>
        <v>263.53983999999991</v>
      </c>
      <c r="AA592" s="94">
        <f t="shared" si="171"/>
        <v>-0.49426000000011072</v>
      </c>
      <c r="AB592" s="1">
        <f t="shared" si="172"/>
        <v>5</v>
      </c>
      <c r="AC592" s="1">
        <f t="shared" si="173"/>
        <v>-12.356500000002768</v>
      </c>
    </row>
    <row r="593" spans="1:30" ht="14.25" customHeight="1" x14ac:dyDescent="0.45">
      <c r="A593" s="79"/>
      <c r="B593" s="219">
        <v>65</v>
      </c>
      <c r="C593" s="244">
        <v>263.98360000000002</v>
      </c>
      <c r="D593" s="314"/>
      <c r="E593" s="94"/>
      <c r="F593" s="94"/>
      <c r="G593" s="94"/>
      <c r="H593" s="94"/>
      <c r="I593" s="94"/>
      <c r="J593" s="94"/>
      <c r="K593" s="94"/>
      <c r="L593" s="94"/>
      <c r="M593" s="94"/>
      <c r="N593" s="94"/>
      <c r="O593" s="94"/>
      <c r="P593" s="94"/>
      <c r="Q593" s="94"/>
      <c r="R593" s="94"/>
      <c r="S593" s="94"/>
      <c r="T593" s="94"/>
      <c r="U593" s="94"/>
      <c r="V593" s="94"/>
      <c r="W593" s="94"/>
      <c r="X593" s="94"/>
      <c r="Y593" s="94">
        <f t="shared" si="169"/>
        <v>263.98360000000002</v>
      </c>
      <c r="Z593" s="94">
        <f>Z594+5/100</f>
        <v>263.4898399999999</v>
      </c>
      <c r="AA593" s="94">
        <f t="shared" si="171"/>
        <v>-0.49376000000012255</v>
      </c>
      <c r="AB593" s="1">
        <f t="shared" si="172"/>
        <v>5</v>
      </c>
      <c r="AC593" s="1">
        <f t="shared" si="173"/>
        <v>-12.344000000003064</v>
      </c>
    </row>
    <row r="594" spans="1:30" ht="14.25" customHeight="1" x14ac:dyDescent="0.45">
      <c r="A594" s="79"/>
      <c r="B594" s="219">
        <v>70</v>
      </c>
      <c r="C594" s="244">
        <v>263.8766</v>
      </c>
      <c r="D594" s="314"/>
      <c r="E594" s="94"/>
      <c r="F594" s="94"/>
      <c r="G594" s="94"/>
      <c r="H594" s="94"/>
      <c r="I594" s="94"/>
      <c r="J594" s="94"/>
      <c r="K594" s="94"/>
      <c r="L594" s="94"/>
      <c r="M594" s="94"/>
      <c r="N594" s="94"/>
      <c r="O594" s="94"/>
      <c r="P594" s="94"/>
      <c r="Q594" s="94"/>
      <c r="R594" s="94"/>
      <c r="S594" s="94"/>
      <c r="T594" s="94"/>
      <c r="U594" s="94"/>
      <c r="V594" s="94"/>
      <c r="W594" s="94"/>
      <c r="X594" s="94"/>
      <c r="Y594" s="94">
        <f t="shared" si="169"/>
        <v>263.8766</v>
      </c>
      <c r="Z594" s="235">
        <f>Z115-0.135</f>
        <v>263.43983999999989</v>
      </c>
      <c r="AA594" s="94">
        <f t="shared" si="171"/>
        <v>-0.43676000000010617</v>
      </c>
      <c r="AB594" s="1">
        <f t="shared" si="172"/>
        <v>5</v>
      </c>
      <c r="AC594" s="1">
        <f t="shared" si="173"/>
        <v>-10.919000000002654</v>
      </c>
      <c r="AD594" s="307">
        <f>SUM(AC580:AC594)</f>
        <v>-172.56500000003001</v>
      </c>
    </row>
    <row r="595" spans="1:30" ht="14.25" customHeight="1" x14ac:dyDescent="0.45">
      <c r="A595" s="79"/>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c r="AD595" s="1"/>
    </row>
    <row r="596" spans="1:30" ht="14.25" customHeight="1" x14ac:dyDescent="0.45">
      <c r="A596" s="79"/>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c r="AD596" s="1"/>
    </row>
    <row r="597" spans="1:30" ht="14.25" customHeight="1" x14ac:dyDescent="0.45">
      <c r="A597" s="79">
        <v>31</v>
      </c>
      <c r="B597" s="219">
        <v>0</v>
      </c>
      <c r="C597" s="252">
        <v>263.9117</v>
      </c>
      <c r="D597" s="252">
        <v>263.92720000000003</v>
      </c>
      <c r="E597" s="252">
        <v>263.91820000000001</v>
      </c>
      <c r="F597" s="252">
        <v>263.77640000000002</v>
      </c>
      <c r="G597" s="252">
        <v>263.98289999999997</v>
      </c>
      <c r="H597" s="252">
        <v>263.81950000000001</v>
      </c>
      <c r="I597" s="252">
        <v>263.9205</v>
      </c>
      <c r="J597" s="252">
        <v>263.69970000000001</v>
      </c>
      <c r="K597" s="252">
        <v>263.7869</v>
      </c>
      <c r="L597" s="252">
        <v>263.72329999999999</v>
      </c>
      <c r="M597" s="252">
        <v>263.82119999999998</v>
      </c>
      <c r="N597" s="252">
        <v>263.89350000000002</v>
      </c>
      <c r="O597" s="252">
        <v>263.90210000000002</v>
      </c>
      <c r="P597" s="252">
        <v>263.697</v>
      </c>
      <c r="Q597" s="252">
        <v>263.6345</v>
      </c>
      <c r="R597" s="94"/>
      <c r="S597" s="94"/>
      <c r="T597" s="94"/>
      <c r="U597" s="94"/>
      <c r="V597" s="94"/>
      <c r="W597" s="94"/>
      <c r="X597" s="94"/>
      <c r="Y597" s="94">
        <f>AVERAGE(C597:X597)</f>
        <v>263.82764000000003</v>
      </c>
      <c r="Z597" s="235">
        <f>Z115-0.175</f>
        <v>263.39983999999987</v>
      </c>
      <c r="AA597" s="94">
        <f t="shared" ref="AA597:AA598" si="175">Z597-Y597</f>
        <v>-0.42780000000016116</v>
      </c>
      <c r="AB597" s="1">
        <f>COUNTIF(C597:X597,"&gt;0")*5</f>
        <v>75</v>
      </c>
      <c r="AC597" s="1">
        <f t="shared" ref="AC597:AC598" si="176">AA597*AB597*5</f>
        <v>-160.42500000006044</v>
      </c>
      <c r="AD597" s="1"/>
    </row>
    <row r="598" spans="1:30" ht="14.25" customHeight="1" x14ac:dyDescent="0.45">
      <c r="A598" s="79"/>
      <c r="B598" s="219">
        <v>5</v>
      </c>
      <c r="C598" s="252">
        <v>263.94589999999999</v>
      </c>
      <c r="D598" s="252">
        <v>263.83260000000001</v>
      </c>
      <c r="E598" s="252">
        <v>263.79669999999999</v>
      </c>
      <c r="F598" s="252">
        <v>263.82420000000002</v>
      </c>
      <c r="G598" s="252">
        <v>263.73689999999999</v>
      </c>
      <c r="H598" s="252">
        <v>263.71370000000002</v>
      </c>
      <c r="I598" s="252">
        <v>263.76369999999997</v>
      </c>
      <c r="J598" s="252">
        <v>263.83980000000003</v>
      </c>
      <c r="K598" s="252">
        <v>263.8279</v>
      </c>
      <c r="L598" s="252">
        <v>263.83229999999998</v>
      </c>
      <c r="M598" s="252">
        <v>263.80579999999998</v>
      </c>
      <c r="N598" s="252">
        <v>263.86790000000002</v>
      </c>
      <c r="O598" s="252">
        <v>263.87380000000002</v>
      </c>
      <c r="P598" s="252">
        <v>263.79469999999998</v>
      </c>
      <c r="Q598" s="252">
        <v>263.6866</v>
      </c>
      <c r="R598" s="94"/>
      <c r="S598" s="94"/>
      <c r="T598" s="94"/>
      <c r="U598" s="94"/>
      <c r="V598" s="94"/>
      <c r="W598" s="94"/>
      <c r="X598" s="94"/>
      <c r="Y598" s="94">
        <f>AVERAGE(C598:X598)</f>
        <v>263.80950000000001</v>
      </c>
      <c r="Z598" s="94">
        <f>Z597</f>
        <v>263.39983999999987</v>
      </c>
      <c r="AA598" s="94">
        <f t="shared" si="175"/>
        <v>-0.40966000000014446</v>
      </c>
      <c r="AB598" s="1">
        <f>COUNTIF(C598:X598,"&gt;0")*5</f>
        <v>75</v>
      </c>
      <c r="AC598" s="1">
        <f t="shared" si="176"/>
        <v>-153.62250000005417</v>
      </c>
      <c r="AD598" s="307">
        <f>SUM(AC597:AC598)</f>
        <v>-314.04750000011461</v>
      </c>
    </row>
    <row r="599" spans="1:30" ht="14.25" customHeight="1" x14ac:dyDescent="0.45">
      <c r="A599" s="79"/>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c r="AD599" s="1"/>
    </row>
    <row r="600" spans="1:30" ht="14.25" customHeight="1" x14ac:dyDescent="0.45">
      <c r="A600" s="79"/>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c r="AD600" s="1"/>
    </row>
    <row r="601" spans="1:30" ht="14.25" customHeight="1" x14ac:dyDescent="0.45">
      <c r="A601" s="79">
        <v>32</v>
      </c>
      <c r="B601" s="219">
        <v>0</v>
      </c>
      <c r="C601" s="247">
        <v>263.48379999999997</v>
      </c>
      <c r="D601" s="247">
        <v>263.45620000000002</v>
      </c>
      <c r="E601" s="315"/>
      <c r="F601" s="94"/>
      <c r="G601" s="94"/>
      <c r="H601" s="94"/>
      <c r="I601" s="94"/>
      <c r="J601" s="94"/>
      <c r="K601" s="94"/>
      <c r="L601" s="94"/>
      <c r="M601" s="94"/>
      <c r="N601" s="94"/>
      <c r="O601" s="94"/>
      <c r="P601" s="94"/>
      <c r="Q601" s="94"/>
      <c r="R601" s="94"/>
      <c r="S601" s="94"/>
      <c r="T601" s="94"/>
      <c r="U601" s="94"/>
      <c r="V601" s="94"/>
      <c r="W601" s="94"/>
      <c r="X601" s="94"/>
      <c r="Y601" s="94">
        <f t="shared" ref="Y601:Y606" si="177">AVERAGE(C601:X601)</f>
        <v>263.47000000000003</v>
      </c>
      <c r="Z601" s="235">
        <f t="shared" ref="Z601:Z606" si="178">Z95-0.025</f>
        <v>263.55029999999999</v>
      </c>
      <c r="AA601" s="94">
        <f t="shared" ref="AA601:AA606" si="179">Z601-Y601</f>
        <v>8.0299999999965621E-2</v>
      </c>
      <c r="AB601" s="1">
        <f t="shared" ref="AB601:AB606" si="180">COUNTIF(C601:X601,"&gt;0")*5</f>
        <v>10</v>
      </c>
      <c r="AC601" s="1">
        <f t="shared" ref="AC601:AC606" si="181">AA601*AB601*5</f>
        <v>4.0149999999982811</v>
      </c>
      <c r="AD601" s="1"/>
    </row>
    <row r="602" spans="1:30" ht="14.25" customHeight="1" x14ac:dyDescent="0.45">
      <c r="A602" s="79"/>
      <c r="B602" s="219">
        <v>5</v>
      </c>
      <c r="C602" s="247">
        <v>263.53109999999998</v>
      </c>
      <c r="D602" s="247">
        <v>263.48500000000001</v>
      </c>
      <c r="E602" s="315"/>
      <c r="F602" s="94"/>
      <c r="G602" s="94"/>
      <c r="H602" s="94"/>
      <c r="I602" s="94"/>
      <c r="J602" s="94"/>
      <c r="K602" s="94"/>
      <c r="L602" s="94"/>
      <c r="M602" s="94"/>
      <c r="N602" s="94"/>
      <c r="O602" s="94"/>
      <c r="P602" s="94"/>
      <c r="Q602" s="94"/>
      <c r="R602" s="94"/>
      <c r="S602" s="94"/>
      <c r="T602" s="94"/>
      <c r="U602" s="94"/>
      <c r="V602" s="94"/>
      <c r="W602" s="94"/>
      <c r="X602" s="94"/>
      <c r="Y602" s="94">
        <f t="shared" si="177"/>
        <v>263.50805000000003</v>
      </c>
      <c r="Z602" s="94">
        <f t="shared" si="178"/>
        <v>263.50029999999998</v>
      </c>
      <c r="AA602" s="94">
        <f t="shared" si="179"/>
        <v>-7.7500000000441105E-3</v>
      </c>
      <c r="AB602" s="1">
        <f t="shared" si="180"/>
        <v>10</v>
      </c>
      <c r="AC602" s="1">
        <f t="shared" si="181"/>
        <v>-0.38750000000220552</v>
      </c>
      <c r="AD602" s="1"/>
    </row>
    <row r="603" spans="1:30" ht="14.25" customHeight="1" x14ac:dyDescent="0.45">
      <c r="A603" s="79"/>
      <c r="B603" s="219">
        <v>10</v>
      </c>
      <c r="C603" s="247">
        <v>263.541</v>
      </c>
      <c r="D603" s="247">
        <v>263.5258</v>
      </c>
      <c r="E603" s="315"/>
      <c r="F603" s="94"/>
      <c r="G603" s="94"/>
      <c r="H603" s="94"/>
      <c r="I603" s="94"/>
      <c r="J603" s="94"/>
      <c r="K603" s="94"/>
      <c r="L603" s="94"/>
      <c r="M603" s="94"/>
      <c r="N603" s="94"/>
      <c r="O603" s="94"/>
      <c r="P603" s="94"/>
      <c r="Q603" s="94"/>
      <c r="R603" s="94"/>
      <c r="S603" s="94"/>
      <c r="T603" s="94"/>
      <c r="U603" s="94"/>
      <c r="V603" s="94"/>
      <c r="W603" s="94"/>
      <c r="X603" s="94"/>
      <c r="Y603" s="94">
        <f t="shared" si="177"/>
        <v>263.53340000000003</v>
      </c>
      <c r="Z603" s="94">
        <f t="shared" si="178"/>
        <v>263.45029999999997</v>
      </c>
      <c r="AA603" s="94">
        <f t="shared" si="179"/>
        <v>-8.3100000000058571E-2</v>
      </c>
      <c r="AB603" s="1">
        <f t="shared" si="180"/>
        <v>10</v>
      </c>
      <c r="AC603" s="1">
        <f t="shared" si="181"/>
        <v>-4.1550000000029286</v>
      </c>
      <c r="AD603" s="1"/>
    </row>
    <row r="604" spans="1:30" ht="14.25" customHeight="1" x14ac:dyDescent="0.45">
      <c r="A604" s="79"/>
      <c r="B604" s="219">
        <v>15</v>
      </c>
      <c r="C604" s="247">
        <v>263.54250000000002</v>
      </c>
      <c r="D604" s="247">
        <v>263.61919999999998</v>
      </c>
      <c r="E604" s="315"/>
      <c r="F604" s="94"/>
      <c r="G604" s="94"/>
      <c r="H604" s="94"/>
      <c r="I604" s="94"/>
      <c r="J604" s="94"/>
      <c r="K604" s="94"/>
      <c r="L604" s="94"/>
      <c r="M604" s="94"/>
      <c r="N604" s="94"/>
      <c r="O604" s="94"/>
      <c r="P604" s="94"/>
      <c r="Q604" s="94"/>
      <c r="R604" s="94"/>
      <c r="S604" s="94"/>
      <c r="T604" s="94"/>
      <c r="U604" s="94"/>
      <c r="V604" s="94"/>
      <c r="W604" s="94"/>
      <c r="X604" s="94"/>
      <c r="Y604" s="94">
        <f t="shared" si="177"/>
        <v>263.58085</v>
      </c>
      <c r="Z604" s="94">
        <f t="shared" si="178"/>
        <v>263.40029999999996</v>
      </c>
      <c r="AA604" s="94">
        <f t="shared" si="179"/>
        <v>-0.18055000000003929</v>
      </c>
      <c r="AB604" s="1">
        <f t="shared" si="180"/>
        <v>10</v>
      </c>
      <c r="AC604" s="1">
        <f t="shared" si="181"/>
        <v>-9.0275000000019645</v>
      </c>
      <c r="AD604" s="1"/>
    </row>
    <row r="605" spans="1:30" ht="14.25" customHeight="1" x14ac:dyDescent="0.45">
      <c r="A605" s="79"/>
      <c r="B605" s="219">
        <v>20</v>
      </c>
      <c r="C605" s="247">
        <v>263.88929999999999</v>
      </c>
      <c r="D605" s="247">
        <v>263.7851</v>
      </c>
      <c r="E605" s="315"/>
      <c r="F605" s="94"/>
      <c r="G605" s="94"/>
      <c r="H605" s="94"/>
      <c r="I605" s="94"/>
      <c r="J605" s="94"/>
      <c r="K605" s="94"/>
      <c r="L605" s="94"/>
      <c r="M605" s="94"/>
      <c r="N605" s="94"/>
      <c r="O605" s="94"/>
      <c r="P605" s="94"/>
      <c r="Q605" s="94"/>
      <c r="R605" s="94"/>
      <c r="S605" s="94"/>
      <c r="T605" s="94"/>
      <c r="U605" s="94"/>
      <c r="V605" s="94"/>
      <c r="W605" s="94"/>
      <c r="X605" s="94"/>
      <c r="Y605" s="94">
        <f t="shared" si="177"/>
        <v>263.8372</v>
      </c>
      <c r="Z605" s="94">
        <f t="shared" si="178"/>
        <v>263.35029999999995</v>
      </c>
      <c r="AA605" s="94">
        <f t="shared" si="179"/>
        <v>-0.48690000000004829</v>
      </c>
      <c r="AB605" s="1">
        <f t="shared" si="180"/>
        <v>10</v>
      </c>
      <c r="AC605" s="1">
        <f t="shared" si="181"/>
        <v>-24.345000000002415</v>
      </c>
      <c r="AD605" s="1"/>
    </row>
    <row r="606" spans="1:30" ht="14.25" customHeight="1" x14ac:dyDescent="0.45">
      <c r="A606" s="79"/>
      <c r="B606" s="219">
        <v>25</v>
      </c>
      <c r="C606" s="247">
        <v>263.77080000000001</v>
      </c>
      <c r="D606" s="247">
        <v>263.66860000000003</v>
      </c>
      <c r="E606" s="315"/>
      <c r="F606" s="94"/>
      <c r="G606" s="94"/>
      <c r="H606" s="94"/>
      <c r="I606" s="94"/>
      <c r="J606" s="94"/>
      <c r="K606" s="94"/>
      <c r="L606" s="94"/>
      <c r="M606" s="94"/>
      <c r="N606" s="94"/>
      <c r="O606" s="94"/>
      <c r="P606" s="94"/>
      <c r="Q606" s="94"/>
      <c r="R606" s="94"/>
      <c r="S606" s="94"/>
      <c r="T606" s="94"/>
      <c r="U606" s="94"/>
      <c r="V606" s="94"/>
      <c r="W606" s="94"/>
      <c r="X606" s="94"/>
      <c r="Y606" s="94">
        <f t="shared" si="177"/>
        <v>263.71969999999999</v>
      </c>
      <c r="Z606" s="94">
        <f t="shared" si="178"/>
        <v>263.30029999999994</v>
      </c>
      <c r="AA606" s="94">
        <f t="shared" si="179"/>
        <v>-0.41940000000005284</v>
      </c>
      <c r="AB606" s="1">
        <f t="shared" si="180"/>
        <v>10</v>
      </c>
      <c r="AC606" s="1">
        <f t="shared" si="181"/>
        <v>-20.970000000002642</v>
      </c>
      <c r="AD606" s="307">
        <f>SUM(AC601:AC606)</f>
        <v>-54.870000000013874</v>
      </c>
    </row>
    <row r="609" spans="1:30" ht="14.25" customHeight="1" x14ac:dyDescent="0.45">
      <c r="A609" s="79">
        <v>33</v>
      </c>
      <c r="B609" s="219">
        <v>0</v>
      </c>
      <c r="C609" s="253">
        <v>264.06720000000001</v>
      </c>
      <c r="D609" s="253">
        <v>263.41520000000003</v>
      </c>
      <c r="E609" s="94"/>
      <c r="F609" s="94"/>
      <c r="G609" s="94"/>
      <c r="H609" s="94"/>
      <c r="I609" s="94"/>
      <c r="J609" s="94"/>
      <c r="K609" s="94"/>
      <c r="L609" s="94"/>
      <c r="M609" s="94"/>
      <c r="N609" s="94"/>
      <c r="O609" s="94"/>
      <c r="P609" s="94"/>
      <c r="Q609" s="94"/>
      <c r="R609" s="94"/>
      <c r="S609" s="94"/>
      <c r="T609" s="94"/>
      <c r="U609" s="94"/>
      <c r="V609" s="94"/>
      <c r="W609" s="94"/>
      <c r="X609" s="94"/>
      <c r="Y609" s="94">
        <f t="shared" ref="Y609:Y618" si="182">AVERAGE(C609:X609)</f>
        <v>263.74120000000005</v>
      </c>
      <c r="Z609" s="235">
        <f t="shared" ref="Z609" si="183">Z85-0.1</f>
        <v>263.2752999999999</v>
      </c>
      <c r="AA609" s="94">
        <f t="shared" ref="AA609:AA618" si="184">Z609-Y609</f>
        <v>-0.46590000000014697</v>
      </c>
      <c r="AB609" s="1">
        <f t="shared" ref="AB609:AB618" si="185">COUNTIF(C609:X609,"&gt;0")*5</f>
        <v>10</v>
      </c>
      <c r="AC609" s="1">
        <f t="shared" ref="AC609:AC618" si="186">AA609*AB609*5</f>
        <v>-23.295000000007349</v>
      </c>
    </row>
    <row r="610" spans="1:30" ht="14.25" customHeight="1" x14ac:dyDescent="0.45">
      <c r="A610" s="79"/>
      <c r="B610" s="219">
        <v>5</v>
      </c>
      <c r="C610" s="253">
        <v>263.79790000000003</v>
      </c>
      <c r="D610" s="253">
        <v>264.01280000000003</v>
      </c>
      <c r="E610" s="317"/>
      <c r="F610" s="94"/>
      <c r="G610" s="94"/>
      <c r="H610" s="94"/>
      <c r="I610" s="94"/>
      <c r="J610" s="94"/>
      <c r="K610" s="94"/>
      <c r="L610" s="94"/>
      <c r="M610" s="94"/>
      <c r="N610" s="94"/>
      <c r="O610" s="94"/>
      <c r="P610" s="94"/>
      <c r="Q610" s="94"/>
      <c r="R610" s="94"/>
      <c r="S610" s="94"/>
      <c r="T610" s="94"/>
      <c r="U610" s="94"/>
      <c r="V610" s="94"/>
      <c r="W610" s="94"/>
      <c r="X610" s="94"/>
      <c r="Y610" s="94">
        <f t="shared" si="182"/>
        <v>263.90535</v>
      </c>
      <c r="Z610" s="94">
        <f>Z86</f>
        <v>263.42529999999994</v>
      </c>
      <c r="AA610" s="94">
        <f t="shared" si="184"/>
        <v>-0.48005000000006248</v>
      </c>
      <c r="AB610" s="1">
        <f t="shared" si="185"/>
        <v>10</v>
      </c>
      <c r="AC610" s="1">
        <f t="shared" si="186"/>
        <v>-24.002500000003124</v>
      </c>
    </row>
    <row r="611" spans="1:30" ht="14.25" customHeight="1" x14ac:dyDescent="0.45">
      <c r="A611" s="79"/>
      <c r="B611" s="219">
        <v>10</v>
      </c>
      <c r="C611" s="253">
        <v>263.81490000000002</v>
      </c>
      <c r="D611" s="253">
        <v>263.98939999999999</v>
      </c>
      <c r="E611" s="317"/>
      <c r="F611" s="94"/>
      <c r="G611" s="94"/>
      <c r="H611" s="94"/>
      <c r="I611" s="94"/>
      <c r="J611" s="94"/>
      <c r="K611" s="94"/>
      <c r="L611" s="94"/>
      <c r="M611" s="94"/>
      <c r="N611" s="94"/>
      <c r="O611" s="94"/>
      <c r="P611" s="94"/>
      <c r="Q611" s="94"/>
      <c r="R611" s="94"/>
      <c r="S611" s="94"/>
      <c r="T611" s="94"/>
      <c r="U611" s="94"/>
      <c r="V611" s="94"/>
      <c r="W611" s="94"/>
      <c r="X611" s="94"/>
      <c r="Y611" s="94">
        <f t="shared" si="182"/>
        <v>263.90215000000001</v>
      </c>
      <c r="Z611" s="94">
        <f>Z87-0.05</f>
        <v>263.42529999999994</v>
      </c>
      <c r="AA611" s="94">
        <f t="shared" si="184"/>
        <v>-0.47685000000006994</v>
      </c>
      <c r="AB611" s="1">
        <f t="shared" si="185"/>
        <v>10</v>
      </c>
      <c r="AC611" s="1">
        <f t="shared" si="186"/>
        <v>-23.842500000003497</v>
      </c>
    </row>
    <row r="612" spans="1:30" ht="14.25" customHeight="1" x14ac:dyDescent="0.45">
      <c r="A612" s="79"/>
      <c r="B612" s="219">
        <v>15</v>
      </c>
      <c r="C612" s="253">
        <v>263.77730000000003</v>
      </c>
      <c r="D612" s="253">
        <v>263.86930000000001</v>
      </c>
      <c r="E612" s="317"/>
      <c r="F612" s="94"/>
      <c r="G612" s="94"/>
      <c r="H612" s="94"/>
      <c r="I612" s="94"/>
      <c r="J612" s="94"/>
      <c r="K612" s="94"/>
      <c r="L612" s="94"/>
      <c r="M612" s="94"/>
      <c r="N612" s="94"/>
      <c r="O612" s="94"/>
      <c r="P612" s="94"/>
      <c r="Q612" s="94"/>
      <c r="R612" s="94"/>
      <c r="S612" s="94"/>
      <c r="T612" s="94"/>
      <c r="U612" s="94"/>
      <c r="V612" s="94"/>
      <c r="W612" s="94"/>
      <c r="X612" s="94"/>
      <c r="Y612" s="94">
        <f t="shared" si="182"/>
        <v>263.82330000000002</v>
      </c>
      <c r="Z612" s="94">
        <f>Z88-0.05</f>
        <v>263.47529999999995</v>
      </c>
      <c r="AA612" s="94">
        <f t="shared" si="184"/>
        <v>-0.34800000000007003</v>
      </c>
      <c r="AB612" s="1">
        <f t="shared" si="185"/>
        <v>10</v>
      </c>
      <c r="AC612" s="1">
        <f t="shared" si="186"/>
        <v>-17.400000000003502</v>
      </c>
    </row>
    <row r="613" spans="1:30" ht="14.25" customHeight="1" x14ac:dyDescent="0.45">
      <c r="A613" s="79"/>
      <c r="B613" s="219">
        <v>20</v>
      </c>
      <c r="C613" s="253">
        <v>263.9119</v>
      </c>
      <c r="D613" s="253">
        <v>263.96519999999998</v>
      </c>
      <c r="E613" s="317"/>
      <c r="F613" s="94"/>
      <c r="G613" s="94"/>
      <c r="H613" s="94"/>
      <c r="I613" s="94"/>
      <c r="J613" s="94"/>
      <c r="K613" s="94"/>
      <c r="L613" s="94"/>
      <c r="M613" s="94"/>
      <c r="N613" s="94"/>
      <c r="O613" s="94"/>
      <c r="P613" s="94"/>
      <c r="Q613" s="94"/>
      <c r="R613" s="94"/>
      <c r="S613" s="94"/>
      <c r="T613" s="94"/>
      <c r="U613" s="94"/>
      <c r="V613" s="94"/>
      <c r="W613" s="94"/>
      <c r="X613" s="94"/>
      <c r="Y613" s="94">
        <f t="shared" si="182"/>
        <v>263.93854999999996</v>
      </c>
      <c r="Z613" s="94">
        <f>Z89-0.05</f>
        <v>263.52529999999996</v>
      </c>
      <c r="AA613" s="94">
        <f t="shared" si="184"/>
        <v>-0.413250000000005</v>
      </c>
      <c r="AB613" s="1">
        <f t="shared" si="185"/>
        <v>10</v>
      </c>
      <c r="AC613" s="1">
        <f t="shared" si="186"/>
        <v>-20.66250000000025</v>
      </c>
    </row>
    <row r="614" spans="1:30" ht="14.25" customHeight="1" x14ac:dyDescent="0.45">
      <c r="A614" s="79"/>
      <c r="B614" s="219">
        <v>25</v>
      </c>
      <c r="C614" s="253">
        <v>263.99259999999998</v>
      </c>
      <c r="D614" s="253">
        <v>264.05829999999997</v>
      </c>
      <c r="E614" s="317"/>
      <c r="F614" s="94"/>
      <c r="G614" s="94"/>
      <c r="H614" s="94"/>
      <c r="I614" s="94"/>
      <c r="J614" s="94"/>
      <c r="K614" s="94"/>
      <c r="L614" s="94"/>
      <c r="M614" s="94"/>
      <c r="N614" s="94"/>
      <c r="O614" s="94"/>
      <c r="P614" s="94"/>
      <c r="Q614" s="94"/>
      <c r="R614" s="94"/>
      <c r="S614" s="94"/>
      <c r="T614" s="94"/>
      <c r="U614" s="94"/>
      <c r="V614" s="94"/>
      <c r="W614" s="94"/>
      <c r="X614" s="94"/>
      <c r="Y614" s="94">
        <f t="shared" si="182"/>
        <v>264.02544999999998</v>
      </c>
      <c r="Z614" s="94">
        <f>Z90-0.05</f>
        <v>263.57529999999997</v>
      </c>
      <c r="AA614" s="94">
        <f t="shared" si="184"/>
        <v>-0.45015000000000782</v>
      </c>
      <c r="AB614" s="1">
        <f t="shared" si="185"/>
        <v>10</v>
      </c>
      <c r="AC614" s="1">
        <f t="shared" si="186"/>
        <v>-22.507500000000391</v>
      </c>
    </row>
    <row r="615" spans="1:30" ht="14.25" customHeight="1" x14ac:dyDescent="0.45">
      <c r="A615" s="79"/>
      <c r="B615" s="219">
        <v>30</v>
      </c>
      <c r="C615" s="253">
        <v>263.82060000000001</v>
      </c>
      <c r="D615" s="253">
        <v>263.9332</v>
      </c>
      <c r="E615" s="317"/>
      <c r="F615" s="94"/>
      <c r="G615" s="94"/>
      <c r="H615" s="94"/>
      <c r="I615" s="94"/>
      <c r="J615" s="94"/>
      <c r="K615" s="94"/>
      <c r="L615" s="94"/>
      <c r="M615" s="94"/>
      <c r="N615" s="94"/>
      <c r="O615" s="94"/>
      <c r="P615" s="94"/>
      <c r="Q615" s="94"/>
      <c r="R615" s="94"/>
      <c r="S615" s="94"/>
      <c r="T615" s="94"/>
      <c r="U615" s="94"/>
      <c r="V615" s="94"/>
      <c r="W615" s="94"/>
      <c r="X615" s="94"/>
      <c r="Y615" s="94">
        <f t="shared" si="182"/>
        <v>263.87689999999998</v>
      </c>
      <c r="Z615" s="94">
        <f>Z91-0.05</f>
        <v>263.62529999999998</v>
      </c>
      <c r="AA615" s="94">
        <f t="shared" si="184"/>
        <v>-0.25159999999999627</v>
      </c>
      <c r="AB615" s="1">
        <f t="shared" si="185"/>
        <v>10</v>
      </c>
      <c r="AC615" s="1">
        <f t="shared" si="186"/>
        <v>-12.579999999999814</v>
      </c>
    </row>
    <row r="616" spans="1:30" ht="14.25" customHeight="1" x14ac:dyDescent="0.45">
      <c r="A616" s="79"/>
      <c r="B616" s="219">
        <v>35</v>
      </c>
      <c r="C616" s="253">
        <v>263.75450000000001</v>
      </c>
      <c r="D616" s="253">
        <v>263.839</v>
      </c>
      <c r="E616" s="317"/>
      <c r="F616" s="94"/>
      <c r="G616" s="94"/>
      <c r="H616" s="94"/>
      <c r="I616" s="94"/>
      <c r="J616" s="94"/>
      <c r="K616" s="94"/>
      <c r="L616" s="94"/>
      <c r="M616" s="94"/>
      <c r="N616" s="94"/>
      <c r="O616" s="94"/>
      <c r="P616" s="94"/>
      <c r="Q616" s="94"/>
      <c r="R616" s="94"/>
      <c r="S616" s="94"/>
      <c r="T616" s="94"/>
      <c r="U616" s="94"/>
      <c r="V616" s="94"/>
      <c r="W616" s="94"/>
      <c r="X616" s="94"/>
      <c r="Y616" s="94">
        <f t="shared" si="182"/>
        <v>263.79674999999997</v>
      </c>
      <c r="Z616" s="94">
        <f>Z92-0.085</f>
        <v>263.64030000000002</v>
      </c>
      <c r="AA616" s="94">
        <f t="shared" si="184"/>
        <v>-0.1564499999999498</v>
      </c>
      <c r="AB616" s="1">
        <f t="shared" si="185"/>
        <v>10</v>
      </c>
      <c r="AC616" s="1">
        <f t="shared" si="186"/>
        <v>-7.8224999999974898</v>
      </c>
    </row>
    <row r="617" spans="1:30" ht="14.25" customHeight="1" x14ac:dyDescent="0.45">
      <c r="A617" s="79"/>
      <c r="B617" s="219">
        <v>40</v>
      </c>
      <c r="C617" s="253">
        <v>263.64240000000001</v>
      </c>
      <c r="D617" s="253">
        <v>263.52699999999999</v>
      </c>
      <c r="E617" s="317"/>
      <c r="F617" s="94"/>
      <c r="G617" s="94"/>
      <c r="H617" s="94"/>
      <c r="I617" s="94"/>
      <c r="J617" s="94"/>
      <c r="K617" s="94"/>
      <c r="L617" s="94"/>
      <c r="M617" s="94"/>
      <c r="N617" s="94"/>
      <c r="O617" s="94"/>
      <c r="P617" s="94"/>
      <c r="Q617" s="94"/>
      <c r="R617" s="94"/>
      <c r="S617" s="94"/>
      <c r="T617" s="94"/>
      <c r="U617" s="94"/>
      <c r="V617" s="94"/>
      <c r="W617" s="94"/>
      <c r="X617" s="94"/>
      <c r="Y617" s="94">
        <f t="shared" si="182"/>
        <v>263.5847</v>
      </c>
      <c r="Z617" s="94">
        <f>Z93-0.025</f>
        <v>263.65030000000002</v>
      </c>
      <c r="AA617" s="94">
        <f t="shared" si="184"/>
        <v>6.5600000000017644E-2</v>
      </c>
      <c r="AB617" s="1">
        <f t="shared" si="185"/>
        <v>10</v>
      </c>
      <c r="AC617" s="1">
        <f t="shared" si="186"/>
        <v>3.2800000000008822</v>
      </c>
      <c r="AD617" s="1"/>
    </row>
    <row r="618" spans="1:30" ht="14.25" customHeight="1" x14ac:dyDescent="0.45">
      <c r="A618" s="79"/>
      <c r="B618" s="219">
        <v>45</v>
      </c>
      <c r="C618" s="253">
        <v>263.70890000000003</v>
      </c>
      <c r="D618" s="253">
        <v>263.50439999999998</v>
      </c>
      <c r="E618" s="317"/>
      <c r="F618" s="94"/>
      <c r="G618" s="94"/>
      <c r="H618" s="94"/>
      <c r="I618" s="94"/>
      <c r="J618" s="94"/>
      <c r="K618" s="94"/>
      <c r="L618" s="94"/>
      <c r="M618" s="94"/>
      <c r="N618" s="94"/>
      <c r="O618" s="94"/>
      <c r="P618" s="94"/>
      <c r="Q618" s="94"/>
      <c r="R618" s="94"/>
      <c r="S618" s="94"/>
      <c r="T618" s="94"/>
      <c r="U618" s="94"/>
      <c r="V618" s="94"/>
      <c r="W618" s="94"/>
      <c r="X618" s="94"/>
      <c r="Y618" s="94">
        <f t="shared" si="182"/>
        <v>263.60665</v>
      </c>
      <c r="Z618" s="94">
        <f>Z94-0.025</f>
        <v>263.6003</v>
      </c>
      <c r="AA618" s="94">
        <f t="shared" si="184"/>
        <v>-6.3499999999976353E-3</v>
      </c>
      <c r="AB618" s="1">
        <f t="shared" si="185"/>
        <v>10</v>
      </c>
      <c r="AC618" s="1">
        <f t="shared" si="186"/>
        <v>-0.31749999999988177</v>
      </c>
      <c r="AD618" s="307">
        <f>SUM(AC609:AC618)</f>
        <v>-149.15000000001442</v>
      </c>
    </row>
    <row r="619" spans="1:30" ht="14.25" customHeight="1" x14ac:dyDescent="0.45">
      <c r="A619" s="79"/>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c r="AD619" s="1"/>
    </row>
    <row r="620" spans="1:30" ht="14.25" customHeight="1" x14ac:dyDescent="0.45">
      <c r="A620" s="79"/>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c r="AD620" s="1"/>
    </row>
    <row r="621" spans="1:30" ht="14.25" customHeight="1" x14ac:dyDescent="0.45">
      <c r="A621" s="79">
        <v>34</v>
      </c>
      <c r="B621" s="219">
        <v>0</v>
      </c>
      <c r="C621" s="254">
        <v>263.34710000000001</v>
      </c>
      <c r="D621" s="254">
        <v>263.5496</v>
      </c>
      <c r="E621" s="254">
        <v>263.60480000000001</v>
      </c>
      <c r="F621" s="254">
        <v>263.6909</v>
      </c>
      <c r="G621" s="254">
        <v>263.6875</v>
      </c>
      <c r="H621" s="254">
        <v>263.65199999999999</v>
      </c>
      <c r="I621" s="254">
        <v>263.71499999999997</v>
      </c>
      <c r="J621" s="254">
        <v>263.67399999999998</v>
      </c>
      <c r="K621" s="94"/>
      <c r="L621" s="94"/>
      <c r="M621" s="94"/>
      <c r="N621" s="94"/>
      <c r="O621" s="94"/>
      <c r="P621" s="94"/>
      <c r="Q621" s="94"/>
      <c r="R621" s="94"/>
      <c r="S621" s="94"/>
      <c r="T621" s="94"/>
      <c r="U621" s="94"/>
      <c r="V621" s="94"/>
      <c r="W621" s="94"/>
      <c r="X621" s="94"/>
      <c r="Y621" s="94">
        <f>AVERAGE(C621:X621)</f>
        <v>263.61511250000001</v>
      </c>
      <c r="Z621" s="235">
        <f>Z100-0.1</f>
        <v>263.22529999999989</v>
      </c>
      <c r="AA621" s="94">
        <f t="shared" ref="AA621:AA622" si="187">Z621-Y621</f>
        <v>-0.38981250000011869</v>
      </c>
      <c r="AB621" s="1">
        <f>COUNTIF(C621:X621,"&gt;0")*5</f>
        <v>40</v>
      </c>
      <c r="AC621" s="1">
        <f t="shared" ref="AC621:AC622" si="188">AA621*AB621*5</f>
        <v>-77.962500000023738</v>
      </c>
      <c r="AD621" s="1"/>
    </row>
    <row r="622" spans="1:30" ht="14.25" customHeight="1" x14ac:dyDescent="0.45">
      <c r="A622" s="79"/>
      <c r="B622" s="219">
        <v>5</v>
      </c>
      <c r="C622" s="254">
        <v>263.67700000000002</v>
      </c>
      <c r="D622" s="254">
        <v>263.71800000000002</v>
      </c>
      <c r="E622" s="254">
        <v>263.70679999999999</v>
      </c>
      <c r="F622" s="254">
        <v>263.71839999999997</v>
      </c>
      <c r="G622" s="254">
        <v>263.68680000000001</v>
      </c>
      <c r="H622" s="254">
        <v>263.69319999999999</v>
      </c>
      <c r="I622" s="254">
        <v>263.62169999999998</v>
      </c>
      <c r="J622" s="254">
        <v>263.59469999999999</v>
      </c>
      <c r="K622" s="94"/>
      <c r="L622" s="94"/>
      <c r="M622" s="94"/>
      <c r="N622" s="94"/>
      <c r="O622" s="94"/>
      <c r="P622" s="94"/>
      <c r="Q622" s="94"/>
      <c r="R622" s="94"/>
      <c r="S622" s="94"/>
      <c r="T622" s="94"/>
      <c r="U622" s="94"/>
      <c r="V622" s="94"/>
      <c r="W622" s="94"/>
      <c r="X622" s="94"/>
      <c r="Y622" s="94">
        <f>AVERAGE(C622:X622)</f>
        <v>263.67707499999995</v>
      </c>
      <c r="Z622" s="94">
        <f>Z621</f>
        <v>263.22529999999989</v>
      </c>
      <c r="AA622" s="94">
        <f t="shared" si="187"/>
        <v>-0.45177500000005466</v>
      </c>
      <c r="AB622" s="1">
        <f>COUNTIF(C622:X622,"&gt;0")*5</f>
        <v>40</v>
      </c>
      <c r="AC622" s="1">
        <f t="shared" si="188"/>
        <v>-90.355000000010932</v>
      </c>
      <c r="AD622" s="307">
        <f>SUM(AC621:AC622)</f>
        <v>-168.31750000003467</v>
      </c>
    </row>
    <row r="625" spans="1:30" ht="14.25" customHeight="1" x14ac:dyDescent="0.45">
      <c r="A625" s="79">
        <v>35</v>
      </c>
      <c r="B625" s="219">
        <v>0</v>
      </c>
      <c r="C625" s="255">
        <v>263.61849999999998</v>
      </c>
      <c r="D625" s="255">
        <v>263.49630000000002</v>
      </c>
      <c r="E625" s="94"/>
      <c r="F625" s="94"/>
      <c r="G625" s="94"/>
      <c r="H625" s="94"/>
      <c r="I625" s="94"/>
      <c r="J625" s="94"/>
      <c r="K625" s="94"/>
      <c r="L625" s="94"/>
      <c r="M625" s="94"/>
      <c r="N625" s="94"/>
      <c r="O625" s="94"/>
      <c r="P625" s="94"/>
      <c r="Q625" s="94"/>
      <c r="R625" s="94"/>
      <c r="S625" s="94"/>
      <c r="T625" s="94"/>
      <c r="U625" s="94"/>
      <c r="V625" s="94"/>
      <c r="W625" s="94"/>
      <c r="X625" s="94"/>
      <c r="Y625" s="94">
        <f t="shared" ref="Y625:Y639" si="189">AVERAGE(C625:X625)</f>
        <v>263.55740000000003</v>
      </c>
      <c r="Z625" s="235">
        <f>Z137</f>
        <v>263.33540476190467</v>
      </c>
      <c r="AA625" s="94">
        <f t="shared" ref="AA625:AA639" si="190">Z625-Y625</f>
        <v>-0.22199523809536004</v>
      </c>
      <c r="AB625" s="1">
        <f t="shared" ref="AB625:AB639" si="191">COUNTIF(C625:X625,"&gt;0")*5</f>
        <v>10</v>
      </c>
      <c r="AC625" s="1">
        <f t="shared" ref="AC625:AC639" si="192">AA625*AB625*5</f>
        <v>-11.099761904768002</v>
      </c>
    </row>
    <row r="626" spans="1:30" ht="14.25" customHeight="1" x14ac:dyDescent="0.45">
      <c r="A626" s="79"/>
      <c r="B626" s="219">
        <v>5</v>
      </c>
      <c r="C626" s="255">
        <v>263.51729999999998</v>
      </c>
      <c r="D626" s="255">
        <v>263.49709999999999</v>
      </c>
      <c r="E626" s="94"/>
      <c r="F626" s="94"/>
      <c r="G626" s="94"/>
      <c r="H626" s="94"/>
      <c r="I626" s="94"/>
      <c r="J626" s="94"/>
      <c r="K626" s="94"/>
      <c r="L626" s="94"/>
      <c r="M626" s="94"/>
      <c r="N626" s="94"/>
      <c r="O626" s="94"/>
      <c r="P626" s="94"/>
      <c r="Q626" s="94"/>
      <c r="R626" s="94"/>
      <c r="S626" s="94"/>
      <c r="T626" s="94"/>
      <c r="U626" s="94"/>
      <c r="V626" s="94"/>
      <c r="W626" s="94"/>
      <c r="X626" s="94"/>
      <c r="Y626" s="94">
        <f t="shared" si="189"/>
        <v>263.50720000000001</v>
      </c>
      <c r="Z626" s="94">
        <f>Z625+5/100</f>
        <v>263.38540476190468</v>
      </c>
      <c r="AA626" s="94">
        <f t="shared" si="190"/>
        <v>-0.12179523809533066</v>
      </c>
      <c r="AB626" s="1">
        <f t="shared" si="191"/>
        <v>10</v>
      </c>
      <c r="AC626" s="1">
        <f t="shared" si="192"/>
        <v>-6.089761904766533</v>
      </c>
    </row>
    <row r="627" spans="1:30" ht="14.25" customHeight="1" x14ac:dyDescent="0.45">
      <c r="A627" s="79"/>
      <c r="B627" s="219">
        <v>10</v>
      </c>
      <c r="C627" s="255">
        <v>263.56360000000001</v>
      </c>
      <c r="D627" s="255">
        <v>263.49619999999999</v>
      </c>
      <c r="E627" s="94"/>
      <c r="F627" s="94"/>
      <c r="G627" s="94"/>
      <c r="H627" s="94"/>
      <c r="I627" s="94"/>
      <c r="J627" s="94"/>
      <c r="K627" s="94"/>
      <c r="L627" s="94"/>
      <c r="M627" s="94"/>
      <c r="N627" s="94"/>
      <c r="O627" s="94"/>
      <c r="P627" s="94"/>
      <c r="Q627" s="94"/>
      <c r="R627" s="94"/>
      <c r="S627" s="94"/>
      <c r="T627" s="94"/>
      <c r="U627" s="94"/>
      <c r="V627" s="94"/>
      <c r="W627" s="94"/>
      <c r="X627" s="94"/>
      <c r="Y627" s="94">
        <f t="shared" si="189"/>
        <v>263.5299</v>
      </c>
      <c r="Z627" s="94">
        <f t="shared" ref="Z627:Z633" si="193">Z626+5/100</f>
        <v>263.43540476190469</v>
      </c>
      <c r="AA627" s="94">
        <f t="shared" si="190"/>
        <v>-9.4495238095305467E-2</v>
      </c>
      <c r="AB627" s="1">
        <f t="shared" si="191"/>
        <v>10</v>
      </c>
      <c r="AC627" s="1">
        <f t="shared" si="192"/>
        <v>-4.7247619047652734</v>
      </c>
    </row>
    <row r="628" spans="1:30" ht="14.25" customHeight="1" x14ac:dyDescent="0.45">
      <c r="A628" s="79"/>
      <c r="B628" s="219">
        <v>15</v>
      </c>
      <c r="C628" s="255">
        <v>263.50380000000001</v>
      </c>
      <c r="D628" s="255">
        <v>263.50700000000001</v>
      </c>
      <c r="E628" s="94"/>
      <c r="F628" s="94"/>
      <c r="G628" s="94"/>
      <c r="H628" s="94"/>
      <c r="I628" s="94"/>
      <c r="J628" s="94"/>
      <c r="K628" s="94"/>
      <c r="L628" s="94"/>
      <c r="M628" s="94"/>
      <c r="N628" s="94"/>
      <c r="O628" s="94"/>
      <c r="P628" s="94"/>
      <c r="Q628" s="94"/>
      <c r="R628" s="94"/>
      <c r="S628" s="94"/>
      <c r="T628" s="94"/>
      <c r="U628" s="94"/>
      <c r="V628" s="94"/>
      <c r="W628" s="94"/>
      <c r="X628" s="94"/>
      <c r="Y628" s="94">
        <f t="shared" si="189"/>
        <v>263.50540000000001</v>
      </c>
      <c r="Z628" s="94">
        <f t="shared" si="193"/>
        <v>263.4854047619047</v>
      </c>
      <c r="AA628" s="94">
        <f t="shared" si="190"/>
        <v>-1.9995238095305012E-2</v>
      </c>
      <c r="AB628" s="1">
        <f t="shared" si="191"/>
        <v>10</v>
      </c>
      <c r="AC628" s="1">
        <f t="shared" si="192"/>
        <v>-0.99976190476525062</v>
      </c>
    </row>
    <row r="629" spans="1:30" ht="14.25" customHeight="1" x14ac:dyDescent="0.45">
      <c r="A629" s="79"/>
      <c r="B629" s="219">
        <v>20</v>
      </c>
      <c r="C629" s="255">
        <v>263.5283</v>
      </c>
      <c r="D629" s="255">
        <v>263.52010000000001</v>
      </c>
      <c r="E629" s="94"/>
      <c r="F629" s="94"/>
      <c r="G629" s="94"/>
      <c r="H629" s="94"/>
      <c r="I629" s="94"/>
      <c r="J629" s="94"/>
      <c r="K629" s="94"/>
      <c r="L629" s="94"/>
      <c r="M629" s="94"/>
      <c r="N629" s="94"/>
      <c r="O629" s="94"/>
      <c r="P629" s="94"/>
      <c r="Q629" s="94"/>
      <c r="R629" s="94"/>
      <c r="S629" s="94"/>
      <c r="T629" s="94"/>
      <c r="U629" s="94"/>
      <c r="V629" s="94"/>
      <c r="W629" s="94"/>
      <c r="X629" s="94"/>
      <c r="Y629" s="94">
        <f t="shared" si="189"/>
        <v>263.52420000000001</v>
      </c>
      <c r="Z629" s="94">
        <f t="shared" si="193"/>
        <v>263.53540476190472</v>
      </c>
      <c r="AA629" s="94">
        <f t="shared" si="190"/>
        <v>1.1204761904707539E-2</v>
      </c>
      <c r="AB629" s="1">
        <f t="shared" si="191"/>
        <v>10</v>
      </c>
      <c r="AC629" s="1">
        <f t="shared" si="192"/>
        <v>0.56023809523537693</v>
      </c>
    </row>
    <row r="630" spans="1:30" ht="14.25" customHeight="1" x14ac:dyDescent="0.45">
      <c r="A630" s="79"/>
      <c r="B630" s="219">
        <v>25</v>
      </c>
      <c r="C630" s="255">
        <v>263.61610000000002</v>
      </c>
      <c r="D630" s="255">
        <v>263.52370000000002</v>
      </c>
      <c r="E630" s="94"/>
      <c r="F630" s="94"/>
      <c r="G630" s="94"/>
      <c r="H630" s="94"/>
      <c r="I630" s="94"/>
      <c r="J630" s="94"/>
      <c r="K630" s="94"/>
      <c r="L630" s="94"/>
      <c r="M630" s="94"/>
      <c r="N630" s="94"/>
      <c r="O630" s="94"/>
      <c r="P630" s="94"/>
      <c r="Q630" s="94"/>
      <c r="R630" s="94"/>
      <c r="S630" s="94"/>
      <c r="T630" s="94"/>
      <c r="U630" s="94"/>
      <c r="V630" s="94"/>
      <c r="W630" s="94"/>
      <c r="X630" s="94"/>
      <c r="Y630" s="94">
        <f t="shared" si="189"/>
        <v>263.56990000000002</v>
      </c>
      <c r="Z630" s="94">
        <f t="shared" si="193"/>
        <v>263.58540476190473</v>
      </c>
      <c r="AA630" s="94">
        <f t="shared" si="190"/>
        <v>1.5504761904708175E-2</v>
      </c>
      <c r="AB630" s="1">
        <f t="shared" si="191"/>
        <v>10</v>
      </c>
      <c r="AC630" s="1">
        <f t="shared" si="192"/>
        <v>0.77523809523540876</v>
      </c>
    </row>
    <row r="631" spans="1:30" ht="14.25" customHeight="1" x14ac:dyDescent="0.45">
      <c r="A631" s="79"/>
      <c r="B631" s="219">
        <v>30</v>
      </c>
      <c r="C631" s="255">
        <v>263.35149999999999</v>
      </c>
      <c r="D631" s="255">
        <v>263.33390000000003</v>
      </c>
      <c r="E631" s="94"/>
      <c r="F631" s="94"/>
      <c r="G631" s="94"/>
      <c r="H631" s="94"/>
      <c r="I631" s="94"/>
      <c r="J631" s="94"/>
      <c r="K631" s="94"/>
      <c r="L631" s="94"/>
      <c r="M631" s="94"/>
      <c r="N631" s="94"/>
      <c r="O631" s="94"/>
      <c r="P631" s="94"/>
      <c r="Q631" s="94"/>
      <c r="R631" s="94"/>
      <c r="S631" s="94"/>
      <c r="T631" s="94"/>
      <c r="U631" s="94"/>
      <c r="V631" s="94"/>
      <c r="W631" s="94"/>
      <c r="X631" s="94"/>
      <c r="Y631" s="94">
        <f t="shared" si="189"/>
        <v>263.34270000000004</v>
      </c>
      <c r="Z631" s="94">
        <f t="shared" si="193"/>
        <v>263.63540476190474</v>
      </c>
      <c r="AA631" s="94">
        <f t="shared" si="190"/>
        <v>0.29270476190470163</v>
      </c>
      <c r="AB631" s="1">
        <f t="shared" si="191"/>
        <v>10</v>
      </c>
      <c r="AC631" s="1">
        <f t="shared" si="192"/>
        <v>14.635238095235081</v>
      </c>
    </row>
    <row r="632" spans="1:30" ht="14.25" customHeight="1" x14ac:dyDescent="0.45">
      <c r="A632" s="79"/>
      <c r="B632" s="219">
        <v>35</v>
      </c>
      <c r="C632" s="255">
        <v>263.33</v>
      </c>
      <c r="D632" s="255">
        <v>263.31670000000003</v>
      </c>
      <c r="E632" s="94"/>
      <c r="F632" s="94"/>
      <c r="G632" s="94"/>
      <c r="H632" s="94"/>
      <c r="I632" s="94"/>
      <c r="J632" s="94"/>
      <c r="K632" s="94"/>
      <c r="L632" s="94"/>
      <c r="M632" s="94"/>
      <c r="N632" s="94"/>
      <c r="O632" s="94"/>
      <c r="P632" s="94"/>
      <c r="Q632" s="94"/>
      <c r="R632" s="94"/>
      <c r="S632" s="94"/>
      <c r="T632" s="94"/>
      <c r="U632" s="94"/>
      <c r="V632" s="94"/>
      <c r="W632" s="94"/>
      <c r="X632" s="94"/>
      <c r="Y632" s="94">
        <f t="shared" si="189"/>
        <v>263.32335</v>
      </c>
      <c r="Z632" s="94">
        <f t="shared" si="193"/>
        <v>263.68540476190475</v>
      </c>
      <c r="AA632" s="94">
        <f t="shared" si="190"/>
        <v>0.36205476190474428</v>
      </c>
      <c r="AB632" s="1">
        <f t="shared" si="191"/>
        <v>10</v>
      </c>
      <c r="AC632" s="1">
        <f t="shared" si="192"/>
        <v>18.102738095237214</v>
      </c>
    </row>
    <row r="633" spans="1:30" ht="14.25" customHeight="1" x14ac:dyDescent="0.45">
      <c r="A633" s="79"/>
      <c r="B633" s="219">
        <v>40</v>
      </c>
      <c r="C633" s="255">
        <v>263.34010000000001</v>
      </c>
      <c r="D633" s="255">
        <v>263.34750000000003</v>
      </c>
      <c r="E633" s="94"/>
      <c r="F633" s="94"/>
      <c r="G633" s="94"/>
      <c r="H633" s="94"/>
      <c r="I633" s="94"/>
      <c r="J633" s="94"/>
      <c r="K633" s="94"/>
      <c r="L633" s="94"/>
      <c r="M633" s="94"/>
      <c r="N633" s="94"/>
      <c r="O633" s="94"/>
      <c r="P633" s="94"/>
      <c r="Q633" s="94"/>
      <c r="R633" s="94"/>
      <c r="S633" s="94"/>
      <c r="T633" s="94"/>
      <c r="U633" s="94"/>
      <c r="V633" s="94"/>
      <c r="W633" s="94"/>
      <c r="X633" s="94"/>
      <c r="Y633" s="94">
        <f t="shared" si="189"/>
        <v>263.34379999999999</v>
      </c>
      <c r="Z633" s="94">
        <f t="shared" si="193"/>
        <v>263.73540476190476</v>
      </c>
      <c r="AA633" s="94">
        <f t="shared" si="190"/>
        <v>0.39160476190477311</v>
      </c>
      <c r="AB633" s="1">
        <f t="shared" si="191"/>
        <v>10</v>
      </c>
      <c r="AC633" s="1">
        <f t="shared" si="192"/>
        <v>19.580238095238656</v>
      </c>
    </row>
    <row r="634" spans="1:30" ht="14.25" customHeight="1" x14ac:dyDescent="0.45">
      <c r="A634" s="79"/>
      <c r="B634" s="219">
        <v>45</v>
      </c>
      <c r="C634" s="255">
        <v>263.36</v>
      </c>
      <c r="D634" s="255">
        <v>263.33819999999997</v>
      </c>
      <c r="E634" s="94"/>
      <c r="F634" s="94"/>
      <c r="G634" s="94"/>
      <c r="H634" s="94"/>
      <c r="I634" s="94"/>
      <c r="J634" s="94"/>
      <c r="K634" s="94"/>
      <c r="L634" s="94"/>
      <c r="M634" s="94"/>
      <c r="N634" s="94"/>
      <c r="O634" s="94"/>
      <c r="P634" s="94"/>
      <c r="Q634" s="94"/>
      <c r="R634" s="94"/>
      <c r="S634" s="94"/>
      <c r="T634" s="94"/>
      <c r="U634" s="94"/>
      <c r="V634" s="94"/>
      <c r="W634" s="94"/>
      <c r="X634" s="94"/>
      <c r="Y634" s="94">
        <f t="shared" si="189"/>
        <v>263.34910000000002</v>
      </c>
      <c r="Z634" s="94">
        <f>Z633+5/100</f>
        <v>263.78540476190477</v>
      </c>
      <c r="AA634" s="94">
        <f t="shared" si="190"/>
        <v>0.43630476190475065</v>
      </c>
      <c r="AB634" s="1">
        <f t="shared" si="191"/>
        <v>10</v>
      </c>
      <c r="AC634" s="1">
        <f t="shared" si="192"/>
        <v>21.815238095237532</v>
      </c>
    </row>
    <row r="635" spans="1:30" ht="14.25" customHeight="1" x14ac:dyDescent="0.45">
      <c r="A635" s="79"/>
      <c r="B635" s="219">
        <v>50</v>
      </c>
      <c r="C635" s="255">
        <v>263.35149999999999</v>
      </c>
      <c r="D635" s="255">
        <v>263.34100000000001</v>
      </c>
      <c r="E635" s="94"/>
      <c r="F635" s="94"/>
      <c r="G635" s="94"/>
      <c r="H635" s="94"/>
      <c r="I635" s="94"/>
      <c r="J635" s="94"/>
      <c r="K635" s="94"/>
      <c r="L635" s="94"/>
      <c r="M635" s="94"/>
      <c r="N635" s="94"/>
      <c r="O635" s="94"/>
      <c r="P635" s="94"/>
      <c r="Q635" s="94"/>
      <c r="R635" s="94"/>
      <c r="S635" s="94"/>
      <c r="T635" s="94"/>
      <c r="U635" s="94"/>
      <c r="V635" s="94"/>
      <c r="W635" s="94"/>
      <c r="X635" s="94"/>
      <c r="Y635" s="94">
        <f t="shared" si="189"/>
        <v>263.34625</v>
      </c>
      <c r="Z635" s="94">
        <f>Z634-5/100</f>
        <v>263.73540476190476</v>
      </c>
      <c r="AA635" s="94">
        <f t="shared" si="190"/>
        <v>0.38915476190476284</v>
      </c>
      <c r="AB635" s="1">
        <f t="shared" si="191"/>
        <v>10</v>
      </c>
      <c r="AC635" s="1">
        <f t="shared" si="192"/>
        <v>19.457738095238142</v>
      </c>
    </row>
    <row r="636" spans="1:30" ht="14.25" customHeight="1" x14ac:dyDescent="0.45">
      <c r="A636" s="79"/>
      <c r="B636" s="219">
        <v>55</v>
      </c>
      <c r="C636" s="255">
        <v>263.36869999999999</v>
      </c>
      <c r="D636" s="255">
        <v>263.35059999999999</v>
      </c>
      <c r="E636" s="94"/>
      <c r="F636" s="94"/>
      <c r="G636" s="94"/>
      <c r="H636" s="94"/>
      <c r="I636" s="94"/>
      <c r="J636" s="94"/>
      <c r="K636" s="94"/>
      <c r="L636" s="94"/>
      <c r="M636" s="94"/>
      <c r="N636" s="94"/>
      <c r="O636" s="94"/>
      <c r="P636" s="94"/>
      <c r="Q636" s="94"/>
      <c r="R636" s="94"/>
      <c r="S636" s="94"/>
      <c r="T636" s="94"/>
      <c r="U636" s="94"/>
      <c r="V636" s="94"/>
      <c r="W636" s="94"/>
      <c r="X636" s="94"/>
      <c r="Y636" s="94">
        <f t="shared" si="189"/>
        <v>263.35964999999999</v>
      </c>
      <c r="Z636" s="94">
        <f t="shared" ref="Z636:Z639" si="194">Z635-5/100</f>
        <v>263.68540476190475</v>
      </c>
      <c r="AA636" s="94">
        <f t="shared" si="190"/>
        <v>0.32575476190476138</v>
      </c>
      <c r="AB636" s="1">
        <f t="shared" si="191"/>
        <v>10</v>
      </c>
      <c r="AC636" s="1">
        <f t="shared" si="192"/>
        <v>16.287738095238069</v>
      </c>
    </row>
    <row r="637" spans="1:30" ht="14.25" customHeight="1" x14ac:dyDescent="0.45">
      <c r="A637" s="79"/>
      <c r="B637" s="219">
        <v>60</v>
      </c>
      <c r="C637" s="255">
        <v>263.33159999999998</v>
      </c>
      <c r="D637" s="255">
        <v>263.34160000000003</v>
      </c>
      <c r="E637" s="94"/>
      <c r="F637" s="94"/>
      <c r="G637" s="94"/>
      <c r="H637" s="94"/>
      <c r="I637" s="94"/>
      <c r="J637" s="94"/>
      <c r="K637" s="94"/>
      <c r="L637" s="94"/>
      <c r="M637" s="94"/>
      <c r="N637" s="94"/>
      <c r="O637" s="94"/>
      <c r="P637" s="94"/>
      <c r="Q637" s="94"/>
      <c r="R637" s="94"/>
      <c r="S637" s="94"/>
      <c r="T637" s="94"/>
      <c r="U637" s="94"/>
      <c r="V637" s="94"/>
      <c r="W637" s="94"/>
      <c r="X637" s="94"/>
      <c r="Y637" s="94">
        <f t="shared" si="189"/>
        <v>263.33659999999998</v>
      </c>
      <c r="Z637" s="94">
        <f t="shared" si="194"/>
        <v>263.63540476190474</v>
      </c>
      <c r="AA637" s="94">
        <f t="shared" si="190"/>
        <v>0.29880476190476202</v>
      </c>
      <c r="AB637" s="1">
        <f t="shared" si="191"/>
        <v>10</v>
      </c>
      <c r="AC637" s="1">
        <f t="shared" si="192"/>
        <v>14.940238095238101</v>
      </c>
    </row>
    <row r="638" spans="1:30" ht="14.25" customHeight="1" x14ac:dyDescent="0.45">
      <c r="A638" s="79"/>
      <c r="B638" s="219">
        <v>65</v>
      </c>
      <c r="C638" s="255">
        <v>263.32799999999997</v>
      </c>
      <c r="D638" s="255">
        <v>263.32870000000003</v>
      </c>
      <c r="E638" s="94"/>
      <c r="F638" s="94"/>
      <c r="G638" s="94"/>
      <c r="H638" s="94"/>
      <c r="I638" s="94"/>
      <c r="J638" s="94"/>
      <c r="K638" s="94"/>
      <c r="L638" s="94"/>
      <c r="M638" s="94"/>
      <c r="N638" s="94"/>
      <c r="O638" s="94"/>
      <c r="P638" s="94"/>
      <c r="Q638" s="94"/>
      <c r="R638" s="94"/>
      <c r="S638" s="94"/>
      <c r="T638" s="94"/>
      <c r="U638" s="94"/>
      <c r="V638" s="94"/>
      <c r="W638" s="94"/>
      <c r="X638" s="94"/>
      <c r="Y638" s="94">
        <f t="shared" si="189"/>
        <v>263.32835</v>
      </c>
      <c r="Z638" s="94">
        <f t="shared" si="194"/>
        <v>263.58540476190473</v>
      </c>
      <c r="AA638" s="94">
        <f t="shared" si="190"/>
        <v>0.25705476190472609</v>
      </c>
      <c r="AB638" s="1">
        <f t="shared" si="191"/>
        <v>10</v>
      </c>
      <c r="AC638" s="1">
        <f t="shared" si="192"/>
        <v>12.852738095236305</v>
      </c>
    </row>
    <row r="639" spans="1:30" ht="14.25" customHeight="1" x14ac:dyDescent="0.45">
      <c r="A639" s="79"/>
      <c r="B639" s="219">
        <v>70</v>
      </c>
      <c r="C639" s="255">
        <v>263.34710000000001</v>
      </c>
      <c r="D639" s="255">
        <v>263.33980000000003</v>
      </c>
      <c r="E639" s="94"/>
      <c r="F639" s="94"/>
      <c r="G639" s="94"/>
      <c r="H639" s="94"/>
      <c r="I639" s="94"/>
      <c r="J639" s="94"/>
      <c r="K639" s="94"/>
      <c r="L639" s="94"/>
      <c r="M639" s="94"/>
      <c r="N639" s="94"/>
      <c r="O639" s="94"/>
      <c r="P639" s="94"/>
      <c r="Q639" s="94"/>
      <c r="R639" s="94"/>
      <c r="S639" s="94"/>
      <c r="T639" s="94"/>
      <c r="U639" s="94"/>
      <c r="V639" s="94"/>
      <c r="W639" s="94"/>
      <c r="X639" s="94"/>
      <c r="Y639" s="94">
        <f t="shared" si="189"/>
        <v>263.34345000000002</v>
      </c>
      <c r="Z639" s="94">
        <f t="shared" si="194"/>
        <v>263.53540476190472</v>
      </c>
      <c r="AA639" s="94">
        <f t="shared" si="190"/>
        <v>0.19195476190469662</v>
      </c>
      <c r="AB639" s="1">
        <f t="shared" si="191"/>
        <v>10</v>
      </c>
      <c r="AC639" s="1">
        <f t="shared" si="192"/>
        <v>9.5977380952348312</v>
      </c>
      <c r="AD639" s="307">
        <f>SUM(AC625:AC639)</f>
        <v>125.69107142853966</v>
      </c>
    </row>
    <row r="643" spans="1:30" ht="14.25" customHeight="1" x14ac:dyDescent="0.45">
      <c r="A643" s="79">
        <v>36</v>
      </c>
      <c r="B643" s="219">
        <v>0</v>
      </c>
      <c r="C643" s="256">
        <v>263.62700000000001</v>
      </c>
      <c r="D643" s="256">
        <v>263.66129999999998</v>
      </c>
      <c r="E643" s="256">
        <v>263.5249</v>
      </c>
      <c r="F643" s="256">
        <v>263.55119999999999</v>
      </c>
      <c r="G643" s="256">
        <v>263.5684</v>
      </c>
      <c r="H643" s="256">
        <v>263.51400000000001</v>
      </c>
      <c r="I643" s="256">
        <v>263.6234</v>
      </c>
      <c r="J643" s="256">
        <v>263.61270000000002</v>
      </c>
      <c r="K643" s="256">
        <v>263.64159999999998</v>
      </c>
      <c r="L643" s="256">
        <v>263.61579999999998</v>
      </c>
      <c r="M643" s="256">
        <v>263.48700000000002</v>
      </c>
      <c r="N643" s="256">
        <v>263.51299999999998</v>
      </c>
      <c r="O643" s="256">
        <v>263.32740000000001</v>
      </c>
      <c r="P643" s="256">
        <v>263.3811</v>
      </c>
      <c r="Q643" s="94"/>
      <c r="R643" s="94"/>
      <c r="S643" s="94"/>
      <c r="T643" s="94"/>
      <c r="U643" s="94"/>
      <c r="V643" s="94"/>
      <c r="W643" s="94"/>
      <c r="X643" s="94"/>
      <c r="Y643" s="94">
        <f>AVERAGE(C643:X643)</f>
        <v>263.54634285714286</v>
      </c>
      <c r="Z643" s="94">
        <f>Z100-0.1</f>
        <v>263.22529999999989</v>
      </c>
      <c r="AA643" s="94">
        <f t="shared" ref="AA643:AA644" si="195">Z643-Y643</f>
        <v>-0.32104285714297021</v>
      </c>
      <c r="AB643" s="1">
        <f>COUNTIF(C643:X643,"&gt;0")*5</f>
        <v>70</v>
      </c>
      <c r="AC643" s="1">
        <f t="shared" ref="AC643:AC644" si="196">AA643*AB643*5</f>
        <v>-112.36500000003957</v>
      </c>
    </row>
    <row r="644" spans="1:30" ht="14.25" customHeight="1" x14ac:dyDescent="0.45">
      <c r="A644" s="79"/>
      <c r="B644" s="219">
        <v>5</v>
      </c>
      <c r="C644" s="256">
        <v>263.52780000000001</v>
      </c>
      <c r="D644" s="256">
        <v>263.57810000000001</v>
      </c>
      <c r="E644" s="256">
        <v>263.49270000000001</v>
      </c>
      <c r="F644" s="256">
        <v>263.48599999999999</v>
      </c>
      <c r="G644" s="256">
        <v>263.53379999999999</v>
      </c>
      <c r="H644" s="256">
        <v>263.625</v>
      </c>
      <c r="I644" s="256">
        <v>263.55840000000001</v>
      </c>
      <c r="J644" s="256">
        <v>263.56509999999997</v>
      </c>
      <c r="K644" s="256">
        <v>263.55520000000001</v>
      </c>
      <c r="L644" s="256">
        <v>263.5643</v>
      </c>
      <c r="M644" s="256">
        <v>263.483</v>
      </c>
      <c r="N644" s="256">
        <v>263.44450000000001</v>
      </c>
      <c r="O644" s="256">
        <v>263.49619999999999</v>
      </c>
      <c r="P644" s="256">
        <v>263.5659</v>
      </c>
      <c r="Q644" s="94"/>
      <c r="R644" s="94"/>
      <c r="S644" s="94"/>
      <c r="T644" s="94"/>
      <c r="U644" s="94"/>
      <c r="V644" s="94"/>
      <c r="W644" s="94"/>
      <c r="X644" s="94"/>
      <c r="Y644" s="94">
        <f>AVERAGE(C644:X644)</f>
        <v>263.53399999999999</v>
      </c>
      <c r="Z644" s="235">
        <f>Z643</f>
        <v>263.22529999999989</v>
      </c>
      <c r="AA644" s="94">
        <f t="shared" si="195"/>
        <v>-0.30870000000010123</v>
      </c>
      <c r="AB644" s="1">
        <f>COUNTIF(C644:X644,"&gt;0")*5</f>
        <v>70</v>
      </c>
      <c r="AC644" s="1">
        <f t="shared" si="196"/>
        <v>-108.04500000003543</v>
      </c>
      <c r="AD644" s="307">
        <f>SUM(AC643:AC644)</f>
        <v>-220.410000000075</v>
      </c>
    </row>
    <row r="645" spans="1:30" ht="14.25" customHeight="1" x14ac:dyDescent="0.45">
      <c r="A645" s="79"/>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spans="1:30" ht="14.25" customHeight="1" x14ac:dyDescent="0.45">
      <c r="A646" s="79"/>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spans="1:30" ht="14.25" customHeight="1" x14ac:dyDescent="0.45">
      <c r="A647" s="79"/>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spans="1:30" ht="14.25" customHeight="1" x14ac:dyDescent="0.45">
      <c r="A648" s="79">
        <v>37</v>
      </c>
      <c r="B648" s="219">
        <v>0</v>
      </c>
      <c r="C648" s="257">
        <v>263.5847</v>
      </c>
      <c r="D648" s="257">
        <v>263.56920000000002</v>
      </c>
      <c r="E648" s="94"/>
      <c r="F648" s="94"/>
      <c r="G648" s="94"/>
      <c r="H648" s="94"/>
      <c r="I648" s="94"/>
      <c r="J648" s="94"/>
      <c r="K648" s="94"/>
      <c r="L648" s="94"/>
      <c r="M648" s="94"/>
      <c r="N648" s="94"/>
      <c r="O648" s="94"/>
      <c r="P648" s="94"/>
      <c r="Q648" s="94"/>
      <c r="R648" s="94"/>
      <c r="S648" s="94"/>
      <c r="T648" s="94"/>
      <c r="U648" s="94"/>
      <c r="V648" s="94"/>
      <c r="W648" s="94"/>
      <c r="X648" s="94"/>
      <c r="Y648" s="94">
        <f t="shared" ref="Y648:Y663" si="197">AVERAGE(C648:X648)</f>
        <v>263.57695000000001</v>
      </c>
      <c r="Z648" s="94">
        <f t="shared" ref="Z648:Z653" si="198">Z649-5/100</f>
        <v>263.15006666666653</v>
      </c>
      <c r="AA648" s="94">
        <f t="shared" ref="AA648:AA662" si="199">Z648-Y648</f>
        <v>-0.42688333333347828</v>
      </c>
      <c r="AB648" s="1">
        <f t="shared" ref="AB648:AB662" si="200">COUNTIF(C648:X648,"&gt;0")*5</f>
        <v>10</v>
      </c>
      <c r="AC648" s="1">
        <f t="shared" ref="AC648:AC662" si="201">AA648*AB648*5</f>
        <v>-21.344166666673914</v>
      </c>
    </row>
    <row r="649" spans="1:30" ht="14.25" customHeight="1" x14ac:dyDescent="0.45">
      <c r="A649" s="79"/>
      <c r="B649" s="219">
        <v>5</v>
      </c>
      <c r="C649" s="257">
        <v>263.5684</v>
      </c>
      <c r="D649" s="257">
        <v>263.55169999999998</v>
      </c>
      <c r="E649" s="94"/>
      <c r="F649" s="94"/>
      <c r="G649" s="94"/>
      <c r="H649" s="94"/>
      <c r="I649" s="94"/>
      <c r="J649" s="94"/>
      <c r="K649" s="94"/>
      <c r="L649" s="94"/>
      <c r="M649" s="94"/>
      <c r="N649" s="94"/>
      <c r="O649" s="94"/>
      <c r="P649" s="94"/>
      <c r="Q649" s="94"/>
      <c r="R649" s="94"/>
      <c r="S649" s="94"/>
      <c r="T649" s="94"/>
      <c r="U649" s="94"/>
      <c r="V649" s="94"/>
      <c r="W649" s="94"/>
      <c r="X649" s="94"/>
      <c r="Y649" s="94">
        <f t="shared" si="197"/>
        <v>263.56004999999999</v>
      </c>
      <c r="Z649" s="94">
        <f t="shared" si="198"/>
        <v>263.20006666666654</v>
      </c>
      <c r="AA649" s="94">
        <f t="shared" si="199"/>
        <v>-0.3599833333334459</v>
      </c>
      <c r="AB649" s="1">
        <f t="shared" si="200"/>
        <v>10</v>
      </c>
      <c r="AC649" s="1">
        <f t="shared" si="201"/>
        <v>-17.999166666672295</v>
      </c>
    </row>
    <row r="650" spans="1:30" ht="14.25" customHeight="1" x14ac:dyDescent="0.45">
      <c r="A650" s="79"/>
      <c r="B650" s="219">
        <v>10</v>
      </c>
      <c r="C650" s="257">
        <v>263.59469999999999</v>
      </c>
      <c r="D650" s="257">
        <v>263.58670000000001</v>
      </c>
      <c r="E650" s="94"/>
      <c r="F650" s="94"/>
      <c r="G650" s="94"/>
      <c r="H650" s="94"/>
      <c r="I650" s="94"/>
      <c r="J650" s="94"/>
      <c r="K650" s="94"/>
      <c r="L650" s="94"/>
      <c r="M650" s="94"/>
      <c r="N650" s="94"/>
      <c r="O650" s="94"/>
      <c r="P650" s="94"/>
      <c r="Q650" s="94"/>
      <c r="R650" s="94"/>
      <c r="S650" s="94"/>
      <c r="T650" s="94"/>
      <c r="U650" s="94"/>
      <c r="V650" s="94"/>
      <c r="W650" s="94"/>
      <c r="X650" s="94"/>
      <c r="Y650" s="94">
        <f t="shared" si="197"/>
        <v>263.59069999999997</v>
      </c>
      <c r="Z650" s="94">
        <f t="shared" si="198"/>
        <v>263.25006666666656</v>
      </c>
      <c r="AA650" s="94">
        <f t="shared" si="199"/>
        <v>-0.34063333333341461</v>
      </c>
      <c r="AB650" s="1">
        <f t="shared" si="200"/>
        <v>10</v>
      </c>
      <c r="AC650" s="1">
        <f t="shared" si="201"/>
        <v>-17.031666666670731</v>
      </c>
    </row>
    <row r="651" spans="1:30" ht="14.25" customHeight="1" x14ac:dyDescent="0.45">
      <c r="A651" s="79"/>
      <c r="B651" s="219">
        <v>15</v>
      </c>
      <c r="C651" s="257">
        <v>263.52330000000001</v>
      </c>
      <c r="D651" s="257">
        <v>263.46510000000001</v>
      </c>
      <c r="E651" s="94"/>
      <c r="F651" s="94"/>
      <c r="G651" s="94"/>
      <c r="H651" s="94"/>
      <c r="I651" s="94"/>
      <c r="J651" s="94"/>
      <c r="K651" s="94"/>
      <c r="L651" s="94"/>
      <c r="M651" s="94"/>
      <c r="N651" s="94"/>
      <c r="O651" s="94"/>
      <c r="P651" s="94"/>
      <c r="Q651" s="94"/>
      <c r="R651" s="94"/>
      <c r="S651" s="94"/>
      <c r="T651" s="94"/>
      <c r="U651" s="94"/>
      <c r="V651" s="94"/>
      <c r="W651" s="94"/>
      <c r="X651" s="94"/>
      <c r="Y651" s="94">
        <f t="shared" si="197"/>
        <v>263.49419999999998</v>
      </c>
      <c r="Z651" s="94">
        <f t="shared" si="198"/>
        <v>263.30006666666657</v>
      </c>
      <c r="AA651" s="94">
        <f t="shared" si="199"/>
        <v>-0.19413333333341143</v>
      </c>
      <c r="AB651" s="1">
        <f t="shared" si="200"/>
        <v>10</v>
      </c>
      <c r="AC651" s="1">
        <f t="shared" si="201"/>
        <v>-9.7066666666705714</v>
      </c>
    </row>
    <row r="652" spans="1:30" ht="14.25" customHeight="1" x14ac:dyDescent="0.45">
      <c r="A652" s="79"/>
      <c r="B652" s="219">
        <v>20</v>
      </c>
      <c r="C652" s="257">
        <v>263.387</v>
      </c>
      <c r="D652" s="257">
        <v>263.51510000000002</v>
      </c>
      <c r="E652" s="94"/>
      <c r="F652" s="94"/>
      <c r="G652" s="94"/>
      <c r="H652" s="94"/>
      <c r="I652" s="94"/>
      <c r="J652" s="94"/>
      <c r="K652" s="94"/>
      <c r="L652" s="94"/>
      <c r="M652" s="94"/>
      <c r="N652" s="94"/>
      <c r="O652" s="94"/>
      <c r="P652" s="94"/>
      <c r="Q652" s="94"/>
      <c r="R652" s="94"/>
      <c r="S652" s="94"/>
      <c r="T652" s="94"/>
      <c r="U652" s="94"/>
      <c r="V652" s="94"/>
      <c r="W652" s="94"/>
      <c r="X652" s="94"/>
      <c r="Y652" s="94">
        <f t="shared" si="197"/>
        <v>263.45105000000001</v>
      </c>
      <c r="Z652" s="94">
        <f t="shared" si="198"/>
        <v>263.35006666666658</v>
      </c>
      <c r="AA652" s="94">
        <f t="shared" si="199"/>
        <v>-0.10098333333343135</v>
      </c>
      <c r="AB652" s="1">
        <f t="shared" si="200"/>
        <v>10</v>
      </c>
      <c r="AC652" s="1">
        <f t="shared" si="201"/>
        <v>-5.0491666666715673</v>
      </c>
    </row>
    <row r="653" spans="1:30" ht="14.25" customHeight="1" x14ac:dyDescent="0.45">
      <c r="A653" s="79"/>
      <c r="B653" s="219">
        <v>25</v>
      </c>
      <c r="C653" s="257">
        <v>263.48790000000002</v>
      </c>
      <c r="D653" s="257">
        <v>263.40539999999999</v>
      </c>
      <c r="E653" s="94"/>
      <c r="F653" s="94"/>
      <c r="G653" s="94"/>
      <c r="H653" s="94"/>
      <c r="I653" s="94"/>
      <c r="J653" s="94"/>
      <c r="K653" s="94"/>
      <c r="L653" s="94"/>
      <c r="M653" s="94"/>
      <c r="N653" s="94"/>
      <c r="O653" s="94"/>
      <c r="P653" s="94"/>
      <c r="Q653" s="94"/>
      <c r="R653" s="94"/>
      <c r="S653" s="94"/>
      <c r="T653" s="94"/>
      <c r="U653" s="94"/>
      <c r="V653" s="94"/>
      <c r="W653" s="94"/>
      <c r="X653" s="94"/>
      <c r="Y653" s="94">
        <f t="shared" si="197"/>
        <v>263.44664999999998</v>
      </c>
      <c r="Z653" s="94">
        <f t="shared" si="198"/>
        <v>263.40006666666659</v>
      </c>
      <c r="AA653" s="94">
        <f t="shared" si="199"/>
        <v>-4.65833333333876E-2</v>
      </c>
      <c r="AB653" s="1">
        <f t="shared" si="200"/>
        <v>10</v>
      </c>
      <c r="AC653" s="1">
        <f t="shared" si="201"/>
        <v>-2.32916666666938</v>
      </c>
    </row>
    <row r="654" spans="1:30" ht="14.25" customHeight="1" x14ac:dyDescent="0.45">
      <c r="A654" s="79"/>
      <c r="B654" s="219">
        <v>30</v>
      </c>
      <c r="C654" s="257">
        <v>263.53730000000002</v>
      </c>
      <c r="D654" s="257">
        <v>263.29590000000002</v>
      </c>
      <c r="E654" s="94"/>
      <c r="F654" s="94"/>
      <c r="G654" s="94"/>
      <c r="H654" s="94"/>
      <c r="I654" s="94"/>
      <c r="J654" s="94"/>
      <c r="K654" s="94"/>
      <c r="L654" s="94"/>
      <c r="M654" s="94"/>
      <c r="N654" s="94"/>
      <c r="O654" s="94"/>
      <c r="P654" s="94"/>
      <c r="Q654" s="94"/>
      <c r="R654" s="94"/>
      <c r="S654" s="94"/>
      <c r="T654" s="94"/>
      <c r="U654" s="94"/>
      <c r="V654" s="94"/>
      <c r="W654" s="94"/>
      <c r="X654" s="94"/>
      <c r="Y654" s="94">
        <f t="shared" si="197"/>
        <v>263.41660000000002</v>
      </c>
      <c r="Z654" s="94">
        <f>Z655-5/100</f>
        <v>263.4500666666666</v>
      </c>
      <c r="AA654" s="94">
        <f t="shared" si="199"/>
        <v>3.3466666666583933E-2</v>
      </c>
      <c r="AB654" s="1">
        <f t="shared" si="200"/>
        <v>10</v>
      </c>
      <c r="AC654" s="1">
        <f t="shared" si="201"/>
        <v>1.6733333333291966</v>
      </c>
    </row>
    <row r="655" spans="1:30" ht="14.25" customHeight="1" x14ac:dyDescent="0.45">
      <c r="A655" s="79"/>
      <c r="B655" s="219">
        <v>35</v>
      </c>
      <c r="C655" s="257">
        <v>263.30399999999997</v>
      </c>
      <c r="D655" s="257">
        <v>263.01740000000001</v>
      </c>
      <c r="E655" s="94"/>
      <c r="F655" s="94"/>
      <c r="G655" s="94"/>
      <c r="H655" s="94"/>
      <c r="I655" s="94"/>
      <c r="J655" s="94"/>
      <c r="K655" s="94"/>
      <c r="L655" s="94"/>
      <c r="M655" s="94"/>
      <c r="N655" s="94"/>
      <c r="O655" s="94"/>
      <c r="P655" s="94"/>
      <c r="Q655" s="94"/>
      <c r="R655" s="94"/>
      <c r="S655" s="94"/>
      <c r="T655" s="94"/>
      <c r="U655" s="94"/>
      <c r="V655" s="94"/>
      <c r="W655" s="94"/>
      <c r="X655" s="94"/>
      <c r="Y655" s="94">
        <f t="shared" si="197"/>
        <v>263.16070000000002</v>
      </c>
      <c r="Z655" s="94">
        <f t="shared" ref="Z655:Z661" si="202">Z656+5/100</f>
        <v>263.50006666666661</v>
      </c>
      <c r="AA655" s="94">
        <f t="shared" si="199"/>
        <v>0.33936666666659221</v>
      </c>
      <c r="AB655" s="1">
        <f t="shared" si="200"/>
        <v>10</v>
      </c>
      <c r="AC655" s="1">
        <f t="shared" si="201"/>
        <v>16.96833333332961</v>
      </c>
    </row>
    <row r="656" spans="1:30" ht="14.25" customHeight="1" x14ac:dyDescent="0.45">
      <c r="A656" s="79"/>
      <c r="B656" s="219">
        <v>40</v>
      </c>
      <c r="C656" s="257">
        <v>263.59219999999999</v>
      </c>
      <c r="D656" s="257">
        <v>263.7115</v>
      </c>
      <c r="E656" s="94"/>
      <c r="F656" s="94"/>
      <c r="G656" s="94"/>
      <c r="H656" s="94"/>
      <c r="I656" s="94"/>
      <c r="J656" s="94"/>
      <c r="K656" s="94"/>
      <c r="L656" s="94"/>
      <c r="M656" s="94"/>
      <c r="N656" s="94"/>
      <c r="O656" s="94"/>
      <c r="P656" s="94"/>
      <c r="Q656" s="94"/>
      <c r="R656" s="94"/>
      <c r="S656" s="94"/>
      <c r="T656" s="94"/>
      <c r="U656" s="94"/>
      <c r="V656" s="94"/>
      <c r="W656" s="94"/>
      <c r="X656" s="94"/>
      <c r="Y656" s="94">
        <f t="shared" si="197"/>
        <v>263.65184999999997</v>
      </c>
      <c r="Z656" s="94">
        <f t="shared" si="202"/>
        <v>263.4500666666666</v>
      </c>
      <c r="AA656" s="94">
        <f t="shared" si="199"/>
        <v>-0.20178333333336695</v>
      </c>
      <c r="AB656" s="1">
        <f t="shared" si="200"/>
        <v>10</v>
      </c>
      <c r="AC656" s="1">
        <f t="shared" si="201"/>
        <v>-10.089166666668348</v>
      </c>
    </row>
    <row r="657" spans="1:30" ht="14.25" customHeight="1" x14ac:dyDescent="0.45">
      <c r="A657" s="79"/>
      <c r="B657" s="219">
        <v>45</v>
      </c>
      <c r="C657" s="257">
        <v>263.63339999999999</v>
      </c>
      <c r="D657" s="257">
        <v>263.63290000000001</v>
      </c>
      <c r="E657" s="94"/>
      <c r="F657" s="94"/>
      <c r="G657" s="94"/>
      <c r="H657" s="94"/>
      <c r="I657" s="94"/>
      <c r="J657" s="94"/>
      <c r="K657" s="94"/>
      <c r="L657" s="94"/>
      <c r="M657" s="94"/>
      <c r="N657" s="94"/>
      <c r="O657" s="94"/>
      <c r="P657" s="94"/>
      <c r="Q657" s="94"/>
      <c r="R657" s="94"/>
      <c r="S657" s="94"/>
      <c r="T657" s="94"/>
      <c r="U657" s="94"/>
      <c r="V657" s="94"/>
      <c r="W657" s="94"/>
      <c r="X657" s="94"/>
      <c r="Y657" s="94">
        <f t="shared" si="197"/>
        <v>263.63315</v>
      </c>
      <c r="Z657" s="94">
        <f t="shared" si="202"/>
        <v>263.40006666666659</v>
      </c>
      <c r="AA657" s="94">
        <f t="shared" si="199"/>
        <v>-0.23308333333341125</v>
      </c>
      <c r="AB657" s="1">
        <f t="shared" si="200"/>
        <v>10</v>
      </c>
      <c r="AC657" s="1">
        <f t="shared" si="201"/>
        <v>-11.654166666670562</v>
      </c>
    </row>
    <row r="658" spans="1:30" ht="14.25" customHeight="1" x14ac:dyDescent="0.45">
      <c r="A658" s="79"/>
      <c r="B658" s="219">
        <v>50</v>
      </c>
      <c r="C658" s="257">
        <v>263.68389999999999</v>
      </c>
      <c r="D658" s="257">
        <v>263.67930000000001</v>
      </c>
      <c r="E658" s="94"/>
      <c r="F658" s="94"/>
      <c r="G658" s="94"/>
      <c r="H658" s="94"/>
      <c r="I658" s="94"/>
      <c r="J658" s="94"/>
      <c r="K658" s="94"/>
      <c r="L658" s="94"/>
      <c r="M658" s="94"/>
      <c r="N658" s="94"/>
      <c r="O658" s="94"/>
      <c r="P658" s="94"/>
      <c r="Q658" s="94"/>
      <c r="R658" s="94"/>
      <c r="S658" s="94"/>
      <c r="T658" s="94"/>
      <c r="U658" s="94"/>
      <c r="V658" s="94"/>
      <c r="W658" s="94"/>
      <c r="X658" s="94"/>
      <c r="Y658" s="94">
        <f t="shared" si="197"/>
        <v>263.6816</v>
      </c>
      <c r="Z658" s="94">
        <f t="shared" si="202"/>
        <v>263.35006666666658</v>
      </c>
      <c r="AA658" s="94">
        <f t="shared" si="199"/>
        <v>-0.33153333333342516</v>
      </c>
      <c r="AB658" s="1">
        <f t="shared" si="200"/>
        <v>10</v>
      </c>
      <c r="AC658" s="1">
        <f t="shared" si="201"/>
        <v>-16.576666666671258</v>
      </c>
    </row>
    <row r="659" spans="1:30" ht="14.25" customHeight="1" x14ac:dyDescent="0.45">
      <c r="A659" s="79"/>
      <c r="B659" s="219">
        <v>55</v>
      </c>
      <c r="C659" s="257">
        <v>263.39729999999997</v>
      </c>
      <c r="D659" s="257">
        <v>263.45679999999999</v>
      </c>
      <c r="E659" s="94"/>
      <c r="F659" s="94"/>
      <c r="G659" s="94"/>
      <c r="H659" s="94"/>
      <c r="I659" s="94"/>
      <c r="J659" s="94"/>
      <c r="K659" s="94"/>
      <c r="L659" s="94"/>
      <c r="M659" s="94"/>
      <c r="N659" s="94"/>
      <c r="O659" s="94"/>
      <c r="P659" s="94"/>
      <c r="Q659" s="94"/>
      <c r="R659" s="94"/>
      <c r="S659" s="94"/>
      <c r="T659" s="94"/>
      <c r="U659" s="94"/>
      <c r="V659" s="94"/>
      <c r="W659" s="94"/>
      <c r="X659" s="94"/>
      <c r="Y659" s="94">
        <f t="shared" si="197"/>
        <v>263.42705000000001</v>
      </c>
      <c r="Z659" s="94">
        <f t="shared" si="202"/>
        <v>263.30006666666657</v>
      </c>
      <c r="AA659" s="94">
        <f t="shared" si="199"/>
        <v>-0.12698333333344181</v>
      </c>
      <c r="AB659" s="1">
        <f t="shared" si="200"/>
        <v>10</v>
      </c>
      <c r="AC659" s="1">
        <f t="shared" si="201"/>
        <v>-6.3491666666720903</v>
      </c>
    </row>
    <row r="660" spans="1:30" ht="14.25" customHeight="1" x14ac:dyDescent="0.45">
      <c r="A660" s="79"/>
      <c r="B660" s="219">
        <v>60</v>
      </c>
      <c r="C660" s="257">
        <v>263.32920000000001</v>
      </c>
      <c r="D660" s="257">
        <v>263.5127</v>
      </c>
      <c r="E660" s="94"/>
      <c r="F660" s="94"/>
      <c r="G660" s="94"/>
      <c r="H660" s="94"/>
      <c r="I660" s="94"/>
      <c r="J660" s="94"/>
      <c r="K660" s="94"/>
      <c r="L660" s="94"/>
      <c r="M660" s="94"/>
      <c r="N660" s="94"/>
      <c r="O660" s="94"/>
      <c r="P660" s="94"/>
      <c r="Q660" s="94"/>
      <c r="R660" s="94"/>
      <c r="S660" s="94"/>
      <c r="T660" s="94"/>
      <c r="U660" s="94"/>
      <c r="V660" s="94"/>
      <c r="W660" s="94"/>
      <c r="X660" s="94"/>
      <c r="Y660" s="94">
        <f t="shared" si="197"/>
        <v>263.42095</v>
      </c>
      <c r="Z660" s="94">
        <f t="shared" si="202"/>
        <v>263.25006666666656</v>
      </c>
      <c r="AA660" s="94">
        <f t="shared" si="199"/>
        <v>-0.17088333333344963</v>
      </c>
      <c r="AB660" s="1">
        <f t="shared" si="200"/>
        <v>10</v>
      </c>
      <c r="AC660" s="1">
        <f t="shared" si="201"/>
        <v>-8.5441666666724814</v>
      </c>
    </row>
    <row r="661" spans="1:30" ht="14.25" customHeight="1" x14ac:dyDescent="0.45">
      <c r="A661" s="79"/>
      <c r="B661" s="219">
        <v>65</v>
      </c>
      <c r="C661" s="257">
        <v>263.57190000000003</v>
      </c>
      <c r="D661" s="257">
        <v>263.642</v>
      </c>
      <c r="E661" s="94"/>
      <c r="F661" s="94"/>
      <c r="G661" s="94"/>
      <c r="H661" s="94"/>
      <c r="I661" s="94"/>
      <c r="J661" s="94"/>
      <c r="K661" s="94"/>
      <c r="L661" s="94"/>
      <c r="M661" s="94"/>
      <c r="N661" s="94"/>
      <c r="O661" s="94"/>
      <c r="P661" s="94"/>
      <c r="Q661" s="94"/>
      <c r="R661" s="94"/>
      <c r="S661" s="94"/>
      <c r="T661" s="94"/>
      <c r="U661" s="94"/>
      <c r="V661" s="94"/>
      <c r="W661" s="94"/>
      <c r="X661" s="94"/>
      <c r="Y661" s="94">
        <f t="shared" si="197"/>
        <v>263.60694999999998</v>
      </c>
      <c r="Z661" s="94">
        <f t="shared" si="202"/>
        <v>263.20006666666654</v>
      </c>
      <c r="AA661" s="94">
        <f t="shared" si="199"/>
        <v>-0.40688333333343962</v>
      </c>
      <c r="AB661" s="1">
        <f t="shared" si="200"/>
        <v>10</v>
      </c>
      <c r="AC661" s="1">
        <f t="shared" si="201"/>
        <v>-20.344166666671981</v>
      </c>
    </row>
    <row r="662" spans="1:30" ht="14.25" customHeight="1" x14ac:dyDescent="0.45">
      <c r="A662" s="79"/>
      <c r="B662" s="219">
        <v>70</v>
      </c>
      <c r="C662" s="257">
        <v>263.53919999999999</v>
      </c>
      <c r="D662" s="257">
        <v>263.54419999999999</v>
      </c>
      <c r="E662" s="94"/>
      <c r="F662" s="94"/>
      <c r="G662" s="94"/>
      <c r="H662" s="94"/>
      <c r="I662" s="94"/>
      <c r="J662" s="94"/>
      <c r="K662" s="94"/>
      <c r="L662" s="94"/>
      <c r="M662" s="94"/>
      <c r="N662" s="94"/>
      <c r="O662" s="94"/>
      <c r="P662" s="94"/>
      <c r="Q662" s="94"/>
      <c r="R662" s="94"/>
      <c r="S662" s="94"/>
      <c r="T662" s="94"/>
      <c r="U662" s="94"/>
      <c r="V662" s="94"/>
      <c r="W662" s="94"/>
      <c r="X662" s="94"/>
      <c r="Y662" s="94">
        <f t="shared" si="197"/>
        <v>263.54169999999999</v>
      </c>
      <c r="Z662" s="94">
        <f>Z663+5/100</f>
        <v>263.15006666666653</v>
      </c>
      <c r="AA662" s="94">
        <f t="shared" si="199"/>
        <v>-0.39163333333345918</v>
      </c>
      <c r="AB662" s="1">
        <f t="shared" si="200"/>
        <v>10</v>
      </c>
      <c r="AC662" s="1">
        <f t="shared" si="201"/>
        <v>-19.581666666672959</v>
      </c>
    </row>
    <row r="663" spans="1:30" ht="14.25" customHeight="1" x14ac:dyDescent="0.45">
      <c r="A663" s="79"/>
      <c r="B663" s="219">
        <v>75</v>
      </c>
      <c r="C663" s="257">
        <v>263.33949999999999</v>
      </c>
      <c r="D663" s="257">
        <v>263.4194</v>
      </c>
      <c r="E663" s="94"/>
      <c r="F663" s="94"/>
      <c r="G663" s="94"/>
      <c r="H663" s="94"/>
      <c r="I663" s="94"/>
      <c r="J663" s="94"/>
      <c r="K663" s="94"/>
      <c r="L663" s="94"/>
      <c r="M663" s="94"/>
      <c r="N663" s="94"/>
      <c r="O663" s="94"/>
      <c r="P663" s="94"/>
      <c r="Q663" s="94"/>
      <c r="R663" s="94"/>
      <c r="S663" s="94"/>
      <c r="T663" s="94"/>
      <c r="U663" s="94"/>
      <c r="V663" s="94"/>
      <c r="W663" s="94"/>
      <c r="X663" s="94"/>
      <c r="Y663" s="94">
        <f t="shared" si="197"/>
        <v>263.37945000000002</v>
      </c>
      <c r="Z663" s="235">
        <f>Z82-0.04</f>
        <v>263.10006666666652</v>
      </c>
      <c r="AA663" s="94">
        <f t="shared" ref="AA663" si="203">Z663-Y663</f>
        <v>-0.27938333333349874</v>
      </c>
      <c r="AB663" s="1">
        <f t="shared" ref="AB663" si="204">COUNTIF(C663:X663,"&gt;0")*5</f>
        <v>10</v>
      </c>
      <c r="AC663" s="1">
        <f t="shared" ref="AC663" si="205">AA663*AB663*5</f>
        <v>-13.969166666674937</v>
      </c>
      <c r="AD663" s="307">
        <f>SUM(AC648:AC663)</f>
        <v>-161.92666666674427</v>
      </c>
    </row>
    <row r="664" spans="1:30" ht="14.25" customHeight="1" x14ac:dyDescent="0.45">
      <c r="A664" s="79"/>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spans="1:30" ht="14.25" customHeight="1" x14ac:dyDescent="0.45">
      <c r="A665" s="79"/>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spans="1:30" ht="14.25" customHeight="1" x14ac:dyDescent="0.45">
      <c r="A666" s="79"/>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spans="1:30" ht="14.25" customHeight="1" x14ac:dyDescent="0.45">
      <c r="A667" s="79">
        <v>38</v>
      </c>
      <c r="B667" s="219">
        <v>0</v>
      </c>
      <c r="C667" s="258">
        <v>263.52820000000003</v>
      </c>
      <c r="D667" s="258">
        <v>263.57049999999998</v>
      </c>
      <c r="E667" s="258">
        <v>263.5967</v>
      </c>
      <c r="F667" s="258">
        <v>263.1651</v>
      </c>
      <c r="G667" s="258">
        <v>263.23340000000002</v>
      </c>
      <c r="H667" s="258">
        <v>263.2176</v>
      </c>
      <c r="I667" s="258">
        <v>263.19380000000001</v>
      </c>
      <c r="J667" s="94"/>
      <c r="K667" s="94"/>
      <c r="L667" s="94"/>
      <c r="M667" s="94"/>
      <c r="N667" s="94"/>
      <c r="O667" s="94"/>
      <c r="P667" s="94"/>
      <c r="Q667" s="94"/>
      <c r="R667" s="94"/>
      <c r="S667" s="94"/>
      <c r="T667" s="94"/>
      <c r="U667" s="94"/>
      <c r="V667" s="94"/>
      <c r="W667" s="94"/>
      <c r="X667" s="94"/>
      <c r="Y667" s="94">
        <f>AVERAGE(C667:X667)</f>
        <v>263.35790000000003</v>
      </c>
      <c r="Z667" s="235">
        <f>Z82-0.1</f>
        <v>263.04006666666652</v>
      </c>
      <c r="AA667" s="94">
        <f t="shared" ref="AA667:AA668" si="206">Z667-Y667</f>
        <v>-0.31783333333351038</v>
      </c>
      <c r="AB667" s="1">
        <f>COUNTIF(C667:X667,"&gt;0")*5</f>
        <v>35</v>
      </c>
      <c r="AC667" s="1">
        <f t="shared" ref="AC667:AC668" si="207">AA667*AB667*5</f>
        <v>-55.620833333364317</v>
      </c>
    </row>
    <row r="668" spans="1:30" ht="14.25" customHeight="1" x14ac:dyDescent="0.45">
      <c r="A668" s="79"/>
      <c r="B668" s="219">
        <v>5</v>
      </c>
      <c r="C668" s="258">
        <v>263.55160000000001</v>
      </c>
      <c r="D668" s="258">
        <v>263.51830000000001</v>
      </c>
      <c r="E668" s="258">
        <v>263.60559999999998</v>
      </c>
      <c r="F668" s="258">
        <v>263.09829999999999</v>
      </c>
      <c r="G668" s="258">
        <v>263.19439999999997</v>
      </c>
      <c r="H668" s="258">
        <v>263.1687</v>
      </c>
      <c r="I668" s="258">
        <v>263.09160000000003</v>
      </c>
      <c r="J668" s="94"/>
      <c r="K668" s="94"/>
      <c r="L668" s="94"/>
      <c r="M668" s="94"/>
      <c r="N668" s="94"/>
      <c r="O668" s="94"/>
      <c r="P668" s="94"/>
      <c r="Q668" s="94"/>
      <c r="R668" s="94"/>
      <c r="S668" s="94"/>
      <c r="T668" s="94"/>
      <c r="U668" s="94"/>
      <c r="V668" s="94"/>
      <c r="W668" s="94"/>
      <c r="X668" s="94"/>
      <c r="Y668" s="94">
        <f>AVERAGE(C668:X668)</f>
        <v>263.31835714285711</v>
      </c>
      <c r="Z668" s="94">
        <f>Z667</f>
        <v>263.04006666666652</v>
      </c>
      <c r="AA668" s="94">
        <f t="shared" si="206"/>
        <v>-0.27829047619059111</v>
      </c>
      <c r="AB668" s="1">
        <f>COUNTIF(C668:X668,"&gt;0")*5</f>
        <v>35</v>
      </c>
      <c r="AC668" s="1">
        <f t="shared" si="207"/>
        <v>-48.700833333353444</v>
      </c>
      <c r="AD668" s="306">
        <f>SUM(AC667:AC668)</f>
        <v>-104.32166666671776</v>
      </c>
    </row>
    <row r="669" spans="1:30" ht="14.25" customHeight="1" x14ac:dyDescent="0.45">
      <c r="A669" s="79"/>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spans="1:30" ht="14.25" customHeight="1" x14ac:dyDescent="0.45">
      <c r="A670" s="79"/>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spans="1:30" ht="14.25" customHeight="1" x14ac:dyDescent="0.45">
      <c r="A671" s="79">
        <v>39</v>
      </c>
      <c r="B671" s="219">
        <v>0</v>
      </c>
      <c r="C671" s="259">
        <v>263.19389999999999</v>
      </c>
      <c r="D671" s="259">
        <v>263.22070000000002</v>
      </c>
      <c r="E671" s="259">
        <v>263.21870000000001</v>
      </c>
      <c r="F671" s="259">
        <v>263.15309999999999</v>
      </c>
      <c r="G671" s="259">
        <v>263.12130000000002</v>
      </c>
      <c r="H671" s="259">
        <v>263.02319999999997</v>
      </c>
      <c r="I671" s="259">
        <v>263.07170000000002</v>
      </c>
      <c r="J671" s="259">
        <v>263.15249999999997</v>
      </c>
      <c r="K671" s="259">
        <v>263.14400000000001</v>
      </c>
      <c r="L671" s="259">
        <v>263.13150000000002</v>
      </c>
      <c r="M671" s="94"/>
      <c r="N671" s="94"/>
      <c r="O671" s="94"/>
      <c r="P671" s="94"/>
      <c r="Q671" s="94"/>
      <c r="R671" s="94"/>
      <c r="S671" s="94"/>
      <c r="T671" s="94"/>
      <c r="U671" s="94"/>
      <c r="V671" s="94"/>
      <c r="W671" s="94"/>
      <c r="X671" s="94"/>
      <c r="Y671" s="94">
        <f>AVERAGE(C671:X671)</f>
        <v>263.14305999999999</v>
      </c>
      <c r="Z671" s="235">
        <f>Z116-0.1</f>
        <v>263.04016666666649</v>
      </c>
      <c r="AA671" s="94">
        <f t="shared" ref="AA671:AA672" si="208">Z671-Y671</f>
        <v>-0.10289333333349759</v>
      </c>
      <c r="AB671" s="1">
        <f>COUNTIF(C671:X671,"&gt;0")*5</f>
        <v>50</v>
      </c>
      <c r="AC671" s="1">
        <f t="shared" ref="AC671:AC672" si="209">AA671*AB671*5</f>
        <v>-25.723333333374399</v>
      </c>
    </row>
    <row r="672" spans="1:30" ht="14.25" customHeight="1" x14ac:dyDescent="0.45">
      <c r="A672" s="79"/>
      <c r="B672" s="219">
        <v>5</v>
      </c>
      <c r="C672" s="259">
        <v>263.166</v>
      </c>
      <c r="D672" s="259">
        <v>263.1771</v>
      </c>
      <c r="E672" s="259">
        <v>263.1447</v>
      </c>
      <c r="F672" s="259">
        <v>263.16910000000001</v>
      </c>
      <c r="G672" s="259">
        <v>263.15699999999998</v>
      </c>
      <c r="H672" s="259">
        <v>263.12009999999998</v>
      </c>
      <c r="I672" s="259">
        <v>263.04379999999998</v>
      </c>
      <c r="J672" s="259">
        <v>263.07560000000001</v>
      </c>
      <c r="K672" s="259">
        <v>263.10789999999997</v>
      </c>
      <c r="L672" s="259">
        <v>263.10329999999999</v>
      </c>
      <c r="M672" s="94"/>
      <c r="N672" s="94"/>
      <c r="O672" s="94"/>
      <c r="P672" s="94"/>
      <c r="Q672" s="94"/>
      <c r="R672" s="94"/>
      <c r="S672" s="94"/>
      <c r="T672" s="94"/>
      <c r="U672" s="94"/>
      <c r="V672" s="94"/>
      <c r="W672" s="94"/>
      <c r="X672" s="94"/>
      <c r="Y672" s="94">
        <f>AVERAGE(C672:X672)</f>
        <v>263.12646000000007</v>
      </c>
      <c r="Z672" s="94">
        <f>Z671</f>
        <v>263.04016666666649</v>
      </c>
      <c r="AA672" s="94">
        <f t="shared" si="208"/>
        <v>-8.6293333333571809E-2</v>
      </c>
      <c r="AB672" s="1">
        <f>COUNTIF(C672:X672,"&gt;0")*5</f>
        <v>50</v>
      </c>
      <c r="AC672" s="1">
        <f t="shared" si="209"/>
        <v>-21.573333333392952</v>
      </c>
      <c r="AD672" s="306">
        <f>SUM(AC671:AC672)</f>
        <v>-47.296666666767351</v>
      </c>
    </row>
    <row r="675" spans="1:29" ht="14.25" customHeight="1" x14ac:dyDescent="0.45">
      <c r="A675" s="79">
        <v>40</v>
      </c>
      <c r="B675" s="219">
        <v>0</v>
      </c>
      <c r="C675" s="260">
        <v>263.47059999999999</v>
      </c>
      <c r="D675" s="260">
        <v>263.41750000000002</v>
      </c>
      <c r="E675" s="94"/>
      <c r="F675" s="94"/>
      <c r="G675" s="94"/>
      <c r="H675" s="94"/>
      <c r="I675" s="94"/>
      <c r="J675" s="94"/>
      <c r="K675" s="94"/>
      <c r="L675" s="94"/>
      <c r="M675" s="94"/>
      <c r="N675" s="94"/>
      <c r="O675" s="94"/>
      <c r="P675" s="94"/>
      <c r="Q675" s="94"/>
      <c r="R675" s="94"/>
      <c r="S675" s="94"/>
      <c r="T675" s="94"/>
      <c r="U675" s="94"/>
      <c r="V675" s="94"/>
      <c r="W675" s="94"/>
      <c r="X675" s="94"/>
      <c r="Y675" s="94">
        <f t="shared" ref="Y675:Y690" si="210">AVERAGE(C675:X675)</f>
        <v>263.44405</v>
      </c>
      <c r="Z675" s="94">
        <f t="shared" ref="Z675:Z679" si="211">Z676-5/100</f>
        <v>263.19006666666655</v>
      </c>
      <c r="AA675" s="94">
        <f t="shared" ref="AA675:AA689" si="212">Z675-Y675</f>
        <v>-0.25398333333345136</v>
      </c>
      <c r="AB675" s="1">
        <f t="shared" ref="AB675:AB689" si="213">COUNTIF(C675:X675,"&gt;0")*5</f>
        <v>10</v>
      </c>
      <c r="AC675" s="1">
        <f t="shared" ref="AC675:AC689" si="214">AA675*AB675*5</f>
        <v>-12.699166666672568</v>
      </c>
    </row>
    <row r="676" spans="1:29" ht="14.25" customHeight="1" x14ac:dyDescent="0.45">
      <c r="A676" s="79"/>
      <c r="B676" s="219">
        <v>5</v>
      </c>
      <c r="C676" s="260">
        <v>263.17700000000002</v>
      </c>
      <c r="D676" s="260">
        <v>263.11320000000001</v>
      </c>
      <c r="E676" s="94"/>
      <c r="F676" s="94"/>
      <c r="G676" s="94"/>
      <c r="H676" s="94"/>
      <c r="I676" s="94"/>
      <c r="J676" s="94"/>
      <c r="K676" s="94"/>
      <c r="L676" s="94"/>
      <c r="M676" s="94"/>
      <c r="N676" s="94"/>
      <c r="O676" s="94"/>
      <c r="P676" s="94"/>
      <c r="Q676" s="94"/>
      <c r="R676" s="94"/>
      <c r="S676" s="94"/>
      <c r="T676" s="94"/>
      <c r="U676" s="94"/>
      <c r="V676" s="94"/>
      <c r="W676" s="94"/>
      <c r="X676" s="94"/>
      <c r="Y676" s="94">
        <f t="shared" si="210"/>
        <v>263.14510000000001</v>
      </c>
      <c r="Z676" s="94">
        <f t="shared" si="211"/>
        <v>263.24006666666656</v>
      </c>
      <c r="AA676" s="94">
        <f t="shared" si="212"/>
        <v>9.4966666666550736E-2</v>
      </c>
      <c r="AB676" s="1">
        <f t="shared" si="213"/>
        <v>10</v>
      </c>
      <c r="AC676" s="1">
        <f t="shared" si="214"/>
        <v>4.7483333333275368</v>
      </c>
    </row>
    <row r="677" spans="1:29" ht="14.25" customHeight="1" x14ac:dyDescent="0.45">
      <c r="A677" s="79"/>
      <c r="B677" s="219">
        <v>10</v>
      </c>
      <c r="C677" s="260">
        <v>263.18990000000002</v>
      </c>
      <c r="D677" s="260">
        <v>263.11959999999999</v>
      </c>
      <c r="E677" s="94"/>
      <c r="F677" s="94"/>
      <c r="G677" s="94"/>
      <c r="H677" s="94"/>
      <c r="I677" s="94"/>
      <c r="J677" s="94"/>
      <c r="K677" s="94"/>
      <c r="L677" s="94"/>
      <c r="M677" s="94"/>
      <c r="N677" s="94"/>
      <c r="O677" s="94"/>
      <c r="P677" s="94"/>
      <c r="Q677" s="94"/>
      <c r="R677" s="94"/>
      <c r="S677" s="94"/>
      <c r="T677" s="94"/>
      <c r="U677" s="94"/>
      <c r="V677" s="94"/>
      <c r="W677" s="94"/>
      <c r="X677" s="94"/>
      <c r="Y677" s="94">
        <f t="shared" si="210"/>
        <v>263.15475000000004</v>
      </c>
      <c r="Z677" s="94">
        <f t="shared" si="211"/>
        <v>263.29006666666658</v>
      </c>
      <c r="AA677" s="94">
        <f t="shared" si="212"/>
        <v>0.13531666666654019</v>
      </c>
      <c r="AB677" s="1">
        <f t="shared" si="213"/>
        <v>10</v>
      </c>
      <c r="AC677" s="1">
        <f t="shared" si="214"/>
        <v>6.7658333333270093</v>
      </c>
    </row>
    <row r="678" spans="1:29" ht="14.25" customHeight="1" x14ac:dyDescent="0.45">
      <c r="A678" s="79"/>
      <c r="B678" s="219">
        <v>15</v>
      </c>
      <c r="C678" s="260">
        <v>263.12869999999998</v>
      </c>
      <c r="D678" s="260">
        <v>263.03019999999998</v>
      </c>
      <c r="E678" s="94"/>
      <c r="F678" s="94"/>
      <c r="G678" s="94"/>
      <c r="H678" s="94"/>
      <c r="I678" s="94"/>
      <c r="J678" s="94"/>
      <c r="K678" s="94"/>
      <c r="L678" s="94"/>
      <c r="M678" s="94"/>
      <c r="N678" s="94"/>
      <c r="O678" s="94"/>
      <c r="P678" s="94"/>
      <c r="Q678" s="94"/>
      <c r="R678" s="94"/>
      <c r="S678" s="94"/>
      <c r="T678" s="94"/>
      <c r="U678" s="94"/>
      <c r="V678" s="94"/>
      <c r="W678" s="94"/>
      <c r="X678" s="94"/>
      <c r="Y678" s="94">
        <f t="shared" si="210"/>
        <v>263.07944999999995</v>
      </c>
      <c r="Z678" s="94">
        <f t="shared" si="211"/>
        <v>263.34006666666659</v>
      </c>
      <c r="AA678" s="94">
        <f t="shared" si="212"/>
        <v>0.26061666666663541</v>
      </c>
      <c r="AB678" s="1">
        <f t="shared" si="213"/>
        <v>10</v>
      </c>
      <c r="AC678" s="1">
        <f t="shared" si="214"/>
        <v>13.030833333331771</v>
      </c>
    </row>
    <row r="679" spans="1:29" ht="14.25" customHeight="1" x14ac:dyDescent="0.45">
      <c r="A679" s="79"/>
      <c r="B679" s="219">
        <v>20</v>
      </c>
      <c r="C679" s="260">
        <v>263.07920000000001</v>
      </c>
      <c r="D679" s="260">
        <v>263.11450000000002</v>
      </c>
      <c r="E679" s="94"/>
      <c r="F679" s="94"/>
      <c r="G679" s="94"/>
      <c r="H679" s="94"/>
      <c r="I679" s="94"/>
      <c r="J679" s="94"/>
      <c r="K679" s="94"/>
      <c r="L679" s="94"/>
      <c r="M679" s="94"/>
      <c r="N679" s="94"/>
      <c r="O679" s="94"/>
      <c r="P679" s="94"/>
      <c r="Q679" s="94"/>
      <c r="R679" s="94"/>
      <c r="S679" s="94"/>
      <c r="T679" s="94"/>
      <c r="U679" s="94"/>
      <c r="V679" s="94"/>
      <c r="W679" s="94"/>
      <c r="X679" s="94"/>
      <c r="Y679" s="94">
        <f t="shared" si="210"/>
        <v>263.09685000000002</v>
      </c>
      <c r="Z679" s="94">
        <f t="shared" si="211"/>
        <v>263.3900666666666</v>
      </c>
      <c r="AA679" s="94">
        <f t="shared" si="212"/>
        <v>0.29321666666658075</v>
      </c>
      <c r="AB679" s="1">
        <f t="shared" si="213"/>
        <v>10</v>
      </c>
      <c r="AC679" s="1">
        <f t="shared" si="214"/>
        <v>14.660833333329037</v>
      </c>
    </row>
    <row r="680" spans="1:29" ht="14.25" customHeight="1" x14ac:dyDescent="0.45">
      <c r="A680" s="79"/>
      <c r="B680" s="219">
        <v>25</v>
      </c>
      <c r="C680" s="260">
        <v>263.14109999999999</v>
      </c>
      <c r="D680" s="260">
        <v>263.13569999999999</v>
      </c>
      <c r="E680" s="94"/>
      <c r="F680" s="94"/>
      <c r="G680" s="94"/>
      <c r="H680" s="94"/>
      <c r="I680" s="94"/>
      <c r="J680" s="94"/>
      <c r="K680" s="94"/>
      <c r="L680" s="94"/>
      <c r="M680" s="94"/>
      <c r="N680" s="94"/>
      <c r="O680" s="94"/>
      <c r="P680" s="94"/>
      <c r="Q680" s="94"/>
      <c r="R680" s="94"/>
      <c r="S680" s="94"/>
      <c r="T680" s="94"/>
      <c r="U680" s="94"/>
      <c r="V680" s="94"/>
      <c r="W680" s="94"/>
      <c r="X680" s="94"/>
      <c r="Y680" s="94">
        <f t="shared" si="210"/>
        <v>263.13839999999999</v>
      </c>
      <c r="Z680" s="94">
        <f>Z681-5/100</f>
        <v>263.44006666666661</v>
      </c>
      <c r="AA680" s="94">
        <f t="shared" si="212"/>
        <v>0.30166666666661968</v>
      </c>
      <c r="AB680" s="1">
        <f t="shared" si="213"/>
        <v>10</v>
      </c>
      <c r="AC680" s="1">
        <f t="shared" si="214"/>
        <v>15.083333333330984</v>
      </c>
    </row>
    <row r="681" spans="1:29" ht="14.25" customHeight="1" x14ac:dyDescent="0.45">
      <c r="A681" s="79"/>
      <c r="B681" s="219">
        <v>30</v>
      </c>
      <c r="C681" s="260">
        <v>263.15339999999998</v>
      </c>
      <c r="D681" s="260">
        <v>263.17380000000003</v>
      </c>
      <c r="E681" s="94"/>
      <c r="F681" s="94"/>
      <c r="G681" s="94"/>
      <c r="H681" s="94"/>
      <c r="I681" s="94"/>
      <c r="J681" s="94"/>
      <c r="K681" s="94"/>
      <c r="L681" s="94"/>
      <c r="M681" s="94"/>
      <c r="N681" s="94"/>
      <c r="O681" s="94"/>
      <c r="P681" s="94"/>
      <c r="Q681" s="94"/>
      <c r="R681" s="94"/>
      <c r="S681" s="94"/>
      <c r="T681" s="94"/>
      <c r="U681" s="94"/>
      <c r="V681" s="94"/>
      <c r="W681" s="94"/>
      <c r="X681" s="94"/>
      <c r="Y681" s="94">
        <f t="shared" si="210"/>
        <v>263.16359999999997</v>
      </c>
      <c r="Z681" s="94">
        <f t="shared" ref="Z681:Z688" si="215">Z682+5/100</f>
        <v>263.49006666666662</v>
      </c>
      <c r="AA681" s="94">
        <f t="shared" si="212"/>
        <v>0.32646666666664714</v>
      </c>
      <c r="AB681" s="1">
        <f t="shared" si="213"/>
        <v>10</v>
      </c>
      <c r="AC681" s="1">
        <f t="shared" si="214"/>
        <v>16.323333333332357</v>
      </c>
    </row>
    <row r="682" spans="1:29" ht="14.25" customHeight="1" x14ac:dyDescent="0.45">
      <c r="A682" s="79"/>
      <c r="B682" s="219">
        <v>35</v>
      </c>
      <c r="C682" s="260">
        <v>263.14879999999999</v>
      </c>
      <c r="D682" s="260">
        <v>263.2201</v>
      </c>
      <c r="E682" s="94"/>
      <c r="F682" s="94"/>
      <c r="G682" s="94"/>
      <c r="H682" s="94"/>
      <c r="I682" s="94"/>
      <c r="J682" s="94"/>
      <c r="K682" s="94"/>
      <c r="L682" s="94"/>
      <c r="M682" s="94"/>
      <c r="N682" s="94"/>
      <c r="O682" s="94"/>
      <c r="P682" s="94"/>
      <c r="Q682" s="94"/>
      <c r="R682" s="94"/>
      <c r="S682" s="94"/>
      <c r="T682" s="94"/>
      <c r="U682" s="94"/>
      <c r="V682" s="94"/>
      <c r="W682" s="94"/>
      <c r="X682" s="94"/>
      <c r="Y682" s="94">
        <f t="shared" si="210"/>
        <v>263.18444999999997</v>
      </c>
      <c r="Z682" s="94">
        <f t="shared" si="215"/>
        <v>263.44006666666661</v>
      </c>
      <c r="AA682" s="94">
        <f t="shared" si="212"/>
        <v>0.25561666666663996</v>
      </c>
      <c r="AB682" s="1">
        <f t="shared" si="213"/>
        <v>10</v>
      </c>
      <c r="AC682" s="1">
        <f t="shared" si="214"/>
        <v>12.780833333331998</v>
      </c>
    </row>
    <row r="683" spans="1:29" ht="14.25" customHeight="1" x14ac:dyDescent="0.45">
      <c r="A683" s="79"/>
      <c r="B683" s="219">
        <v>40</v>
      </c>
      <c r="C683" s="260">
        <v>263.1207</v>
      </c>
      <c r="D683" s="260">
        <v>263.2432</v>
      </c>
      <c r="E683" s="94"/>
      <c r="F683" s="94"/>
      <c r="G683" s="94"/>
      <c r="H683" s="94"/>
      <c r="I683" s="94"/>
      <c r="J683" s="94"/>
      <c r="K683" s="94"/>
      <c r="L683" s="94"/>
      <c r="M683" s="94"/>
      <c r="N683" s="94"/>
      <c r="O683" s="94"/>
      <c r="P683" s="94"/>
      <c r="Q683" s="94"/>
      <c r="R683" s="94"/>
      <c r="S683" s="94"/>
      <c r="T683" s="94"/>
      <c r="U683" s="94"/>
      <c r="V683" s="94"/>
      <c r="W683" s="94"/>
      <c r="X683" s="94"/>
      <c r="Y683" s="94">
        <f t="shared" si="210"/>
        <v>263.18195000000003</v>
      </c>
      <c r="Z683" s="94">
        <f t="shared" si="215"/>
        <v>263.3900666666666</v>
      </c>
      <c r="AA683" s="94">
        <f t="shared" si="212"/>
        <v>0.20811666666656947</v>
      </c>
      <c r="AB683" s="1">
        <f t="shared" si="213"/>
        <v>10</v>
      </c>
      <c r="AC683" s="1">
        <f t="shared" si="214"/>
        <v>10.405833333328474</v>
      </c>
    </row>
    <row r="684" spans="1:29" ht="14.25" customHeight="1" x14ac:dyDescent="0.45">
      <c r="A684" s="79"/>
      <c r="B684" s="219">
        <v>45</v>
      </c>
      <c r="C684" s="260">
        <v>263.12790000000001</v>
      </c>
      <c r="D684" s="260">
        <v>263.15699999999998</v>
      </c>
      <c r="E684" s="94"/>
      <c r="F684" s="94"/>
      <c r="G684" s="94"/>
      <c r="H684" s="94"/>
      <c r="I684" s="94"/>
      <c r="J684" s="94"/>
      <c r="K684" s="94"/>
      <c r="L684" s="94"/>
      <c r="M684" s="94"/>
      <c r="N684" s="94"/>
      <c r="O684" s="94"/>
      <c r="P684" s="94"/>
      <c r="Q684" s="94"/>
      <c r="R684" s="94"/>
      <c r="S684" s="94"/>
      <c r="T684" s="94"/>
      <c r="U684" s="94"/>
      <c r="V684" s="94"/>
      <c r="W684" s="94"/>
      <c r="X684" s="94"/>
      <c r="Y684" s="94">
        <f t="shared" si="210"/>
        <v>263.14245</v>
      </c>
      <c r="Z684" s="94">
        <f t="shared" si="215"/>
        <v>263.34006666666659</v>
      </c>
      <c r="AA684" s="94">
        <f t="shared" si="212"/>
        <v>0.19761666666659039</v>
      </c>
      <c r="AB684" s="1">
        <f t="shared" si="213"/>
        <v>10</v>
      </c>
      <c r="AC684" s="1">
        <f t="shared" si="214"/>
        <v>9.8808333333295195</v>
      </c>
    </row>
    <row r="685" spans="1:29" ht="14.25" customHeight="1" x14ac:dyDescent="0.45">
      <c r="A685" s="79"/>
      <c r="B685" s="219">
        <v>50</v>
      </c>
      <c r="C685" s="260">
        <v>263.00580000000002</v>
      </c>
      <c r="D685" s="260">
        <v>263.08</v>
      </c>
      <c r="E685" s="94"/>
      <c r="F685" s="94"/>
      <c r="G685" s="94"/>
      <c r="H685" s="94"/>
      <c r="I685" s="94"/>
      <c r="J685" s="94"/>
      <c r="K685" s="94"/>
      <c r="L685" s="94"/>
      <c r="M685" s="94"/>
      <c r="N685" s="94"/>
      <c r="O685" s="94"/>
      <c r="P685" s="94"/>
      <c r="Q685" s="94"/>
      <c r="R685" s="94"/>
      <c r="S685" s="94"/>
      <c r="T685" s="94"/>
      <c r="U685" s="94"/>
      <c r="V685" s="94"/>
      <c r="W685" s="94"/>
      <c r="X685" s="94"/>
      <c r="Y685" s="94">
        <f t="shared" si="210"/>
        <v>263.04290000000003</v>
      </c>
      <c r="Z685" s="94">
        <f t="shared" si="215"/>
        <v>263.29006666666658</v>
      </c>
      <c r="AA685" s="94">
        <f t="shared" si="212"/>
        <v>0.24716666666654419</v>
      </c>
      <c r="AB685" s="1">
        <f t="shared" si="213"/>
        <v>10</v>
      </c>
      <c r="AC685" s="1">
        <f t="shared" si="214"/>
        <v>12.358333333327209</v>
      </c>
    </row>
    <row r="686" spans="1:29" ht="14.25" customHeight="1" x14ac:dyDescent="0.45">
      <c r="A686" s="79"/>
      <c r="B686" s="219">
        <v>55</v>
      </c>
      <c r="C686" s="260">
        <v>263.15339999999998</v>
      </c>
      <c r="D686" s="260">
        <v>263.02319999999997</v>
      </c>
      <c r="E686" s="94"/>
      <c r="F686" s="94"/>
      <c r="G686" s="94"/>
      <c r="H686" s="94"/>
      <c r="I686" s="94"/>
      <c r="J686" s="94"/>
      <c r="K686" s="94"/>
      <c r="L686" s="94"/>
      <c r="M686" s="94"/>
      <c r="N686" s="94"/>
      <c r="O686" s="94"/>
      <c r="P686" s="94"/>
      <c r="Q686" s="94"/>
      <c r="R686" s="94"/>
      <c r="S686" s="94"/>
      <c r="T686" s="94"/>
      <c r="U686" s="94"/>
      <c r="V686" s="94"/>
      <c r="W686" s="94"/>
      <c r="X686" s="94"/>
      <c r="Y686" s="94">
        <f t="shared" si="210"/>
        <v>263.0883</v>
      </c>
      <c r="Z686" s="94">
        <f t="shared" si="215"/>
        <v>263.24006666666656</v>
      </c>
      <c r="AA686" s="94">
        <f t="shared" si="212"/>
        <v>0.15176666666656047</v>
      </c>
      <c r="AB686" s="1">
        <f t="shared" si="213"/>
        <v>10</v>
      </c>
      <c r="AC686" s="1">
        <f t="shared" si="214"/>
        <v>7.5883333333280234</v>
      </c>
    </row>
    <row r="687" spans="1:29" ht="14.25" customHeight="1" x14ac:dyDescent="0.45">
      <c r="A687" s="79"/>
      <c r="B687" s="219">
        <v>60</v>
      </c>
      <c r="C687" s="260">
        <v>263.15140000000002</v>
      </c>
      <c r="D687" s="260">
        <v>263.20389999999998</v>
      </c>
      <c r="E687" s="94"/>
      <c r="F687" s="94"/>
      <c r="G687" s="94"/>
      <c r="H687" s="94"/>
      <c r="I687" s="94"/>
      <c r="J687" s="94"/>
      <c r="K687" s="94"/>
      <c r="L687" s="94"/>
      <c r="M687" s="94"/>
      <c r="N687" s="94"/>
      <c r="O687" s="94"/>
      <c r="P687" s="94"/>
      <c r="Q687" s="94"/>
      <c r="R687" s="94"/>
      <c r="S687" s="94"/>
      <c r="T687" s="94"/>
      <c r="U687" s="94"/>
      <c r="V687" s="94"/>
      <c r="W687" s="94"/>
      <c r="X687" s="94"/>
      <c r="Y687" s="94">
        <f t="shared" si="210"/>
        <v>263.17764999999997</v>
      </c>
      <c r="Z687" s="94">
        <f t="shared" si="215"/>
        <v>263.19006666666655</v>
      </c>
      <c r="AA687" s="94">
        <f t="shared" si="212"/>
        <v>1.2416666666581477E-2</v>
      </c>
      <c r="AB687" s="1">
        <f t="shared" si="213"/>
        <v>10</v>
      </c>
      <c r="AC687" s="1">
        <f t="shared" si="214"/>
        <v>0.62083333332907387</v>
      </c>
    </row>
    <row r="688" spans="1:29" ht="14.25" customHeight="1" x14ac:dyDescent="0.45">
      <c r="A688" s="79"/>
      <c r="B688" s="219">
        <v>65</v>
      </c>
      <c r="C688" s="260">
        <v>263.09460000000001</v>
      </c>
      <c r="D688" s="260">
        <v>262.98259999999999</v>
      </c>
      <c r="E688" s="94"/>
      <c r="F688" s="94"/>
      <c r="G688" s="94"/>
      <c r="H688" s="94"/>
      <c r="I688" s="94"/>
      <c r="J688" s="94"/>
      <c r="K688" s="94"/>
      <c r="L688" s="94"/>
      <c r="M688" s="94"/>
      <c r="N688" s="94"/>
      <c r="O688" s="94"/>
      <c r="P688" s="94"/>
      <c r="Q688" s="94"/>
      <c r="R688" s="94"/>
      <c r="S688" s="94"/>
      <c r="T688" s="94"/>
      <c r="U688" s="94"/>
      <c r="V688" s="94"/>
      <c r="W688" s="94"/>
      <c r="X688" s="94"/>
      <c r="Y688" s="94">
        <f t="shared" si="210"/>
        <v>263.03859999999997</v>
      </c>
      <c r="Z688" s="94">
        <f t="shared" si="215"/>
        <v>263.14006666666654</v>
      </c>
      <c r="AA688" s="94">
        <f t="shared" si="212"/>
        <v>0.10146666666656756</v>
      </c>
      <c r="AB688" s="1">
        <f t="shared" si="213"/>
        <v>10</v>
      </c>
      <c r="AC688" s="1">
        <f t="shared" si="214"/>
        <v>5.0733333333283781</v>
      </c>
    </row>
    <row r="689" spans="1:30" ht="14.25" customHeight="1" x14ac:dyDescent="0.45">
      <c r="A689" s="79"/>
      <c r="B689" s="219">
        <v>70</v>
      </c>
      <c r="C689" s="260">
        <v>263.10129999999998</v>
      </c>
      <c r="D689" s="260">
        <v>263.1712</v>
      </c>
      <c r="E689" s="94"/>
      <c r="F689" s="94"/>
      <c r="G689" s="94"/>
      <c r="H689" s="94"/>
      <c r="I689" s="94"/>
      <c r="J689" s="94"/>
      <c r="K689" s="94"/>
      <c r="L689" s="94"/>
      <c r="M689" s="94"/>
      <c r="N689" s="94"/>
      <c r="O689" s="94"/>
      <c r="P689" s="94"/>
      <c r="Q689" s="94"/>
      <c r="R689" s="94"/>
      <c r="S689" s="94"/>
      <c r="T689" s="94"/>
      <c r="U689" s="94"/>
      <c r="V689" s="94"/>
      <c r="W689" s="94"/>
      <c r="X689" s="94"/>
      <c r="Y689" s="94">
        <f t="shared" si="210"/>
        <v>263.13625000000002</v>
      </c>
      <c r="Z689" s="94">
        <f>Z690+5/100</f>
        <v>263.09006666666653</v>
      </c>
      <c r="AA689" s="94">
        <f t="shared" si="212"/>
        <v>-4.6183333333488008E-2</v>
      </c>
      <c r="AB689" s="1">
        <f t="shared" si="213"/>
        <v>10</v>
      </c>
      <c r="AC689" s="1">
        <f t="shared" si="214"/>
        <v>-2.3091666666744004</v>
      </c>
    </row>
    <row r="690" spans="1:30" ht="14.25" customHeight="1" x14ac:dyDescent="0.45">
      <c r="A690" s="79"/>
      <c r="B690" s="219">
        <v>75</v>
      </c>
      <c r="C690" s="260">
        <v>263.01889999999997</v>
      </c>
      <c r="D690" s="260">
        <v>263.00810000000001</v>
      </c>
      <c r="E690" s="94"/>
      <c r="F690" s="94"/>
      <c r="G690" s="94"/>
      <c r="H690" s="94"/>
      <c r="I690" s="94"/>
      <c r="J690" s="94"/>
      <c r="K690" s="94"/>
      <c r="L690" s="94"/>
      <c r="M690" s="94"/>
      <c r="N690" s="94"/>
      <c r="O690" s="94"/>
      <c r="P690" s="94"/>
      <c r="Q690" s="94"/>
      <c r="R690" s="94"/>
      <c r="S690" s="94"/>
      <c r="T690" s="94"/>
      <c r="U690" s="94"/>
      <c r="V690" s="94"/>
      <c r="W690" s="94"/>
      <c r="X690" s="94"/>
      <c r="Y690" s="94">
        <f t="shared" si="210"/>
        <v>263.01350000000002</v>
      </c>
      <c r="Z690" s="235">
        <f>Z82-0.1</f>
        <v>263.04006666666652</v>
      </c>
      <c r="AA690" s="94">
        <f t="shared" ref="AA690" si="216">Z690-Y690</f>
        <v>2.6566666666496985E-2</v>
      </c>
      <c r="AB690" s="1">
        <f>COUNTIF(C690:X690,"&gt;0")*5</f>
        <v>10</v>
      </c>
      <c r="AC690" s="1">
        <f t="shared" ref="AC690" si="217">AA690*AB690*5</f>
        <v>1.3283333333248493</v>
      </c>
      <c r="AD690" s="306">
        <f>SUM(AC675:AC690)</f>
        <v>115.64083333325925</v>
      </c>
    </row>
    <row r="691" spans="1:30" ht="14.25" customHeight="1" x14ac:dyDescent="0.45">
      <c r="A691" s="79"/>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spans="1:30" ht="14.25" customHeight="1" x14ac:dyDescent="0.45">
      <c r="A692" s="79"/>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spans="1:30" ht="14.25" customHeight="1" x14ac:dyDescent="0.45">
      <c r="A693" s="79"/>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spans="1:30" ht="14.25" customHeight="1" x14ac:dyDescent="0.45">
      <c r="A694" s="79"/>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spans="1:30" ht="14.25" customHeight="1" x14ac:dyDescent="0.45">
      <c r="A695" s="79">
        <v>41</v>
      </c>
      <c r="B695" s="219">
        <v>0</v>
      </c>
      <c r="C695" s="261">
        <v>263.09980000000002</v>
      </c>
      <c r="D695" s="261">
        <v>263.10129999999998</v>
      </c>
      <c r="E695" s="261">
        <v>263.12439999999998</v>
      </c>
      <c r="F695" s="261">
        <v>263.08420000000001</v>
      </c>
      <c r="G695" s="261">
        <v>262.95240000000001</v>
      </c>
      <c r="H695" s="261">
        <v>263.18270000000001</v>
      </c>
      <c r="I695" s="261">
        <v>263.04020000000003</v>
      </c>
      <c r="J695" s="261">
        <v>263.08319999999998</v>
      </c>
      <c r="K695" s="261">
        <v>263.10829999999999</v>
      </c>
      <c r="L695" s="261">
        <v>263.19139999999999</v>
      </c>
      <c r="M695" s="261">
        <v>263.09780000000001</v>
      </c>
      <c r="N695" s="261">
        <v>263.2645</v>
      </c>
      <c r="O695" s="94"/>
      <c r="P695" s="94"/>
      <c r="Q695" s="94"/>
      <c r="R695" s="94"/>
      <c r="S695" s="94"/>
      <c r="T695" s="94"/>
      <c r="U695" s="94"/>
      <c r="V695" s="94"/>
      <c r="W695" s="94"/>
      <c r="X695" s="94"/>
      <c r="Y695" s="94">
        <f>AVERAGE(C695:X695)</f>
        <v>263.11085000000003</v>
      </c>
      <c r="Z695" s="235">
        <f>Z116-0.1</f>
        <v>263.04016666666649</v>
      </c>
      <c r="AA695" s="94">
        <f t="shared" ref="AA695:AA696" si="218">Z695-Y695</f>
        <v>-7.0683333333533938E-2</v>
      </c>
      <c r="AB695" s="1">
        <f>COUNTIF(C695:X695,"&gt;0")*5</f>
        <v>60</v>
      </c>
      <c r="AC695" s="1">
        <f t="shared" ref="AC695:AC696" si="219">AA695*AB695*5</f>
        <v>-21.205000000060181</v>
      </c>
    </row>
    <row r="696" spans="1:30" ht="14.25" customHeight="1" x14ac:dyDescent="0.45">
      <c r="A696" s="79"/>
      <c r="B696" s="219">
        <v>5</v>
      </c>
      <c r="C696" s="261">
        <v>263.08409999999998</v>
      </c>
      <c r="D696" s="261">
        <v>262.96690000000001</v>
      </c>
      <c r="E696" s="261">
        <v>263.08080000000001</v>
      </c>
      <c r="F696" s="261">
        <v>263.03989999999999</v>
      </c>
      <c r="G696" s="261">
        <v>263.00580000000002</v>
      </c>
      <c r="H696" s="261">
        <v>263.07330000000002</v>
      </c>
      <c r="I696" s="261">
        <v>263.05509999999998</v>
      </c>
      <c r="J696" s="261">
        <v>263.05070000000001</v>
      </c>
      <c r="K696" s="261">
        <v>263.06779999999998</v>
      </c>
      <c r="L696" s="261">
        <v>263.04320000000001</v>
      </c>
      <c r="M696" s="261">
        <v>263.25029999999998</v>
      </c>
      <c r="N696" s="261">
        <v>263.21780000000001</v>
      </c>
      <c r="O696" s="94"/>
      <c r="P696" s="94"/>
      <c r="Q696" s="94"/>
      <c r="R696" s="94"/>
      <c r="S696" s="94"/>
      <c r="T696" s="94"/>
      <c r="U696" s="94"/>
      <c r="V696" s="94"/>
      <c r="W696" s="94"/>
      <c r="X696" s="94"/>
      <c r="Y696" s="94">
        <f>AVERAGE(C696:X696)</f>
        <v>263.07797499999998</v>
      </c>
      <c r="Z696" s="94">
        <f>Z695</f>
        <v>263.04016666666649</v>
      </c>
      <c r="AA696" s="94">
        <f t="shared" si="218"/>
        <v>-3.7808333333487099E-2</v>
      </c>
      <c r="AB696" s="1">
        <f>COUNTIF(C696:X696,"&gt;0")*5</f>
        <v>60</v>
      </c>
      <c r="AC696" s="1">
        <f t="shared" si="219"/>
        <v>-11.34250000004613</v>
      </c>
      <c r="AD696" s="306">
        <f>SUM(AC695:AC696)</f>
        <v>-32.547500000106311</v>
      </c>
    </row>
    <row r="697" spans="1:30" ht="14.25" customHeight="1" x14ac:dyDescent="0.45">
      <c r="A697" s="79"/>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spans="1:30" ht="14.25" customHeight="1" x14ac:dyDescent="0.45">
      <c r="A698" s="79"/>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spans="1:30" ht="14.25" customHeight="1" x14ac:dyDescent="0.45">
      <c r="A699" s="79"/>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spans="1:30" ht="14.25" customHeight="1" x14ac:dyDescent="0.45">
      <c r="A700" s="79">
        <v>42</v>
      </c>
      <c r="B700" s="219">
        <v>0</v>
      </c>
      <c r="C700" s="262">
        <v>263.44799999999998</v>
      </c>
      <c r="D700" s="262">
        <v>263.47039999999998</v>
      </c>
      <c r="E700" s="94"/>
      <c r="F700" s="94"/>
      <c r="G700" s="94"/>
      <c r="H700" s="94"/>
      <c r="I700" s="94"/>
      <c r="J700" s="94"/>
      <c r="K700" s="94"/>
      <c r="L700" s="94"/>
      <c r="M700" s="94"/>
      <c r="N700" s="94"/>
      <c r="O700" s="94"/>
      <c r="P700" s="94"/>
      <c r="Q700" s="94"/>
      <c r="R700" s="94"/>
      <c r="S700" s="94"/>
      <c r="T700" s="94"/>
      <c r="U700" s="94"/>
      <c r="V700" s="94"/>
      <c r="W700" s="94"/>
      <c r="X700" s="94"/>
      <c r="Y700" s="94">
        <f t="shared" ref="Y700:Y711" si="220">AVERAGE(C700:X700)</f>
        <v>263.45920000000001</v>
      </c>
      <c r="Z700" s="235">
        <f>Z116-0.1</f>
        <v>263.04016666666649</v>
      </c>
      <c r="AA700" s="94">
        <f t="shared" ref="AA700" si="221">Z700-Y700</f>
        <v>-0.41903333333351611</v>
      </c>
      <c r="AB700" s="1">
        <f>COUNTIF(C700:X700,"&gt;0")*5</f>
        <v>10</v>
      </c>
      <c r="AC700" s="1">
        <f t="shared" ref="AC700" si="222">AA700*AB700*5</f>
        <v>-20.951666666675806</v>
      </c>
    </row>
    <row r="701" spans="1:30" ht="14.25" customHeight="1" x14ac:dyDescent="0.45">
      <c r="A701" s="79"/>
      <c r="B701" s="219">
        <v>5</v>
      </c>
      <c r="C701" s="262">
        <v>263.23669999999998</v>
      </c>
      <c r="D701" s="262">
        <v>263.1773</v>
      </c>
      <c r="E701" s="94"/>
      <c r="F701" s="94"/>
      <c r="G701" s="94"/>
      <c r="H701" s="94"/>
      <c r="I701" s="94"/>
      <c r="J701" s="94"/>
      <c r="K701" s="94"/>
      <c r="L701" s="94"/>
      <c r="M701" s="94"/>
      <c r="N701" s="94"/>
      <c r="O701" s="94"/>
      <c r="P701" s="94"/>
      <c r="Q701" s="94"/>
      <c r="R701" s="94"/>
      <c r="S701" s="94"/>
      <c r="T701" s="94"/>
      <c r="U701" s="94"/>
      <c r="V701" s="94"/>
      <c r="W701" s="94"/>
      <c r="X701" s="94"/>
      <c r="Y701" s="94">
        <f t="shared" si="220"/>
        <v>263.20699999999999</v>
      </c>
      <c r="Z701" s="94">
        <f>Z700+5/100</f>
        <v>263.09016666666651</v>
      </c>
      <c r="AA701" s="94">
        <f t="shared" ref="AA701:AA711" si="223">Z701-Y701</f>
        <v>-0.11683333333348855</v>
      </c>
      <c r="AB701" s="1">
        <f t="shared" ref="AB701:AB711" si="224">COUNTIF(C701:X701,"&gt;0")*5</f>
        <v>10</v>
      </c>
      <c r="AC701" s="1">
        <f t="shared" ref="AC701:AC711" si="225">AA701*AB701*5</f>
        <v>-5.8416666666744277</v>
      </c>
    </row>
    <row r="702" spans="1:30" ht="14.25" customHeight="1" x14ac:dyDescent="0.45">
      <c r="A702" s="79"/>
      <c r="B702" s="219">
        <v>10</v>
      </c>
      <c r="C702" s="262">
        <v>263.51889999999997</v>
      </c>
      <c r="D702" s="262">
        <v>263.03199999999998</v>
      </c>
      <c r="E702" s="94"/>
      <c r="F702" s="94"/>
      <c r="G702" s="94"/>
      <c r="H702" s="94"/>
      <c r="I702" s="94"/>
      <c r="J702" s="94"/>
      <c r="K702" s="94"/>
      <c r="L702" s="94"/>
      <c r="M702" s="94"/>
      <c r="N702" s="94"/>
      <c r="O702" s="94"/>
      <c r="P702" s="94"/>
      <c r="Q702" s="94"/>
      <c r="R702" s="94"/>
      <c r="S702" s="94"/>
      <c r="T702" s="94"/>
      <c r="U702" s="94"/>
      <c r="V702" s="94"/>
      <c r="W702" s="94"/>
      <c r="X702" s="94"/>
      <c r="Y702" s="94">
        <f t="shared" si="220"/>
        <v>263.27544999999998</v>
      </c>
      <c r="Z702" s="94">
        <f t="shared" ref="Z702:Z710" si="226">Z701+5/100</f>
        <v>263.14016666666652</v>
      </c>
      <c r="AA702" s="94">
        <f t="shared" si="223"/>
        <v>-0.13528333333346154</v>
      </c>
      <c r="AB702" s="1">
        <f t="shared" si="224"/>
        <v>10</v>
      </c>
      <c r="AC702" s="1">
        <f t="shared" si="225"/>
        <v>-6.7641666666730771</v>
      </c>
    </row>
    <row r="703" spans="1:30" ht="14.25" customHeight="1" x14ac:dyDescent="0.45">
      <c r="A703" s="79"/>
      <c r="B703" s="219">
        <v>15</v>
      </c>
      <c r="C703" s="262">
        <v>263.37430000000001</v>
      </c>
      <c r="D703" s="262">
        <v>262.7441</v>
      </c>
      <c r="E703" s="94"/>
      <c r="F703" s="94"/>
      <c r="G703" s="94"/>
      <c r="H703" s="94"/>
      <c r="I703" s="94"/>
      <c r="J703" s="94"/>
      <c r="K703" s="94"/>
      <c r="L703" s="94"/>
      <c r="M703" s="94"/>
      <c r="N703" s="94"/>
      <c r="O703" s="94"/>
      <c r="P703" s="94"/>
      <c r="Q703" s="94"/>
      <c r="R703" s="94"/>
      <c r="S703" s="94"/>
      <c r="T703" s="94"/>
      <c r="U703" s="94"/>
      <c r="V703" s="94"/>
      <c r="W703" s="94"/>
      <c r="X703" s="94"/>
      <c r="Y703" s="94">
        <f t="shared" si="220"/>
        <v>263.05920000000003</v>
      </c>
      <c r="Z703" s="94">
        <f t="shared" si="226"/>
        <v>263.19016666666653</v>
      </c>
      <c r="AA703" s="94">
        <f t="shared" si="223"/>
        <v>0.13096666666649526</v>
      </c>
      <c r="AB703" s="1">
        <f t="shared" si="224"/>
        <v>10</v>
      </c>
      <c r="AC703" s="1">
        <f t="shared" si="225"/>
        <v>6.5483333333247629</v>
      </c>
    </row>
    <row r="704" spans="1:30" ht="14.25" customHeight="1" x14ac:dyDescent="0.45">
      <c r="A704" s="79"/>
      <c r="B704" s="219">
        <v>20</v>
      </c>
      <c r="C704" s="262">
        <v>263.0333</v>
      </c>
      <c r="D704" s="262">
        <v>263.37130000000002</v>
      </c>
      <c r="E704" s="94"/>
      <c r="F704" s="94"/>
      <c r="G704" s="94"/>
      <c r="H704" s="94"/>
      <c r="I704" s="94"/>
      <c r="J704" s="94"/>
      <c r="K704" s="94"/>
      <c r="L704" s="94"/>
      <c r="M704" s="94"/>
      <c r="N704" s="94"/>
      <c r="O704" s="94"/>
      <c r="P704" s="94"/>
      <c r="Q704" s="94"/>
      <c r="R704" s="94"/>
      <c r="S704" s="94"/>
      <c r="T704" s="94"/>
      <c r="U704" s="94"/>
      <c r="V704" s="94"/>
      <c r="W704" s="94"/>
      <c r="X704" s="94"/>
      <c r="Y704" s="94">
        <f t="shared" si="220"/>
        <v>263.20230000000004</v>
      </c>
      <c r="Z704" s="94">
        <f t="shared" si="226"/>
        <v>263.24016666666654</v>
      </c>
      <c r="AA704" s="94">
        <f t="shared" si="223"/>
        <v>3.7866666666502624E-2</v>
      </c>
      <c r="AB704" s="1">
        <f t="shared" si="224"/>
        <v>10</v>
      </c>
      <c r="AC704" s="1">
        <f t="shared" si="225"/>
        <v>1.8933333333251312</v>
      </c>
    </row>
    <row r="705" spans="1:30" ht="14.25" customHeight="1" x14ac:dyDescent="0.45">
      <c r="A705" s="79"/>
      <c r="B705" s="219">
        <v>25</v>
      </c>
      <c r="C705" s="262">
        <v>263.35789999999997</v>
      </c>
      <c r="D705" s="262">
        <v>263.20460000000003</v>
      </c>
      <c r="E705" s="94"/>
      <c r="F705" s="94"/>
      <c r="G705" s="94"/>
      <c r="H705" s="94"/>
      <c r="I705" s="94"/>
      <c r="J705" s="94"/>
      <c r="K705" s="94"/>
      <c r="L705" s="94"/>
      <c r="M705" s="94"/>
      <c r="N705" s="94"/>
      <c r="O705" s="94"/>
      <c r="P705" s="94"/>
      <c r="Q705" s="94"/>
      <c r="R705" s="94"/>
      <c r="S705" s="94"/>
      <c r="T705" s="94"/>
      <c r="U705" s="94"/>
      <c r="V705" s="94"/>
      <c r="W705" s="94"/>
      <c r="X705" s="94"/>
      <c r="Y705" s="94">
        <f t="shared" si="220"/>
        <v>263.28125</v>
      </c>
      <c r="Z705" s="94">
        <f t="shared" si="226"/>
        <v>263.29016666666655</v>
      </c>
      <c r="AA705" s="94">
        <f t="shared" si="223"/>
        <v>8.9166666665505545E-3</v>
      </c>
      <c r="AB705" s="1">
        <f t="shared" si="224"/>
        <v>10</v>
      </c>
      <c r="AC705" s="1">
        <f t="shared" si="225"/>
        <v>0.44583333332752773</v>
      </c>
    </row>
    <row r="706" spans="1:30" ht="14.25" customHeight="1" x14ac:dyDescent="0.45">
      <c r="A706" s="79"/>
      <c r="B706" s="219">
        <v>30</v>
      </c>
      <c r="C706" s="262">
        <v>263.22399999999999</v>
      </c>
      <c r="D706" s="262">
        <v>263.25389999999999</v>
      </c>
      <c r="E706" s="94"/>
      <c r="F706" s="94"/>
      <c r="G706" s="94"/>
      <c r="H706" s="94"/>
      <c r="I706" s="94"/>
      <c r="J706" s="94"/>
      <c r="K706" s="94"/>
      <c r="L706" s="94"/>
      <c r="M706" s="94"/>
      <c r="N706" s="94"/>
      <c r="O706" s="94"/>
      <c r="P706" s="94"/>
      <c r="Q706" s="94"/>
      <c r="R706" s="94"/>
      <c r="S706" s="94"/>
      <c r="T706" s="94"/>
      <c r="U706" s="94"/>
      <c r="V706" s="94"/>
      <c r="W706" s="94"/>
      <c r="X706" s="94"/>
      <c r="Y706" s="94">
        <f t="shared" si="220"/>
        <v>263.23894999999999</v>
      </c>
      <c r="Z706" s="94">
        <f t="shared" si="226"/>
        <v>263.34016666666656</v>
      </c>
      <c r="AA706" s="94">
        <f t="shared" si="223"/>
        <v>0.10121666666657347</v>
      </c>
      <c r="AB706" s="1">
        <f t="shared" si="224"/>
        <v>10</v>
      </c>
      <c r="AC706" s="1">
        <f t="shared" si="225"/>
        <v>5.0608333333286737</v>
      </c>
    </row>
    <row r="707" spans="1:30" ht="14.25" customHeight="1" x14ac:dyDescent="0.45">
      <c r="A707" s="79"/>
      <c r="B707" s="219">
        <v>35</v>
      </c>
      <c r="C707" s="262">
        <v>262.93130000000002</v>
      </c>
      <c r="D707" s="262">
        <v>263.05990000000003</v>
      </c>
      <c r="E707" s="94"/>
      <c r="F707" s="94"/>
      <c r="G707" s="94"/>
      <c r="H707" s="94"/>
      <c r="I707" s="94"/>
      <c r="J707" s="94"/>
      <c r="K707" s="94"/>
      <c r="L707" s="94"/>
      <c r="M707" s="94"/>
      <c r="N707" s="94"/>
      <c r="O707" s="94"/>
      <c r="P707" s="94"/>
      <c r="Q707" s="94"/>
      <c r="R707" s="94"/>
      <c r="S707" s="94"/>
      <c r="T707" s="94"/>
      <c r="U707" s="94"/>
      <c r="V707" s="94"/>
      <c r="W707" s="94"/>
      <c r="X707" s="94"/>
      <c r="Y707" s="94">
        <f t="shared" si="220"/>
        <v>262.99560000000002</v>
      </c>
      <c r="Z707" s="94">
        <f t="shared" si="226"/>
        <v>263.39016666666657</v>
      </c>
      <c r="AA707" s="94">
        <f t="shared" si="223"/>
        <v>0.39456666666654883</v>
      </c>
      <c r="AB707" s="1">
        <f t="shared" si="224"/>
        <v>10</v>
      </c>
      <c r="AC707" s="1">
        <f t="shared" si="225"/>
        <v>19.728333333327441</v>
      </c>
    </row>
    <row r="708" spans="1:30" ht="14.25" customHeight="1" x14ac:dyDescent="0.45">
      <c r="A708" s="79"/>
      <c r="B708" s="219">
        <v>40</v>
      </c>
      <c r="C708" s="262">
        <v>262.98849999999999</v>
      </c>
      <c r="D708" s="262">
        <v>262.95999999999998</v>
      </c>
      <c r="E708" s="94"/>
      <c r="F708" s="94"/>
      <c r="G708" s="94"/>
      <c r="H708" s="94"/>
      <c r="I708" s="94"/>
      <c r="J708" s="94"/>
      <c r="K708" s="94"/>
      <c r="L708" s="94"/>
      <c r="M708" s="94"/>
      <c r="N708" s="94"/>
      <c r="O708" s="94"/>
      <c r="P708" s="94"/>
      <c r="Q708" s="94"/>
      <c r="R708" s="94"/>
      <c r="S708" s="94"/>
      <c r="T708" s="94"/>
      <c r="U708" s="94"/>
      <c r="V708" s="94"/>
      <c r="W708" s="94"/>
      <c r="X708" s="94"/>
      <c r="Y708" s="94">
        <f t="shared" si="220"/>
        <v>262.97424999999998</v>
      </c>
      <c r="Z708" s="94">
        <f t="shared" si="226"/>
        <v>263.44016666666658</v>
      </c>
      <c r="AA708" s="94">
        <f t="shared" si="223"/>
        <v>0.46591666666660103</v>
      </c>
      <c r="AB708" s="1">
        <f t="shared" si="224"/>
        <v>10</v>
      </c>
      <c r="AC708" s="1">
        <f t="shared" si="225"/>
        <v>23.295833333330052</v>
      </c>
    </row>
    <row r="709" spans="1:30" ht="14.25" customHeight="1" x14ac:dyDescent="0.45">
      <c r="A709" s="79"/>
      <c r="B709" s="219">
        <v>45</v>
      </c>
      <c r="C709" s="262">
        <v>263.03230000000002</v>
      </c>
      <c r="D709" s="262">
        <v>263.00020000000001</v>
      </c>
      <c r="E709" s="94"/>
      <c r="F709" s="94"/>
      <c r="G709" s="94"/>
      <c r="H709" s="94"/>
      <c r="I709" s="94"/>
      <c r="J709" s="94"/>
      <c r="K709" s="94"/>
      <c r="L709" s="94"/>
      <c r="M709" s="94"/>
      <c r="N709" s="94"/>
      <c r="O709" s="94"/>
      <c r="P709" s="94"/>
      <c r="Q709" s="94"/>
      <c r="R709" s="94"/>
      <c r="S709" s="94"/>
      <c r="T709" s="94"/>
      <c r="U709" s="94"/>
      <c r="V709" s="94"/>
      <c r="W709" s="94"/>
      <c r="X709" s="94"/>
      <c r="Y709" s="94">
        <f t="shared" si="220"/>
        <v>263.01625000000001</v>
      </c>
      <c r="Z709" s="94">
        <f t="shared" si="226"/>
        <v>263.4901666666666</v>
      </c>
      <c r="AA709" s="94">
        <f t="shared" si="223"/>
        <v>0.47391666666658239</v>
      </c>
      <c r="AB709" s="1">
        <f t="shared" si="224"/>
        <v>10</v>
      </c>
      <c r="AC709" s="1">
        <f t="shared" si="225"/>
        <v>23.695833333329119</v>
      </c>
    </row>
    <row r="710" spans="1:30" ht="14.25" customHeight="1" x14ac:dyDescent="0.45">
      <c r="A710" s="79"/>
      <c r="B710" s="219">
        <v>50</v>
      </c>
      <c r="C710" s="262">
        <v>262.95159999999998</v>
      </c>
      <c r="D710" s="262">
        <v>263.22160000000002</v>
      </c>
      <c r="E710" s="94"/>
      <c r="F710" s="94"/>
      <c r="G710" s="94"/>
      <c r="H710" s="94"/>
      <c r="I710" s="94"/>
      <c r="J710" s="94"/>
      <c r="K710" s="94"/>
      <c r="L710" s="94"/>
      <c r="M710" s="94"/>
      <c r="N710" s="94"/>
      <c r="O710" s="94"/>
      <c r="P710" s="94"/>
      <c r="Q710" s="94"/>
      <c r="R710" s="94"/>
      <c r="S710" s="94"/>
      <c r="T710" s="94"/>
      <c r="U710" s="94"/>
      <c r="V710" s="94"/>
      <c r="W710" s="94"/>
      <c r="X710" s="94"/>
      <c r="Y710" s="94">
        <f t="shared" si="220"/>
        <v>263.08659999999998</v>
      </c>
      <c r="Z710" s="94">
        <f t="shared" si="226"/>
        <v>263.54016666666661</v>
      </c>
      <c r="AA710" s="94">
        <f t="shared" si="223"/>
        <v>0.45356666666663159</v>
      </c>
      <c r="AB710" s="1">
        <f t="shared" si="224"/>
        <v>10</v>
      </c>
      <c r="AC710" s="1">
        <f t="shared" si="225"/>
        <v>22.67833333333158</v>
      </c>
    </row>
    <row r="711" spans="1:30" ht="14.25" customHeight="1" x14ac:dyDescent="0.45">
      <c r="A711" s="79"/>
      <c r="B711" s="219">
        <v>55</v>
      </c>
      <c r="C711" s="262">
        <v>263.01560000000001</v>
      </c>
      <c r="D711" s="262">
        <v>263.11720000000003</v>
      </c>
      <c r="E711" s="94"/>
      <c r="F711" s="94"/>
      <c r="G711" s="94"/>
      <c r="H711" s="94"/>
      <c r="I711" s="94"/>
      <c r="J711" s="94"/>
      <c r="K711" s="94"/>
      <c r="L711" s="94"/>
      <c r="M711" s="94"/>
      <c r="N711" s="94"/>
      <c r="O711" s="94"/>
      <c r="P711" s="94"/>
      <c r="Q711" s="94"/>
      <c r="R711" s="94"/>
      <c r="S711" s="94"/>
      <c r="T711" s="94"/>
      <c r="U711" s="94"/>
      <c r="V711" s="94"/>
      <c r="W711" s="94"/>
      <c r="X711" s="94"/>
      <c r="Y711" s="94">
        <f t="shared" si="220"/>
        <v>263.06640000000004</v>
      </c>
      <c r="Z711" s="94">
        <f>Z710+5/100-5/100</f>
        <v>263.54016666666661</v>
      </c>
      <c r="AA711" s="94">
        <f t="shared" si="223"/>
        <v>0.4737666666665632</v>
      </c>
      <c r="AB711" s="1">
        <f t="shared" si="224"/>
        <v>10</v>
      </c>
      <c r="AC711" s="1">
        <f t="shared" si="225"/>
        <v>23.68833333332816</v>
      </c>
      <c r="AD711" s="306">
        <f>SUM(AC700:AC711)</f>
        <v>93.477499999929137</v>
      </c>
    </row>
    <row r="712" spans="1:30" ht="14.25" customHeight="1" x14ac:dyDescent="0.45">
      <c r="A712" s="79"/>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spans="1:30" ht="14.25" customHeight="1" x14ac:dyDescent="0.45">
      <c r="A713" s="79"/>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spans="1:30" ht="14.25" customHeight="1" x14ac:dyDescent="0.45">
      <c r="A714" s="79"/>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spans="1:30" ht="14.25" customHeight="1" x14ac:dyDescent="0.45">
      <c r="A715" s="79">
        <v>43</v>
      </c>
      <c r="B715" s="219">
        <v>0</v>
      </c>
      <c r="C715" s="263">
        <v>263.03949999999998</v>
      </c>
      <c r="D715" s="263">
        <v>263.26229999999998</v>
      </c>
      <c r="E715" s="263">
        <v>262.8623</v>
      </c>
      <c r="F715" s="263">
        <v>263.14519999999999</v>
      </c>
      <c r="G715" s="263">
        <v>263.04360000000003</v>
      </c>
      <c r="H715" s="263">
        <v>263.19069999999999</v>
      </c>
      <c r="I715" s="263">
        <v>263.2638</v>
      </c>
      <c r="J715" s="263">
        <v>263.13490000000002</v>
      </c>
      <c r="K715" s="263">
        <v>263.0806</v>
      </c>
      <c r="L715" s="263">
        <v>262.94909999999999</v>
      </c>
      <c r="M715" s="94"/>
      <c r="N715" s="94"/>
      <c r="O715" s="94"/>
      <c r="P715" s="94"/>
      <c r="Q715" s="94"/>
      <c r="R715" s="94"/>
      <c r="S715" s="94"/>
      <c r="T715" s="94"/>
      <c r="U715" s="94"/>
      <c r="V715" s="94"/>
      <c r="W715" s="94"/>
      <c r="X715" s="94"/>
      <c r="Y715" s="94">
        <f>AVERAGE(C715:X715)</f>
        <v>263.09719999999999</v>
      </c>
      <c r="Z715" s="94">
        <f>Z716</f>
        <v>263.02499374999996</v>
      </c>
      <c r="AA715" s="94">
        <f t="shared" ref="AA715:AA716" si="227">Z715-Y715</f>
        <v>-7.220625000002201E-2</v>
      </c>
      <c r="AB715" s="1">
        <f>COUNTIF(C715:X715,"&gt;0")*5</f>
        <v>50</v>
      </c>
      <c r="AC715" s="1">
        <f t="shared" ref="AC715:AC716" si="228">AA715*AB715*5</f>
        <v>-18.051562500005502</v>
      </c>
    </row>
    <row r="716" spans="1:30" ht="14.25" customHeight="1" x14ac:dyDescent="0.45">
      <c r="A716" s="79"/>
      <c r="B716" s="219">
        <v>5</v>
      </c>
      <c r="C716" s="263">
        <v>263.28390000000002</v>
      </c>
      <c r="D716" s="263">
        <v>263.26769999999999</v>
      </c>
      <c r="E716" s="263">
        <v>262.87049999999999</v>
      </c>
      <c r="F716" s="263">
        <v>263.11829999999998</v>
      </c>
      <c r="G716" s="263">
        <v>263.19069999999999</v>
      </c>
      <c r="H716" s="263">
        <v>263.05149999999998</v>
      </c>
      <c r="I716" s="263">
        <v>263.13220000000001</v>
      </c>
      <c r="J716" s="263">
        <v>263.1266</v>
      </c>
      <c r="K716" s="263">
        <v>262.95679999999999</v>
      </c>
      <c r="L716" s="263">
        <v>263.06060000000002</v>
      </c>
      <c r="M716" s="94"/>
      <c r="N716" s="94"/>
      <c r="O716" s="94"/>
      <c r="P716" s="94"/>
      <c r="Q716" s="94"/>
      <c r="R716" s="94"/>
      <c r="S716" s="94"/>
      <c r="T716" s="94"/>
      <c r="U716" s="94"/>
      <c r="V716" s="94"/>
      <c r="W716" s="94"/>
      <c r="X716" s="94"/>
      <c r="Y716" s="94">
        <f>AVERAGE(C716:X716)</f>
        <v>263.10587999999996</v>
      </c>
      <c r="Z716" s="235">
        <f>Z34-0.105-0.015</f>
        <v>263.02499374999996</v>
      </c>
      <c r="AA716" s="94">
        <f t="shared" si="227"/>
        <v>-8.0886249999991833E-2</v>
      </c>
      <c r="AB716" s="1">
        <f>COUNTIF(C716:X716,"&gt;0")*5</f>
        <v>50</v>
      </c>
      <c r="AC716" s="1">
        <f t="shared" si="228"/>
        <v>-20.221562499997958</v>
      </c>
      <c r="AD716" s="306">
        <f>SUM(AC715:AC716)</f>
        <v>-38.273125000003461</v>
      </c>
    </row>
    <row r="717" spans="1:30" ht="14.25" customHeight="1" x14ac:dyDescent="0.45">
      <c r="A717" s="79"/>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spans="1:30" ht="14.25" customHeight="1" x14ac:dyDescent="0.45">
      <c r="A718" s="79"/>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spans="1:30" ht="14.25" customHeight="1" x14ac:dyDescent="0.45">
      <c r="A719" s="79"/>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spans="1:30" ht="14.25" customHeight="1" x14ac:dyDescent="0.45">
      <c r="A720" s="79">
        <v>44</v>
      </c>
      <c r="B720" s="219">
        <v>0</v>
      </c>
      <c r="C720" s="261">
        <v>263.3152</v>
      </c>
      <c r="D720" s="261">
        <v>263.11700000000002</v>
      </c>
      <c r="E720" s="94"/>
      <c r="F720" s="94"/>
      <c r="G720" s="94"/>
      <c r="H720" s="94"/>
      <c r="I720" s="94"/>
      <c r="J720" s="94"/>
      <c r="K720" s="94"/>
      <c r="L720" s="94"/>
      <c r="M720" s="94"/>
      <c r="N720" s="94"/>
      <c r="O720" s="94"/>
      <c r="P720" s="94"/>
      <c r="Q720" s="94"/>
      <c r="R720" s="94"/>
      <c r="S720" s="94"/>
      <c r="T720" s="94"/>
      <c r="U720" s="94"/>
      <c r="V720" s="94"/>
      <c r="W720" s="94"/>
      <c r="X720" s="94"/>
      <c r="Y720" s="94">
        <f t="shared" ref="Y720:Y739" si="229">AVERAGE(C720:X720)</f>
        <v>263.21609999999998</v>
      </c>
      <c r="Z720" s="94">
        <f t="shared" ref="Z720:Z727" si="230">Z721-5/100</f>
        <v>262.93516315789464</v>
      </c>
      <c r="AA720" s="94">
        <f t="shared" ref="AA720" si="231">Z720-Y720</f>
        <v>-0.28093684210534775</v>
      </c>
      <c r="AB720" s="1">
        <f>COUNTIF(C720:X720,"&gt;0")*5</f>
        <v>10</v>
      </c>
      <c r="AC720" s="1">
        <f t="shared" ref="AC720" si="232">AA720*AB720*5</f>
        <v>-14.046842105267388</v>
      </c>
    </row>
    <row r="721" spans="1:29" ht="14.25" customHeight="1" x14ac:dyDescent="0.45">
      <c r="A721" s="79"/>
      <c r="B721" s="219">
        <v>5</v>
      </c>
      <c r="C721" s="261">
        <v>263.29790000000003</v>
      </c>
      <c r="D721" s="261">
        <v>263.2167</v>
      </c>
      <c r="E721" s="94"/>
      <c r="F721" s="94"/>
      <c r="G721" s="94"/>
      <c r="H721" s="94"/>
      <c r="I721" s="94"/>
      <c r="J721" s="94"/>
      <c r="K721" s="94"/>
      <c r="L721" s="94"/>
      <c r="M721" s="94"/>
      <c r="N721" s="94"/>
      <c r="O721" s="94"/>
      <c r="P721" s="94"/>
      <c r="Q721" s="94"/>
      <c r="R721" s="94"/>
      <c r="S721" s="94"/>
      <c r="T721" s="94"/>
      <c r="U721" s="94"/>
      <c r="V721" s="94"/>
      <c r="W721" s="94"/>
      <c r="X721" s="94"/>
      <c r="Y721" s="94">
        <f t="shared" si="229"/>
        <v>263.25729999999999</v>
      </c>
      <c r="Z721" s="94">
        <f t="shared" si="230"/>
        <v>262.98516315789465</v>
      </c>
      <c r="AA721" s="94">
        <f t="shared" ref="AA721:AA739" si="233">Z721-Y721</f>
        <v>-0.27213684210533984</v>
      </c>
      <c r="AB721" s="1">
        <f t="shared" ref="AB721:AB739" si="234">COUNTIF(C721:X721,"&gt;0")*5</f>
        <v>10</v>
      </c>
      <c r="AC721" s="1">
        <f t="shared" ref="AC721:AC739" si="235">AA721*AB721*5</f>
        <v>-13.606842105266992</v>
      </c>
    </row>
    <row r="722" spans="1:29" ht="14.25" customHeight="1" x14ac:dyDescent="0.45">
      <c r="A722" s="79"/>
      <c r="B722" s="219">
        <v>10</v>
      </c>
      <c r="C722" s="261">
        <v>263.22199999999998</v>
      </c>
      <c r="D722" s="261">
        <v>263.03390000000002</v>
      </c>
      <c r="E722" s="94"/>
      <c r="F722" s="94"/>
      <c r="G722" s="94"/>
      <c r="H722" s="94"/>
      <c r="I722" s="94"/>
      <c r="J722" s="94"/>
      <c r="K722" s="94"/>
      <c r="L722" s="94"/>
      <c r="M722" s="94"/>
      <c r="N722" s="94"/>
      <c r="O722" s="94"/>
      <c r="P722" s="94"/>
      <c r="Q722" s="94"/>
      <c r="R722" s="94"/>
      <c r="S722" s="94"/>
      <c r="T722" s="94"/>
      <c r="U722" s="94"/>
      <c r="V722" s="94"/>
      <c r="W722" s="94"/>
      <c r="X722" s="94"/>
      <c r="Y722" s="94">
        <f t="shared" si="229"/>
        <v>263.12795</v>
      </c>
      <c r="Z722" s="94">
        <f t="shared" si="230"/>
        <v>263.03516315789466</v>
      </c>
      <c r="AA722" s="94">
        <f t="shared" si="233"/>
        <v>-9.2786842105340384E-2</v>
      </c>
      <c r="AB722" s="1">
        <f t="shared" si="234"/>
        <v>10</v>
      </c>
      <c r="AC722" s="1">
        <f t="shared" si="235"/>
        <v>-4.6393421052670192</v>
      </c>
    </row>
    <row r="723" spans="1:29" ht="14.25" customHeight="1" x14ac:dyDescent="0.45">
      <c r="A723" s="79"/>
      <c r="B723" s="219">
        <v>15</v>
      </c>
      <c r="C723" s="261">
        <v>263.06909999999999</v>
      </c>
      <c r="D723" s="261">
        <v>263.07929999999999</v>
      </c>
      <c r="E723" s="94"/>
      <c r="F723" s="94"/>
      <c r="G723" s="94"/>
      <c r="H723" s="94"/>
      <c r="I723" s="94"/>
      <c r="J723" s="94"/>
      <c r="K723" s="94"/>
      <c r="L723" s="94"/>
      <c r="M723" s="94"/>
      <c r="N723" s="94"/>
      <c r="O723" s="94"/>
      <c r="P723" s="94"/>
      <c r="Q723" s="94"/>
      <c r="R723" s="94"/>
      <c r="S723" s="94"/>
      <c r="T723" s="94"/>
      <c r="U723" s="94"/>
      <c r="V723" s="94"/>
      <c r="W723" s="94"/>
      <c r="X723" s="94"/>
      <c r="Y723" s="94">
        <f t="shared" si="229"/>
        <v>263.07420000000002</v>
      </c>
      <c r="Z723" s="94">
        <f t="shared" si="230"/>
        <v>263.08516315789467</v>
      </c>
      <c r="AA723" s="94">
        <f t="shared" si="233"/>
        <v>1.0963157894650521E-2</v>
      </c>
      <c r="AB723" s="1">
        <f t="shared" si="234"/>
        <v>10</v>
      </c>
      <c r="AC723" s="1">
        <f t="shared" si="235"/>
        <v>0.54815789473252607</v>
      </c>
    </row>
    <row r="724" spans="1:29" ht="14.25" customHeight="1" x14ac:dyDescent="0.45">
      <c r="A724" s="79"/>
      <c r="B724" s="219">
        <v>20</v>
      </c>
      <c r="C724" s="261">
        <v>263.05</v>
      </c>
      <c r="D724" s="261">
        <v>263.03649999999999</v>
      </c>
      <c r="E724" s="94"/>
      <c r="F724" s="94"/>
      <c r="G724" s="94"/>
      <c r="H724" s="94"/>
      <c r="I724" s="94"/>
      <c r="J724" s="94"/>
      <c r="K724" s="94"/>
      <c r="L724" s="94"/>
      <c r="M724" s="94"/>
      <c r="N724" s="94"/>
      <c r="O724" s="94"/>
      <c r="P724" s="94"/>
      <c r="Q724" s="94"/>
      <c r="R724" s="94"/>
      <c r="S724" s="94"/>
      <c r="T724" s="94"/>
      <c r="U724" s="94"/>
      <c r="V724" s="94"/>
      <c r="W724" s="94"/>
      <c r="X724" s="94"/>
      <c r="Y724" s="94">
        <f t="shared" si="229"/>
        <v>263.04325</v>
      </c>
      <c r="Z724" s="94">
        <f t="shared" si="230"/>
        <v>263.13516315789468</v>
      </c>
      <c r="AA724" s="94">
        <f t="shared" si="233"/>
        <v>9.1913157894680353E-2</v>
      </c>
      <c r="AB724" s="1">
        <f t="shared" si="234"/>
        <v>10</v>
      </c>
      <c r="AC724" s="1">
        <f t="shared" si="235"/>
        <v>4.5956578947340176</v>
      </c>
    </row>
    <row r="725" spans="1:29" ht="14.25" customHeight="1" x14ac:dyDescent="0.45">
      <c r="A725" s="79"/>
      <c r="B725" s="219">
        <v>25</v>
      </c>
      <c r="C725" s="261">
        <v>262.86790000000002</v>
      </c>
      <c r="D725" s="261">
        <v>262.9529</v>
      </c>
      <c r="E725" s="94"/>
      <c r="F725" s="94"/>
      <c r="G725" s="94"/>
      <c r="H725" s="94"/>
      <c r="I725" s="94"/>
      <c r="J725" s="94"/>
      <c r="K725" s="94"/>
      <c r="L725" s="94"/>
      <c r="M725" s="94"/>
      <c r="N725" s="94"/>
      <c r="O725" s="94"/>
      <c r="P725" s="94"/>
      <c r="Q725" s="94"/>
      <c r="R725" s="94"/>
      <c r="S725" s="94"/>
      <c r="T725" s="94"/>
      <c r="U725" s="94"/>
      <c r="V725" s="94"/>
      <c r="W725" s="94"/>
      <c r="X725" s="94"/>
      <c r="Y725" s="94">
        <f t="shared" si="229"/>
        <v>262.91039999999998</v>
      </c>
      <c r="Z725" s="94">
        <f t="shared" si="230"/>
        <v>263.18516315789469</v>
      </c>
      <c r="AA725" s="94">
        <f t="shared" si="233"/>
        <v>0.27476315789471073</v>
      </c>
      <c r="AB725" s="1">
        <f t="shared" si="234"/>
        <v>10</v>
      </c>
      <c r="AC725" s="1">
        <f t="shared" si="235"/>
        <v>13.738157894735537</v>
      </c>
    </row>
    <row r="726" spans="1:29" ht="14.25" customHeight="1" x14ac:dyDescent="0.45">
      <c r="A726" s="79"/>
      <c r="B726" s="219">
        <v>30</v>
      </c>
      <c r="C726" s="261">
        <v>263.17930000000001</v>
      </c>
      <c r="D726" s="261">
        <v>263.10120000000001</v>
      </c>
      <c r="E726" s="94"/>
      <c r="F726" s="94"/>
      <c r="G726" s="94"/>
      <c r="H726" s="94"/>
      <c r="I726" s="94"/>
      <c r="J726" s="94"/>
      <c r="K726" s="94"/>
      <c r="L726" s="94"/>
      <c r="M726" s="94"/>
      <c r="N726" s="94"/>
      <c r="O726" s="94"/>
      <c r="P726" s="94"/>
      <c r="Q726" s="94"/>
      <c r="R726" s="94"/>
      <c r="S726" s="94"/>
      <c r="T726" s="94"/>
      <c r="U726" s="94"/>
      <c r="V726" s="94"/>
      <c r="W726" s="94"/>
      <c r="X726" s="94"/>
      <c r="Y726" s="94">
        <f t="shared" si="229"/>
        <v>263.14025000000004</v>
      </c>
      <c r="Z726" s="94">
        <f t="shared" si="230"/>
        <v>263.2351631578947</v>
      </c>
      <c r="AA726" s="94">
        <f t="shared" si="233"/>
        <v>9.4913157894666256E-2</v>
      </c>
      <c r="AB726" s="1">
        <f t="shared" si="234"/>
        <v>10</v>
      </c>
      <c r="AC726" s="1">
        <f t="shared" si="235"/>
        <v>4.7456578947333128</v>
      </c>
    </row>
    <row r="727" spans="1:29" ht="14.25" customHeight="1" x14ac:dyDescent="0.45">
      <c r="A727" s="79"/>
      <c r="B727" s="219">
        <v>35</v>
      </c>
      <c r="C727" s="261">
        <v>263.12900000000002</v>
      </c>
      <c r="D727" s="261">
        <v>263.12540000000001</v>
      </c>
      <c r="E727" s="94"/>
      <c r="F727" s="94"/>
      <c r="G727" s="94"/>
      <c r="H727" s="94"/>
      <c r="I727" s="94"/>
      <c r="J727" s="94"/>
      <c r="K727" s="94"/>
      <c r="L727" s="94"/>
      <c r="M727" s="94"/>
      <c r="N727" s="94"/>
      <c r="O727" s="94"/>
      <c r="P727" s="94"/>
      <c r="Q727" s="94"/>
      <c r="R727" s="94"/>
      <c r="S727" s="94"/>
      <c r="T727" s="94"/>
      <c r="U727" s="94"/>
      <c r="V727" s="94"/>
      <c r="W727" s="94"/>
      <c r="X727" s="94"/>
      <c r="Y727" s="94">
        <f t="shared" si="229"/>
        <v>263.12720000000002</v>
      </c>
      <c r="Z727" s="94">
        <f t="shared" si="230"/>
        <v>263.28516315789471</v>
      </c>
      <c r="AA727" s="94">
        <f t="shared" si="233"/>
        <v>0.15796315789469872</v>
      </c>
      <c r="AB727" s="1">
        <f t="shared" si="234"/>
        <v>10</v>
      </c>
      <c r="AC727" s="1">
        <f t="shared" si="235"/>
        <v>7.8981578947349362</v>
      </c>
    </row>
    <row r="728" spans="1:29" ht="14.25" customHeight="1" x14ac:dyDescent="0.45">
      <c r="A728" s="79"/>
      <c r="B728" s="219">
        <v>40</v>
      </c>
      <c r="C728" s="261">
        <v>263.21929999999998</v>
      </c>
      <c r="D728" s="261">
        <v>262.87290000000002</v>
      </c>
      <c r="E728" s="94"/>
      <c r="F728" s="94"/>
      <c r="G728" s="94"/>
      <c r="H728" s="94"/>
      <c r="I728" s="94"/>
      <c r="J728" s="94"/>
      <c r="K728" s="94"/>
      <c r="L728" s="94"/>
      <c r="M728" s="94"/>
      <c r="N728" s="94"/>
      <c r="O728" s="94"/>
      <c r="P728" s="94"/>
      <c r="Q728" s="94"/>
      <c r="R728" s="94"/>
      <c r="S728" s="94"/>
      <c r="T728" s="94"/>
      <c r="U728" s="94"/>
      <c r="V728" s="94"/>
      <c r="W728" s="94"/>
      <c r="X728" s="94"/>
      <c r="Y728" s="94">
        <f t="shared" si="229"/>
        <v>263.04610000000002</v>
      </c>
      <c r="Z728" s="94">
        <f>Z729-5/100</f>
        <v>263.33516315789473</v>
      </c>
      <c r="AA728" s="94">
        <f t="shared" si="233"/>
        <v>0.28906315789470227</v>
      </c>
      <c r="AB728" s="1">
        <f t="shared" si="234"/>
        <v>10</v>
      </c>
      <c r="AC728" s="1">
        <f t="shared" si="235"/>
        <v>14.453157894735114</v>
      </c>
    </row>
    <row r="729" spans="1:29" ht="14.25" customHeight="1" x14ac:dyDescent="0.45">
      <c r="A729" s="79"/>
      <c r="B729" s="219">
        <v>45</v>
      </c>
      <c r="C729" s="261">
        <v>263.12169999999998</v>
      </c>
      <c r="D729" s="261">
        <v>263.17419999999998</v>
      </c>
      <c r="E729" s="94"/>
      <c r="F729" s="94"/>
      <c r="G729" s="94"/>
      <c r="H729" s="94"/>
      <c r="I729" s="94"/>
      <c r="J729" s="94"/>
      <c r="K729" s="94"/>
      <c r="L729" s="94"/>
      <c r="M729" s="94"/>
      <c r="N729" s="94"/>
      <c r="O729" s="94"/>
      <c r="P729" s="94"/>
      <c r="Q729" s="94"/>
      <c r="R729" s="94"/>
      <c r="S729" s="94"/>
      <c r="T729" s="94"/>
      <c r="U729" s="94"/>
      <c r="V729" s="94"/>
      <c r="W729" s="94"/>
      <c r="X729" s="94"/>
      <c r="Y729" s="94">
        <f t="shared" si="229"/>
        <v>263.14794999999998</v>
      </c>
      <c r="Z729" s="94">
        <f t="shared" ref="Z729:Z737" si="236">Z730+5/100</f>
        <v>263.38516315789474</v>
      </c>
      <c r="AA729" s="94">
        <f t="shared" si="233"/>
        <v>0.23721315789475739</v>
      </c>
      <c r="AB729" s="1">
        <f t="shared" si="234"/>
        <v>10</v>
      </c>
      <c r="AC729" s="1">
        <f t="shared" si="235"/>
        <v>11.860657894737869</v>
      </c>
    </row>
    <row r="730" spans="1:29" ht="14.25" customHeight="1" x14ac:dyDescent="0.45">
      <c r="A730" s="79"/>
      <c r="B730" s="219">
        <v>50</v>
      </c>
      <c r="C730" s="261">
        <v>262.89769999999999</v>
      </c>
      <c r="D730" s="261">
        <v>263.07690000000002</v>
      </c>
      <c r="E730" s="94"/>
      <c r="F730" s="94"/>
      <c r="G730" s="94"/>
      <c r="H730" s="94"/>
      <c r="I730" s="94"/>
      <c r="J730" s="94"/>
      <c r="K730" s="94"/>
      <c r="L730" s="94"/>
      <c r="M730" s="94"/>
      <c r="N730" s="94"/>
      <c r="O730" s="94"/>
      <c r="P730" s="94"/>
      <c r="Q730" s="94"/>
      <c r="R730" s="94"/>
      <c r="S730" s="94"/>
      <c r="T730" s="94"/>
      <c r="U730" s="94"/>
      <c r="V730" s="94"/>
      <c r="W730" s="94"/>
      <c r="X730" s="94"/>
      <c r="Y730" s="94">
        <f t="shared" si="229"/>
        <v>262.9873</v>
      </c>
      <c r="Z730" s="94">
        <f t="shared" si="236"/>
        <v>263.33516315789473</v>
      </c>
      <c r="AA730" s="94">
        <f t="shared" si="233"/>
        <v>0.34786315789472155</v>
      </c>
      <c r="AB730" s="1">
        <f t="shared" si="234"/>
        <v>10</v>
      </c>
      <c r="AC730" s="1">
        <f t="shared" si="235"/>
        <v>17.393157894736078</v>
      </c>
    </row>
    <row r="731" spans="1:29" ht="14.25" customHeight="1" x14ac:dyDescent="0.45">
      <c r="A731" s="79"/>
      <c r="B731" s="219">
        <v>55</v>
      </c>
      <c r="C731" s="261">
        <v>262.98779999999999</v>
      </c>
      <c r="D731" s="261">
        <v>262.99119999999999</v>
      </c>
      <c r="E731" s="94"/>
      <c r="F731" s="94"/>
      <c r="G731" s="94"/>
      <c r="H731" s="94"/>
      <c r="I731" s="94"/>
      <c r="J731" s="94"/>
      <c r="K731" s="94"/>
      <c r="L731" s="94"/>
      <c r="M731" s="94"/>
      <c r="N731" s="94"/>
      <c r="O731" s="94"/>
      <c r="P731" s="94"/>
      <c r="Q731" s="94"/>
      <c r="R731" s="94"/>
      <c r="S731" s="94"/>
      <c r="T731" s="94"/>
      <c r="U731" s="94"/>
      <c r="V731" s="94"/>
      <c r="W731" s="94"/>
      <c r="X731" s="94"/>
      <c r="Y731" s="94">
        <f t="shared" si="229"/>
        <v>262.98950000000002</v>
      </c>
      <c r="Z731" s="94">
        <f t="shared" si="236"/>
        <v>263.28516315789471</v>
      </c>
      <c r="AA731" s="94">
        <f t="shared" si="233"/>
        <v>0.295663157894694</v>
      </c>
      <c r="AB731" s="1">
        <f t="shared" si="234"/>
        <v>10</v>
      </c>
      <c r="AC731" s="1">
        <f t="shared" si="235"/>
        <v>14.7831578947347</v>
      </c>
    </row>
    <row r="732" spans="1:29" ht="14.25" customHeight="1" x14ac:dyDescent="0.45">
      <c r="A732" s="79"/>
      <c r="B732" s="219">
        <v>60</v>
      </c>
      <c r="C732" s="261">
        <v>263.07319999999999</v>
      </c>
      <c r="D732" s="261">
        <v>262.9726</v>
      </c>
      <c r="E732" s="94"/>
      <c r="F732" s="94"/>
      <c r="G732" s="94"/>
      <c r="H732" s="94"/>
      <c r="I732" s="94"/>
      <c r="J732" s="94"/>
      <c r="K732" s="94"/>
      <c r="L732" s="94"/>
      <c r="M732" s="94"/>
      <c r="N732" s="94"/>
      <c r="O732" s="94"/>
      <c r="P732" s="94"/>
      <c r="Q732" s="94"/>
      <c r="R732" s="94"/>
      <c r="S732" s="94"/>
      <c r="T732" s="94"/>
      <c r="U732" s="94"/>
      <c r="V732" s="94"/>
      <c r="W732" s="94"/>
      <c r="X732" s="94"/>
      <c r="Y732" s="94">
        <f t="shared" si="229"/>
        <v>263.02289999999999</v>
      </c>
      <c r="Z732" s="94">
        <f t="shared" si="236"/>
        <v>263.2351631578947</v>
      </c>
      <c r="AA732" s="94">
        <f t="shared" si="233"/>
        <v>0.21226315789471073</v>
      </c>
      <c r="AB732" s="1">
        <f t="shared" si="234"/>
        <v>10</v>
      </c>
      <c r="AC732" s="1">
        <f t="shared" si="235"/>
        <v>10.613157894735537</v>
      </c>
    </row>
    <row r="733" spans="1:29" ht="14.25" customHeight="1" x14ac:dyDescent="0.45">
      <c r="A733" s="79"/>
      <c r="B733" s="219">
        <v>65</v>
      </c>
      <c r="C733" s="261">
        <v>262.96190000000001</v>
      </c>
      <c r="D733" s="261">
        <v>262.68970000000002</v>
      </c>
      <c r="E733" s="94"/>
      <c r="F733" s="94"/>
      <c r="G733" s="94"/>
      <c r="H733" s="94"/>
      <c r="I733" s="94"/>
      <c r="J733" s="94"/>
      <c r="K733" s="94"/>
      <c r="L733" s="94"/>
      <c r="M733" s="94"/>
      <c r="N733" s="94"/>
      <c r="O733" s="94"/>
      <c r="P733" s="94"/>
      <c r="Q733" s="94"/>
      <c r="R733" s="94"/>
      <c r="S733" s="94"/>
      <c r="T733" s="94"/>
      <c r="U733" s="94"/>
      <c r="V733" s="94"/>
      <c r="W733" s="94"/>
      <c r="X733" s="94"/>
      <c r="Y733" s="94">
        <f t="shared" si="229"/>
        <v>262.82580000000002</v>
      </c>
      <c r="Z733" s="94">
        <f t="shared" si="236"/>
        <v>263.18516315789469</v>
      </c>
      <c r="AA733" s="94">
        <f t="shared" si="233"/>
        <v>0.35936315789467699</v>
      </c>
      <c r="AB733" s="1">
        <f t="shared" si="234"/>
        <v>10</v>
      </c>
      <c r="AC733" s="1">
        <f t="shared" si="235"/>
        <v>17.968157894733849</v>
      </c>
    </row>
    <row r="734" spans="1:29" ht="14.25" customHeight="1" x14ac:dyDescent="0.45">
      <c r="A734" s="79"/>
      <c r="B734" s="219">
        <v>70</v>
      </c>
      <c r="C734" s="261">
        <v>262.89400000000001</v>
      </c>
      <c r="D734" s="261">
        <v>262.59829999999999</v>
      </c>
      <c r="E734" s="94"/>
      <c r="F734" s="94"/>
      <c r="G734" s="94"/>
      <c r="H734" s="94"/>
      <c r="I734" s="94"/>
      <c r="J734" s="94"/>
      <c r="K734" s="94"/>
      <c r="L734" s="94"/>
      <c r="M734" s="94"/>
      <c r="N734" s="94"/>
      <c r="O734" s="94"/>
      <c r="P734" s="94"/>
      <c r="Q734" s="94"/>
      <c r="R734" s="94"/>
      <c r="S734" s="94"/>
      <c r="T734" s="94"/>
      <c r="U734" s="94"/>
      <c r="V734" s="94"/>
      <c r="W734" s="94"/>
      <c r="X734" s="94"/>
      <c r="Y734" s="94">
        <f t="shared" si="229"/>
        <v>262.74615</v>
      </c>
      <c r="Z734" s="94">
        <f t="shared" si="236"/>
        <v>263.13516315789468</v>
      </c>
      <c r="AA734" s="94">
        <f t="shared" si="233"/>
        <v>0.38901315789468072</v>
      </c>
      <c r="AB734" s="1">
        <f t="shared" si="234"/>
        <v>10</v>
      </c>
      <c r="AC734" s="1">
        <f t="shared" si="235"/>
        <v>19.450657894734036</v>
      </c>
    </row>
    <row r="735" spans="1:29" ht="14.25" customHeight="1" x14ac:dyDescent="0.45">
      <c r="A735" s="79"/>
      <c r="B735" s="219">
        <v>75</v>
      </c>
      <c r="C735" s="261">
        <v>263.05790000000002</v>
      </c>
      <c r="D735" s="261">
        <v>262.95150000000001</v>
      </c>
      <c r="E735" s="94"/>
      <c r="F735" s="94"/>
      <c r="G735" s="94"/>
      <c r="H735" s="94"/>
      <c r="I735" s="94"/>
      <c r="J735" s="94"/>
      <c r="K735" s="94"/>
      <c r="L735" s="94"/>
      <c r="M735" s="94"/>
      <c r="N735" s="94"/>
      <c r="O735" s="94"/>
      <c r="P735" s="94"/>
      <c r="Q735" s="94"/>
      <c r="R735" s="94"/>
      <c r="S735" s="94"/>
      <c r="T735" s="94"/>
      <c r="U735" s="94"/>
      <c r="V735" s="94"/>
      <c r="W735" s="94"/>
      <c r="X735" s="94"/>
      <c r="Y735" s="94">
        <f t="shared" si="229"/>
        <v>263.00470000000001</v>
      </c>
      <c r="Z735" s="94">
        <f t="shared" si="236"/>
        <v>263.08516315789467</v>
      </c>
      <c r="AA735" s="94">
        <f t="shared" si="233"/>
        <v>8.0463157894655524E-2</v>
      </c>
      <c r="AB735" s="1">
        <f t="shared" si="234"/>
        <v>10</v>
      </c>
      <c r="AC735" s="1">
        <f t="shared" si="235"/>
        <v>4.0231578947327762</v>
      </c>
    </row>
    <row r="736" spans="1:29" ht="14.25" customHeight="1" x14ac:dyDescent="0.45">
      <c r="A736" s="79"/>
      <c r="B736" s="219">
        <v>80</v>
      </c>
      <c r="C736" s="261">
        <v>263.08330000000001</v>
      </c>
      <c r="D736" s="261">
        <v>262.91149999999999</v>
      </c>
      <c r="E736" s="94"/>
      <c r="F736" s="94"/>
      <c r="G736" s="94"/>
      <c r="H736" s="94"/>
      <c r="I736" s="94"/>
      <c r="J736" s="94"/>
      <c r="K736" s="94"/>
      <c r="L736" s="94"/>
      <c r="M736" s="94"/>
      <c r="N736" s="94"/>
      <c r="O736" s="94"/>
      <c r="P736" s="94"/>
      <c r="Q736" s="94"/>
      <c r="R736" s="94"/>
      <c r="S736" s="94"/>
      <c r="T736" s="94"/>
      <c r="U736" s="94"/>
      <c r="V736" s="94"/>
      <c r="W736" s="94"/>
      <c r="X736" s="94"/>
      <c r="Y736" s="94">
        <f t="shared" si="229"/>
        <v>262.99739999999997</v>
      </c>
      <c r="Z736" s="94">
        <f t="shared" si="236"/>
        <v>263.03516315789466</v>
      </c>
      <c r="AA736" s="94">
        <f t="shared" si="233"/>
        <v>3.7763157894687538E-2</v>
      </c>
      <c r="AB736" s="1">
        <f t="shared" si="234"/>
        <v>10</v>
      </c>
      <c r="AC736" s="1">
        <f t="shared" si="235"/>
        <v>1.8881578947343769</v>
      </c>
    </row>
    <row r="737" spans="1:30" ht="14.25" customHeight="1" x14ac:dyDescent="0.45">
      <c r="A737" s="79"/>
      <c r="B737" s="219">
        <v>85</v>
      </c>
      <c r="C737" s="261">
        <v>263.03930000000003</v>
      </c>
      <c r="D737" s="261">
        <v>262.93119999999999</v>
      </c>
      <c r="E737" s="94"/>
      <c r="F737" s="94"/>
      <c r="G737" s="94"/>
      <c r="H737" s="94"/>
      <c r="I737" s="94"/>
      <c r="J737" s="94"/>
      <c r="K737" s="94"/>
      <c r="L737" s="94"/>
      <c r="M737" s="94"/>
      <c r="N737" s="94"/>
      <c r="O737" s="94"/>
      <c r="P737" s="94"/>
      <c r="Q737" s="94"/>
      <c r="R737" s="94"/>
      <c r="S737" s="94"/>
      <c r="T737" s="94"/>
      <c r="U737" s="94"/>
      <c r="V737" s="94"/>
      <c r="W737" s="94"/>
      <c r="X737" s="94"/>
      <c r="Y737" s="94">
        <f t="shared" si="229"/>
        <v>262.98525000000001</v>
      </c>
      <c r="Z737" s="94">
        <f t="shared" si="236"/>
        <v>262.98516315789465</v>
      </c>
      <c r="AA737" s="94">
        <f t="shared" si="233"/>
        <v>-8.6842105361029098E-5</v>
      </c>
      <c r="AB737" s="1">
        <f t="shared" si="234"/>
        <v>10</v>
      </c>
      <c r="AC737" s="1">
        <f t="shared" si="235"/>
        <v>-4.3421052680514549E-3</v>
      </c>
    </row>
    <row r="738" spans="1:30" ht="14.25" customHeight="1" x14ac:dyDescent="0.45">
      <c r="A738" s="79"/>
      <c r="B738" s="219">
        <v>90</v>
      </c>
      <c r="C738" s="261">
        <v>263.0256</v>
      </c>
      <c r="D738" s="261">
        <v>262.88889999999998</v>
      </c>
      <c r="E738" s="94"/>
      <c r="F738" s="94"/>
      <c r="G738" s="94"/>
      <c r="H738" s="94"/>
      <c r="I738" s="94"/>
      <c r="J738" s="94"/>
      <c r="K738" s="94"/>
      <c r="L738" s="94"/>
      <c r="M738" s="94"/>
      <c r="N738" s="94"/>
      <c r="O738" s="94"/>
      <c r="P738" s="94"/>
      <c r="Q738" s="94"/>
      <c r="R738" s="94"/>
      <c r="S738" s="94"/>
      <c r="T738" s="94"/>
      <c r="U738" s="94"/>
      <c r="V738" s="94"/>
      <c r="W738" s="94"/>
      <c r="X738" s="94"/>
      <c r="Y738" s="94">
        <f t="shared" si="229"/>
        <v>262.95724999999999</v>
      </c>
      <c r="Z738" s="94">
        <f>Z739+5/100</f>
        <v>262.93516315789464</v>
      </c>
      <c r="AA738" s="94">
        <f t="shared" si="233"/>
        <v>-2.2086842105352389E-2</v>
      </c>
      <c r="AB738" s="1">
        <f t="shared" si="234"/>
        <v>10</v>
      </c>
      <c r="AC738" s="1">
        <f t="shared" si="235"/>
        <v>-1.1043421052676194</v>
      </c>
    </row>
    <row r="739" spans="1:30" ht="14.25" customHeight="1" x14ac:dyDescent="0.45">
      <c r="A739" s="79"/>
      <c r="B739" s="219">
        <v>95</v>
      </c>
      <c r="C739" s="261">
        <v>263.12470000000002</v>
      </c>
      <c r="D739" s="261">
        <v>262.9708</v>
      </c>
      <c r="E739" s="94"/>
      <c r="F739" s="94"/>
      <c r="G739" s="94"/>
      <c r="H739" s="94"/>
      <c r="I739" s="94"/>
      <c r="J739" s="94"/>
      <c r="K739" s="94"/>
      <c r="L739" s="94"/>
      <c r="M739" s="94"/>
      <c r="N739" s="94"/>
      <c r="O739" s="94"/>
      <c r="P739" s="94"/>
      <c r="Q739" s="94"/>
      <c r="R739" s="94"/>
      <c r="S739" s="94"/>
      <c r="T739" s="94"/>
      <c r="U739" s="94"/>
      <c r="V739" s="94"/>
      <c r="W739" s="94"/>
      <c r="X739" s="94"/>
      <c r="Y739" s="94">
        <f t="shared" si="229"/>
        <v>263.04775000000001</v>
      </c>
      <c r="Z739" s="235">
        <f>Z33-0.05</f>
        <v>262.88516315789462</v>
      </c>
      <c r="AA739" s="94">
        <f t="shared" si="233"/>
        <v>-0.16258684210538377</v>
      </c>
      <c r="AB739" s="1">
        <f t="shared" si="234"/>
        <v>10</v>
      </c>
      <c r="AC739" s="1">
        <f t="shared" si="235"/>
        <v>-8.1293421052691883</v>
      </c>
      <c r="AD739" s="306">
        <f>SUM(AC720:AC739)</f>
        <v>102.42815789467841</v>
      </c>
    </row>
    <row r="740" spans="1:30" ht="14.25" customHeight="1" x14ac:dyDescent="0.45">
      <c r="A740" s="79"/>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spans="1:30" ht="14.25" customHeight="1" x14ac:dyDescent="0.45">
      <c r="A741" s="79"/>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spans="1:30" ht="14.25" customHeight="1" x14ac:dyDescent="0.45">
      <c r="A742" s="79"/>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spans="1:30" ht="14.25" customHeight="1" x14ac:dyDescent="0.45">
      <c r="A743" s="79">
        <v>45</v>
      </c>
      <c r="B743" s="219">
        <v>0</v>
      </c>
      <c r="C743" s="244">
        <v>263.03050000000002</v>
      </c>
      <c r="D743" s="244">
        <v>263.07940000000002</v>
      </c>
      <c r="E743" s="244">
        <v>263.19760000000002</v>
      </c>
      <c r="F743" s="244">
        <v>263.30239999999998</v>
      </c>
      <c r="G743" s="244">
        <v>263.22019999999998</v>
      </c>
      <c r="H743" s="244">
        <v>263.149</v>
      </c>
      <c r="I743" s="244">
        <v>263.15649999999999</v>
      </c>
      <c r="J743" s="244">
        <v>263.08659999999998</v>
      </c>
      <c r="K743" s="244">
        <v>262.87119999999999</v>
      </c>
      <c r="L743" s="244">
        <v>262.90129999999999</v>
      </c>
      <c r="M743" s="244">
        <v>263.07600000000002</v>
      </c>
      <c r="N743" s="244">
        <v>263.0575</v>
      </c>
      <c r="O743" s="244">
        <v>262.95510000000002</v>
      </c>
      <c r="P743" s="244">
        <v>262.8723</v>
      </c>
      <c r="Q743" s="244">
        <v>263.0677</v>
      </c>
      <c r="R743" s="244">
        <v>263.18369999999999</v>
      </c>
      <c r="S743" s="244">
        <v>263.01679999999999</v>
      </c>
      <c r="T743" s="244">
        <v>263.11349999999999</v>
      </c>
      <c r="U743" s="244">
        <v>262.68150000000003</v>
      </c>
      <c r="V743" s="244">
        <v>263.09609999999998</v>
      </c>
      <c r="W743" s="94"/>
      <c r="X743" s="94"/>
      <c r="Y743" s="94">
        <f>AVERAGE(C743:X743)</f>
        <v>263.055745</v>
      </c>
      <c r="Z743" s="235">
        <f>Z13-0.1</f>
        <v>262.83516315789461</v>
      </c>
      <c r="AA743" s="94">
        <f t="shared" ref="AA743:AA744" si="237">Z743-Y743</f>
        <v>-0.22058184210538911</v>
      </c>
      <c r="AB743" s="1">
        <f>COUNTIF(C743:X743,"&gt;0")*5</f>
        <v>100</v>
      </c>
      <c r="AC743" s="1">
        <f t="shared" ref="AC743:AC744" si="238">AA743*AB743*5</f>
        <v>-110.29092105269456</v>
      </c>
    </row>
    <row r="744" spans="1:30" ht="14.25" customHeight="1" x14ac:dyDescent="0.45">
      <c r="A744" s="79"/>
      <c r="B744" s="219">
        <v>5</v>
      </c>
      <c r="C744" s="244">
        <v>262.96390000000002</v>
      </c>
      <c r="D744" s="244">
        <v>263.05689999999998</v>
      </c>
      <c r="E744" s="244">
        <v>263.00310000000002</v>
      </c>
      <c r="F744" s="244">
        <v>263.19799999999998</v>
      </c>
      <c r="G744" s="244">
        <v>262.99990000000003</v>
      </c>
      <c r="H744" s="244">
        <v>262.9975</v>
      </c>
      <c r="I744" s="244">
        <v>263.05930000000001</v>
      </c>
      <c r="J744" s="244">
        <v>262.93239999999997</v>
      </c>
      <c r="K744" s="244">
        <v>262.84690000000001</v>
      </c>
      <c r="L744" s="244">
        <v>262.91000000000003</v>
      </c>
      <c r="M744" s="244">
        <v>263.04640000000001</v>
      </c>
      <c r="N744" s="244">
        <v>263.04180000000002</v>
      </c>
      <c r="O744" s="244">
        <v>263.02789999999999</v>
      </c>
      <c r="P744" s="244">
        <v>263.1397</v>
      </c>
      <c r="Q744" s="244">
        <v>262.98</v>
      </c>
      <c r="R744" s="244">
        <v>263.10700000000003</v>
      </c>
      <c r="S744" s="244">
        <v>262.92649999999998</v>
      </c>
      <c r="T744" s="244">
        <v>263.1046</v>
      </c>
      <c r="U744" s="244">
        <v>262.66230000000002</v>
      </c>
      <c r="V744" s="244">
        <v>263.28469999999999</v>
      </c>
      <c r="W744" s="94"/>
      <c r="X744" s="94"/>
      <c r="Y744" s="94">
        <f>AVERAGE(C744:X744)</f>
        <v>263.01444000000004</v>
      </c>
      <c r="Z744" s="94">
        <f>Z743</f>
        <v>262.83516315789461</v>
      </c>
      <c r="AA744" s="94">
        <f t="shared" si="237"/>
        <v>-0.17927684210542338</v>
      </c>
      <c r="AB744" s="1">
        <f>COUNTIF(C744:X744,"&gt;0")*5</f>
        <v>100</v>
      </c>
      <c r="AC744" s="1">
        <f t="shared" si="238"/>
        <v>-89.638421052711692</v>
      </c>
      <c r="AD744" s="306">
        <f>SUM(AC743:AC744)</f>
        <v>-199.92934210540625</v>
      </c>
    </row>
    <row r="745" spans="1:30" ht="14.25" customHeight="1" x14ac:dyDescent="0.45">
      <c r="A745" s="79"/>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spans="1:30" ht="14.25" customHeight="1" x14ac:dyDescent="0.45">
      <c r="A746" s="79"/>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spans="1:30" ht="14.25" customHeight="1" x14ac:dyDescent="0.45">
      <c r="A747" s="79">
        <v>46</v>
      </c>
      <c r="B747" s="219">
        <v>0</v>
      </c>
      <c r="C747" s="246">
        <v>262.89800000000002</v>
      </c>
      <c r="D747" s="246">
        <v>262.8184</v>
      </c>
      <c r="E747" s="246">
        <v>262.91739999999999</v>
      </c>
      <c r="F747" s="246">
        <v>262.90519999999998</v>
      </c>
      <c r="G747" s="246">
        <v>262.95780000000002</v>
      </c>
      <c r="H747" s="246">
        <v>263.02699999999999</v>
      </c>
      <c r="I747" s="246">
        <v>263.18090000000001</v>
      </c>
      <c r="J747" s="246">
        <v>263.26850000000002</v>
      </c>
      <c r="K747" s="246">
        <v>263.03519999999997</v>
      </c>
      <c r="L747" s="246">
        <v>263.17700000000002</v>
      </c>
      <c r="M747" s="246">
        <v>263.12009999999998</v>
      </c>
      <c r="N747" s="246">
        <v>262.98450000000003</v>
      </c>
      <c r="O747" s="246">
        <v>262.99520000000001</v>
      </c>
      <c r="P747" s="246">
        <v>262.83449999999999</v>
      </c>
      <c r="Q747" s="246">
        <v>263.03089999999997</v>
      </c>
      <c r="R747" s="246">
        <v>263.11309999999997</v>
      </c>
      <c r="S747" s="246">
        <v>263.01519999999999</v>
      </c>
      <c r="T747" s="94"/>
      <c r="U747" s="94"/>
      <c r="V747" s="94"/>
      <c r="W747" s="94"/>
      <c r="X747" s="94"/>
      <c r="Y747" s="94">
        <f>AVERAGE(C747:X747)</f>
        <v>263.0164058823529</v>
      </c>
      <c r="Z747" s="235">
        <f>Z45-0.2</f>
        <v>263.49499375000011</v>
      </c>
      <c r="AA747" s="94">
        <f t="shared" ref="AA747:AA749" si="239">Z747-Y747</f>
        <v>0.47858786764720662</v>
      </c>
      <c r="AB747" s="1">
        <f>COUNTIF(C747:X747,"&gt;0")*5</f>
        <v>85</v>
      </c>
      <c r="AC747" s="1">
        <f t="shared" ref="AC747:AC749" si="240">AA747*AB747*5</f>
        <v>203.39984375006281</v>
      </c>
    </row>
    <row r="748" spans="1:30" ht="14.25" customHeight="1" x14ac:dyDescent="0.45">
      <c r="A748" s="79"/>
      <c r="B748" s="219">
        <v>5</v>
      </c>
      <c r="C748" s="246">
        <v>262.86779999999999</v>
      </c>
      <c r="D748" s="246">
        <v>262.88290000000001</v>
      </c>
      <c r="E748" s="246">
        <v>263.1028</v>
      </c>
      <c r="F748" s="246">
        <v>263.00409999999999</v>
      </c>
      <c r="G748" s="246">
        <v>262.92680000000001</v>
      </c>
      <c r="H748" s="246">
        <v>262.9631</v>
      </c>
      <c r="I748" s="246">
        <v>263.13479999999998</v>
      </c>
      <c r="J748" s="246">
        <v>263.315</v>
      </c>
      <c r="K748" s="246">
        <v>263.24759999999998</v>
      </c>
      <c r="L748" s="246">
        <v>263.19600000000003</v>
      </c>
      <c r="M748" s="246">
        <v>263.08350000000002</v>
      </c>
      <c r="N748" s="246">
        <v>263.03620000000001</v>
      </c>
      <c r="O748" s="246">
        <v>263.03539999999998</v>
      </c>
      <c r="P748" s="246">
        <v>263.06529999999998</v>
      </c>
      <c r="Q748" s="246">
        <v>263.11930000000001</v>
      </c>
      <c r="R748" s="246">
        <v>263.21679999999998</v>
      </c>
      <c r="S748" s="214"/>
      <c r="T748" s="94"/>
      <c r="U748" s="94"/>
      <c r="V748" s="94"/>
      <c r="W748" s="94"/>
      <c r="X748" s="94"/>
      <c r="Y748" s="94">
        <f>AVERAGE(C748:X748)</f>
        <v>263.0748375</v>
      </c>
      <c r="Z748" s="94">
        <f>Z747</f>
        <v>263.49499375000011</v>
      </c>
      <c r="AA748" s="94">
        <f t="shared" si="239"/>
        <v>0.42015625000010459</v>
      </c>
      <c r="AB748" s="1">
        <f>COUNTIF(C748:X748,"&gt;0")*5</f>
        <v>80</v>
      </c>
      <c r="AC748" s="1">
        <f t="shared" si="240"/>
        <v>168.06250000004184</v>
      </c>
    </row>
    <row r="749" spans="1:30" ht="14.25" customHeight="1" x14ac:dyDescent="0.45">
      <c r="A749" s="79"/>
      <c r="B749" s="219">
        <v>10</v>
      </c>
      <c r="C749" s="246">
        <v>263.28870000000001</v>
      </c>
      <c r="D749" s="246">
        <v>263.08330000000001</v>
      </c>
      <c r="E749" s="214"/>
      <c r="F749" s="214"/>
      <c r="G749" s="94"/>
      <c r="H749" s="94"/>
      <c r="I749" s="94"/>
      <c r="J749" s="94"/>
      <c r="K749" s="94"/>
      <c r="L749" s="94"/>
      <c r="M749" s="94"/>
      <c r="N749" s="94"/>
      <c r="O749" s="94"/>
      <c r="P749" s="94"/>
      <c r="Q749" s="94"/>
      <c r="R749" s="94"/>
      <c r="S749" s="94"/>
      <c r="T749" s="94"/>
      <c r="U749" s="94"/>
      <c r="V749" s="94"/>
      <c r="W749" s="94"/>
      <c r="X749" s="94"/>
      <c r="Y749" s="94">
        <f>AVERAGE(C749:X749)</f>
        <v>263.18600000000004</v>
      </c>
      <c r="Z749" s="94">
        <f>Z748</f>
        <v>263.49499375000011</v>
      </c>
      <c r="AA749" s="94">
        <f t="shared" si="239"/>
        <v>0.30899375000007012</v>
      </c>
      <c r="AB749" s="1">
        <f>COUNTIF(C749:X749,"&gt;0")*5</f>
        <v>10</v>
      </c>
      <c r="AC749" s="1">
        <f t="shared" si="240"/>
        <v>15.449687500003506</v>
      </c>
      <c r="AD749" s="306">
        <f>SUM(AC747:AC749)</f>
        <v>386.91203125010816</v>
      </c>
    </row>
    <row r="750" spans="1:30" ht="14.25" customHeight="1" x14ac:dyDescent="0.45">
      <c r="A750" s="79"/>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spans="1:30" ht="14.25" customHeight="1" x14ac:dyDescent="0.45">
      <c r="A751" s="79"/>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spans="1:30" ht="14.25" customHeight="1" x14ac:dyDescent="0.45">
      <c r="A752" s="79">
        <v>47</v>
      </c>
      <c r="B752" s="219">
        <v>0</v>
      </c>
      <c r="C752" s="264">
        <v>262.73570000000001</v>
      </c>
      <c r="D752" s="264">
        <v>262.72059999999999</v>
      </c>
      <c r="E752" s="264">
        <v>262.73399999999998</v>
      </c>
      <c r="F752" s="264">
        <v>262.93790000000001</v>
      </c>
      <c r="G752" s="264">
        <v>262.77330000000001</v>
      </c>
      <c r="H752" s="264">
        <v>262.76920000000001</v>
      </c>
      <c r="I752" s="264">
        <v>262.8689</v>
      </c>
      <c r="J752" s="264">
        <v>262.8032</v>
      </c>
      <c r="K752" s="264">
        <v>262.83260000000001</v>
      </c>
      <c r="L752" s="94"/>
      <c r="M752" s="94"/>
      <c r="N752" s="94"/>
      <c r="O752" s="94"/>
      <c r="P752" s="94"/>
      <c r="Q752" s="94"/>
      <c r="R752" s="94"/>
      <c r="S752" s="94"/>
      <c r="T752" s="94"/>
      <c r="U752" s="94"/>
      <c r="V752" s="94"/>
      <c r="W752" s="94"/>
      <c r="X752" s="94"/>
      <c r="Y752" s="94">
        <f>AVERAGE(C752:X752)</f>
        <v>262.7972666666667</v>
      </c>
      <c r="Z752" s="235">
        <f>Z42-0.095-0.1</f>
        <v>263.34999375000001</v>
      </c>
      <c r="AA752" s="94">
        <f>Z752-Y752</f>
        <v>0.55272708333330911</v>
      </c>
      <c r="AB752" s="1">
        <f>COUNTIF(C752:X752,"&gt;0")*5</f>
        <v>45</v>
      </c>
      <c r="AC752" s="1">
        <f t="shared" ref="AC752" si="241">AA752*AB752*5</f>
        <v>124.36359374999455</v>
      </c>
    </row>
    <row r="753" spans="1:30" ht="14.25" customHeight="1" x14ac:dyDescent="0.45">
      <c r="A753" s="79"/>
      <c r="B753" s="219">
        <v>5</v>
      </c>
      <c r="C753" s="264">
        <v>262.7586</v>
      </c>
      <c r="D753" s="264">
        <v>262.78640000000001</v>
      </c>
      <c r="E753" s="264">
        <v>263.07740000000001</v>
      </c>
      <c r="F753" s="94"/>
      <c r="G753" s="94"/>
      <c r="H753" s="94"/>
      <c r="I753" s="94"/>
      <c r="J753" s="94"/>
      <c r="K753" s="94"/>
      <c r="L753" s="94"/>
      <c r="M753" s="94"/>
      <c r="N753" s="94"/>
      <c r="O753" s="94"/>
      <c r="P753" s="94"/>
      <c r="Q753" s="94"/>
      <c r="R753" s="94"/>
      <c r="S753" s="94"/>
      <c r="T753" s="94"/>
      <c r="U753" s="94"/>
      <c r="V753" s="94"/>
      <c r="W753" s="94"/>
      <c r="X753" s="94"/>
      <c r="Y753" s="94">
        <f>AVERAGE(C753:X753)</f>
        <v>262.87413333333336</v>
      </c>
      <c r="Z753" s="94">
        <f>Z752+5/100</f>
        <v>263.39999375000002</v>
      </c>
      <c r="AA753" s="94">
        <f>Z753-Y753</f>
        <v>0.52586041666666006</v>
      </c>
      <c r="AB753" s="1">
        <f>COUNTIF(C753:X753,"&gt;0")*5</f>
        <v>15</v>
      </c>
      <c r="AC753" s="1">
        <f t="shared" ref="AC753" si="242">AA753*AB753*5</f>
        <v>39.439531249999504</v>
      </c>
    </row>
    <row r="754" spans="1:30" ht="14.25" customHeight="1" x14ac:dyDescent="0.45">
      <c r="A754" s="79"/>
      <c r="B754" s="219">
        <v>10</v>
      </c>
      <c r="C754" s="264">
        <v>263.04090000000002</v>
      </c>
      <c r="D754" s="264">
        <v>263.0421</v>
      </c>
      <c r="E754" s="214">
        <v>263.05869999999999</v>
      </c>
      <c r="F754" s="94"/>
      <c r="G754" s="94"/>
      <c r="H754" s="94"/>
      <c r="I754" s="94"/>
      <c r="J754" s="94"/>
      <c r="K754" s="94"/>
      <c r="L754" s="94"/>
      <c r="M754" s="94"/>
      <c r="N754" s="94"/>
      <c r="O754" s="94"/>
      <c r="P754" s="94"/>
      <c r="Q754" s="94"/>
      <c r="R754" s="94"/>
      <c r="S754" s="94"/>
      <c r="T754" s="94"/>
      <c r="U754" s="94"/>
      <c r="V754" s="94"/>
      <c r="W754" s="94"/>
      <c r="X754" s="94"/>
      <c r="Y754" s="94">
        <f>AVERAGE(C754:X754)</f>
        <v>263.04723333333339</v>
      </c>
      <c r="Z754" s="94">
        <f>Z753+5/100</f>
        <v>263.44999375000003</v>
      </c>
      <c r="AA754" s="94">
        <f t="shared" ref="AA754:AA755" si="243">Z754-Y754</f>
        <v>0.40276041666663787</v>
      </c>
      <c r="AB754" s="1">
        <f t="shared" ref="AB754:AB755" si="244">COUNTIF(C754:X754,"&gt;0")*5</f>
        <v>15</v>
      </c>
      <c r="AC754" s="1">
        <f t="shared" ref="AC754:AC755" si="245">AA754*AB754*5</f>
        <v>30.20703124999784</v>
      </c>
    </row>
    <row r="755" spans="1:30" ht="14.25" customHeight="1" x14ac:dyDescent="0.45">
      <c r="A755" s="79"/>
      <c r="B755" s="219">
        <v>15</v>
      </c>
      <c r="C755" s="264">
        <v>262.98570000000001</v>
      </c>
      <c r="D755" s="264">
        <v>263.08850000000001</v>
      </c>
      <c r="E755" s="94"/>
      <c r="F755" s="94"/>
      <c r="G755" s="94"/>
      <c r="H755" s="94"/>
      <c r="I755" s="94"/>
      <c r="J755" s="94"/>
      <c r="K755" s="94"/>
      <c r="L755" s="94"/>
      <c r="M755" s="94"/>
      <c r="N755" s="94"/>
      <c r="O755" s="94"/>
      <c r="P755" s="94"/>
      <c r="Q755" s="94"/>
      <c r="R755" s="94"/>
      <c r="S755" s="94"/>
      <c r="T755" s="94"/>
      <c r="U755" s="94"/>
      <c r="V755" s="94"/>
      <c r="W755" s="94"/>
      <c r="X755" s="94"/>
      <c r="Y755" s="94">
        <f>AVERAGE(C755:X755)</f>
        <v>263.03710000000001</v>
      </c>
      <c r="Z755" s="94">
        <f>Z754+5/100</f>
        <v>263.49999375000004</v>
      </c>
      <c r="AA755" s="94">
        <f t="shared" si="243"/>
        <v>0.46289375000003474</v>
      </c>
      <c r="AB755" s="1">
        <f t="shared" si="244"/>
        <v>10</v>
      </c>
      <c r="AC755" s="1">
        <f t="shared" si="245"/>
        <v>23.144687500001737</v>
      </c>
      <c r="AD755" s="306">
        <f>SUM(AC752:AC755)</f>
        <v>217.15484374999363</v>
      </c>
    </row>
    <row r="756" spans="1:30" ht="14.25" customHeight="1" x14ac:dyDescent="0.45">
      <c r="A756" s="79"/>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spans="1:30" ht="14.25" customHeight="1" x14ac:dyDescent="0.45">
      <c r="A757" s="79"/>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spans="1:30" ht="14.25" customHeight="1" x14ac:dyDescent="0.45">
      <c r="A758" s="79"/>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spans="1:30" ht="14.25" customHeight="1" x14ac:dyDescent="0.45">
      <c r="A759" s="79">
        <v>48</v>
      </c>
      <c r="B759" s="219">
        <v>0</v>
      </c>
      <c r="C759" s="261">
        <v>262.96660000000003</v>
      </c>
      <c r="D759" s="261">
        <v>262.92239999999998</v>
      </c>
      <c r="E759" s="261">
        <v>262.74079999999998</v>
      </c>
      <c r="F759" s="261">
        <v>262.8818</v>
      </c>
      <c r="G759" s="261">
        <v>262.76330000000002</v>
      </c>
      <c r="H759" s="261">
        <v>263.0967</v>
      </c>
      <c r="I759" s="261">
        <v>262.82080000000002</v>
      </c>
      <c r="J759" s="261">
        <v>262.84750000000003</v>
      </c>
      <c r="K759" s="261">
        <v>263.06720000000001</v>
      </c>
      <c r="L759" s="261">
        <v>262.85750000000002</v>
      </c>
      <c r="M759" s="261">
        <v>262.66829999999999</v>
      </c>
      <c r="N759" s="94"/>
      <c r="O759" s="94"/>
      <c r="P759" s="94"/>
      <c r="Q759" s="94"/>
      <c r="R759" s="94"/>
      <c r="S759" s="94"/>
      <c r="T759" s="94"/>
      <c r="U759" s="94"/>
      <c r="V759" s="94"/>
      <c r="W759" s="94"/>
      <c r="X759" s="94"/>
      <c r="Y759" s="94">
        <f t="shared" ref="Y759:Y766" si="246">AVERAGE(C759:X759)</f>
        <v>262.87571818181817</v>
      </c>
      <c r="Z759" s="319">
        <f>Z752-0.15</f>
        <v>263.19999375000003</v>
      </c>
      <c r="AA759" s="94">
        <f t="shared" ref="AA759:AA766" si="247">Z759-Y759</f>
        <v>0.32427556818186076</v>
      </c>
      <c r="AB759" s="1">
        <f t="shared" ref="AB759:AB766" si="248">COUNTIF(C759:X759,"&gt;0")*5</f>
        <v>55</v>
      </c>
      <c r="AC759" s="1">
        <f t="shared" ref="AC759:AC766" si="249">AA759*AB759*5</f>
        <v>89.17578125001171</v>
      </c>
    </row>
    <row r="760" spans="1:30" ht="14.25" customHeight="1" x14ac:dyDescent="0.45">
      <c r="A760" s="79"/>
      <c r="B760" s="219">
        <v>5</v>
      </c>
      <c r="C760" s="261">
        <v>263.12259999999998</v>
      </c>
      <c r="D760" s="261">
        <v>263.15519999999998</v>
      </c>
      <c r="E760" s="261">
        <v>262.9753</v>
      </c>
      <c r="F760" s="261">
        <v>262.95979999999997</v>
      </c>
      <c r="G760" s="261">
        <v>263.0231</v>
      </c>
      <c r="H760" s="261">
        <v>263.01659999999998</v>
      </c>
      <c r="I760" s="261">
        <v>263.12290000000002</v>
      </c>
      <c r="J760" s="261">
        <v>263.1619</v>
      </c>
      <c r="K760" s="261">
        <v>263.11369999999999</v>
      </c>
      <c r="L760" s="261">
        <v>262.75450000000001</v>
      </c>
      <c r="M760" s="261">
        <v>262.6644</v>
      </c>
      <c r="N760" s="94"/>
      <c r="O760" s="94"/>
      <c r="P760" s="94"/>
      <c r="Q760" s="94"/>
      <c r="R760" s="94"/>
      <c r="S760" s="94"/>
      <c r="T760" s="94"/>
      <c r="U760" s="94"/>
      <c r="V760" s="94"/>
      <c r="W760" s="94"/>
      <c r="X760" s="94"/>
      <c r="Y760" s="94">
        <f t="shared" si="246"/>
        <v>263.00636363636363</v>
      </c>
      <c r="Z760" s="94">
        <f>Z759</f>
        <v>263.19999375000003</v>
      </c>
      <c r="AA760" s="94">
        <f t="shared" si="247"/>
        <v>0.19363011363640226</v>
      </c>
      <c r="AB760" s="1">
        <f t="shared" si="248"/>
        <v>55</v>
      </c>
      <c r="AC760" s="1">
        <f t="shared" si="249"/>
        <v>53.248281250010621</v>
      </c>
    </row>
    <row r="761" spans="1:30" ht="14.25" customHeight="1" x14ac:dyDescent="0.45">
      <c r="A761" s="79"/>
      <c r="B761" s="219">
        <v>10</v>
      </c>
      <c r="C761" s="261">
        <v>263.26760000000002</v>
      </c>
      <c r="D761" s="261">
        <v>263.16050000000001</v>
      </c>
      <c r="E761" s="261">
        <v>263.16070000000002</v>
      </c>
      <c r="F761" s="261">
        <v>263.22879999999998</v>
      </c>
      <c r="G761" s="261">
        <v>262.99990000000003</v>
      </c>
      <c r="H761" s="261">
        <v>263.14299999999997</v>
      </c>
      <c r="I761" s="261">
        <v>263.07639999999998</v>
      </c>
      <c r="J761" s="261">
        <v>263.05930000000001</v>
      </c>
      <c r="K761" s="261">
        <v>262.8793</v>
      </c>
      <c r="L761" s="261">
        <v>262.70139999999998</v>
      </c>
      <c r="M761" s="261">
        <v>262.69670000000002</v>
      </c>
      <c r="N761" s="94"/>
      <c r="O761" s="94"/>
      <c r="P761" s="94"/>
      <c r="Q761" s="94"/>
      <c r="R761" s="94"/>
      <c r="S761" s="94"/>
      <c r="T761" s="94"/>
      <c r="U761" s="94"/>
      <c r="V761" s="94"/>
      <c r="W761" s="94"/>
      <c r="X761" s="94"/>
      <c r="Y761" s="94">
        <f t="shared" si="246"/>
        <v>263.03396363636364</v>
      </c>
      <c r="Z761" s="94">
        <f t="shared" ref="Z761:Z766" si="250">Z760</f>
        <v>263.19999375000003</v>
      </c>
      <c r="AA761" s="94">
        <f t="shared" si="247"/>
        <v>0.16603011363639553</v>
      </c>
      <c r="AB761" s="1">
        <f t="shared" si="248"/>
        <v>55</v>
      </c>
      <c r="AC761" s="1">
        <f t="shared" si="249"/>
        <v>45.65828125000877</v>
      </c>
    </row>
    <row r="762" spans="1:30" ht="14.25" customHeight="1" x14ac:dyDescent="0.45">
      <c r="A762" s="79"/>
      <c r="B762" s="219">
        <v>15</v>
      </c>
      <c r="C762" s="261">
        <v>263.23500000000001</v>
      </c>
      <c r="D762" s="261">
        <v>263.14089999999999</v>
      </c>
      <c r="E762" s="261">
        <v>262.88659999999999</v>
      </c>
      <c r="F762" s="261">
        <v>263.00310000000002</v>
      </c>
      <c r="G762" s="261">
        <v>263.28550000000001</v>
      </c>
      <c r="H762" s="261">
        <v>263.1003</v>
      </c>
      <c r="I762" s="261">
        <v>262.84199999999998</v>
      </c>
      <c r="J762" s="261">
        <v>262.9203</v>
      </c>
      <c r="K762" s="261">
        <v>262.71269999999998</v>
      </c>
      <c r="L762" s="261">
        <v>262.70859999999999</v>
      </c>
      <c r="M762" s="261">
        <v>262.69839999999999</v>
      </c>
      <c r="N762" s="94"/>
      <c r="O762" s="94"/>
      <c r="P762" s="94"/>
      <c r="Q762" s="94"/>
      <c r="R762" s="94"/>
      <c r="S762" s="94"/>
      <c r="T762" s="94"/>
      <c r="U762" s="94"/>
      <c r="V762" s="94"/>
      <c r="W762" s="94"/>
      <c r="X762" s="94"/>
      <c r="Y762" s="94">
        <f t="shared" si="246"/>
        <v>262.95758181818184</v>
      </c>
      <c r="Z762" s="94">
        <f t="shared" si="250"/>
        <v>263.19999375000003</v>
      </c>
      <c r="AA762" s="94">
        <f t="shared" si="247"/>
        <v>0.24241193181819654</v>
      </c>
      <c r="AB762" s="1">
        <f t="shared" si="248"/>
        <v>55</v>
      </c>
      <c r="AC762" s="1">
        <f t="shared" si="249"/>
        <v>66.663281250004047</v>
      </c>
    </row>
    <row r="763" spans="1:30" ht="14.25" customHeight="1" x14ac:dyDescent="0.45">
      <c r="A763" s="79"/>
      <c r="B763" s="219">
        <v>20</v>
      </c>
      <c r="C763" s="261">
        <v>263.1968</v>
      </c>
      <c r="D763" s="261">
        <v>263.13080000000002</v>
      </c>
      <c r="E763" s="261">
        <v>263.11410000000001</v>
      </c>
      <c r="F763" s="261">
        <v>263.06279999999998</v>
      </c>
      <c r="G763" s="261">
        <v>262.87970000000001</v>
      </c>
      <c r="H763" s="261">
        <v>263.03190000000001</v>
      </c>
      <c r="I763" s="261">
        <v>262.99380000000002</v>
      </c>
      <c r="J763" s="261">
        <v>262.72680000000003</v>
      </c>
      <c r="K763" s="261">
        <v>262.7022</v>
      </c>
      <c r="L763" s="261">
        <v>262.68939999999998</v>
      </c>
      <c r="M763" s="261">
        <v>262.72239999999999</v>
      </c>
      <c r="N763" s="94"/>
      <c r="O763" s="94"/>
      <c r="P763" s="94"/>
      <c r="Q763" s="94"/>
      <c r="R763" s="94"/>
      <c r="S763" s="94"/>
      <c r="T763" s="94"/>
      <c r="U763" s="94"/>
      <c r="V763" s="94"/>
      <c r="W763" s="94"/>
      <c r="X763" s="94"/>
      <c r="Y763" s="94">
        <f t="shared" si="246"/>
        <v>262.93188181818181</v>
      </c>
      <c r="Z763" s="94">
        <f t="shared" si="250"/>
        <v>263.19999375000003</v>
      </c>
      <c r="AA763" s="94">
        <f t="shared" si="247"/>
        <v>0.26811193181822546</v>
      </c>
      <c r="AB763" s="1">
        <f t="shared" si="248"/>
        <v>55</v>
      </c>
      <c r="AC763" s="1">
        <f t="shared" si="249"/>
        <v>73.730781250012001</v>
      </c>
    </row>
    <row r="764" spans="1:30" ht="14.25" customHeight="1" x14ac:dyDescent="0.45">
      <c r="A764" s="79"/>
      <c r="B764" s="219">
        <v>25</v>
      </c>
      <c r="C764" s="261">
        <v>263.13909999999998</v>
      </c>
      <c r="D764" s="261">
        <v>263.08949999999999</v>
      </c>
      <c r="E764" s="261">
        <v>263.09460000000001</v>
      </c>
      <c r="F764" s="261">
        <v>263.05790000000002</v>
      </c>
      <c r="G764" s="261">
        <v>263.05959999999999</v>
      </c>
      <c r="H764" s="261">
        <v>262.85520000000002</v>
      </c>
      <c r="I764" s="261">
        <v>262.73340000000002</v>
      </c>
      <c r="J764" s="261">
        <v>262.7681</v>
      </c>
      <c r="K764" s="261">
        <v>262.74860000000001</v>
      </c>
      <c r="L764" s="261">
        <v>262.71080000000001</v>
      </c>
      <c r="M764" s="261">
        <v>262.73680000000002</v>
      </c>
      <c r="N764" s="94"/>
      <c r="O764" s="94"/>
      <c r="P764" s="94"/>
      <c r="Q764" s="94"/>
      <c r="R764" s="94"/>
      <c r="S764" s="94"/>
      <c r="T764" s="94"/>
      <c r="U764" s="94"/>
      <c r="V764" s="94"/>
      <c r="W764" s="94"/>
      <c r="X764" s="94"/>
      <c r="Y764" s="94">
        <f t="shared" si="246"/>
        <v>262.90850909090909</v>
      </c>
      <c r="Z764" s="94">
        <f t="shared" si="250"/>
        <v>263.19999375000003</v>
      </c>
      <c r="AA764" s="94">
        <f t="shared" si="247"/>
        <v>0.29148465909094057</v>
      </c>
      <c r="AB764" s="1">
        <f t="shared" si="248"/>
        <v>55</v>
      </c>
      <c r="AC764" s="1">
        <f t="shared" si="249"/>
        <v>80.158281250008656</v>
      </c>
    </row>
    <row r="765" spans="1:30" ht="14.25" customHeight="1" x14ac:dyDescent="0.45">
      <c r="A765" s="79"/>
      <c r="B765" s="219">
        <v>30</v>
      </c>
      <c r="C765" s="261">
        <v>263.12970000000001</v>
      </c>
      <c r="D765" s="261">
        <v>262.93220000000002</v>
      </c>
      <c r="E765" s="261">
        <v>263.02440000000001</v>
      </c>
      <c r="F765" s="261">
        <v>262.89550000000003</v>
      </c>
      <c r="G765" s="261">
        <v>262.97710000000001</v>
      </c>
      <c r="H765" s="261">
        <v>262.89460000000003</v>
      </c>
      <c r="I765" s="261">
        <v>262.7713</v>
      </c>
      <c r="J765" s="261">
        <v>262.8322</v>
      </c>
      <c r="K765" s="261">
        <v>262.75450000000001</v>
      </c>
      <c r="L765" s="261">
        <v>262.74299999999999</v>
      </c>
      <c r="M765" s="261">
        <v>262.76060000000001</v>
      </c>
      <c r="N765" s="94"/>
      <c r="O765" s="94"/>
      <c r="P765" s="94"/>
      <c r="Q765" s="94"/>
      <c r="R765" s="94"/>
      <c r="S765" s="94"/>
      <c r="T765" s="94"/>
      <c r="U765" s="94"/>
      <c r="V765" s="94"/>
      <c r="W765" s="94"/>
      <c r="X765" s="94"/>
      <c r="Y765" s="94">
        <f t="shared" si="246"/>
        <v>262.8831909090909</v>
      </c>
      <c r="Z765" s="94">
        <f t="shared" si="250"/>
        <v>263.19999375000003</v>
      </c>
      <c r="AA765" s="94">
        <f t="shared" si="247"/>
        <v>0.31680284090913347</v>
      </c>
      <c r="AB765" s="1">
        <f t="shared" si="248"/>
        <v>55</v>
      </c>
      <c r="AC765" s="1">
        <f t="shared" si="249"/>
        <v>87.120781250011703</v>
      </c>
    </row>
    <row r="766" spans="1:30" ht="14.25" customHeight="1" x14ac:dyDescent="0.45">
      <c r="A766" s="79"/>
      <c r="B766" s="219">
        <v>35</v>
      </c>
      <c r="C766" s="261">
        <v>262.87830000000002</v>
      </c>
      <c r="D766" s="261">
        <v>262.90660000000003</v>
      </c>
      <c r="E766" s="261">
        <v>262.83510000000001</v>
      </c>
      <c r="F766" s="261">
        <v>262.85019999999997</v>
      </c>
      <c r="G766" s="261">
        <v>262.72109999999998</v>
      </c>
      <c r="H766" s="261">
        <v>262.73110000000003</v>
      </c>
      <c r="I766" s="261">
        <v>262.75150000000002</v>
      </c>
      <c r="J766" s="261">
        <v>262.77769999999998</v>
      </c>
      <c r="K766" s="261">
        <v>262.77109999999999</v>
      </c>
      <c r="L766" s="261">
        <v>262.78550000000001</v>
      </c>
      <c r="M766" s="261">
        <v>262.78949999999998</v>
      </c>
      <c r="N766" s="94"/>
      <c r="O766" s="94"/>
      <c r="P766" s="94"/>
      <c r="Q766" s="94"/>
      <c r="R766" s="94"/>
      <c r="S766" s="94"/>
      <c r="T766" s="94"/>
      <c r="U766" s="94"/>
      <c r="V766" s="94"/>
      <c r="W766" s="94"/>
      <c r="X766" s="94"/>
      <c r="Y766" s="94">
        <f t="shared" si="246"/>
        <v>262.79979090909092</v>
      </c>
      <c r="Z766" s="94">
        <f t="shared" si="250"/>
        <v>263.19999375000003</v>
      </c>
      <c r="AA766" s="94">
        <f t="shared" si="247"/>
        <v>0.40020284090911673</v>
      </c>
      <c r="AB766" s="1">
        <f t="shared" si="248"/>
        <v>55</v>
      </c>
      <c r="AC766" s="1">
        <f t="shared" si="249"/>
        <v>110.0557812500071</v>
      </c>
      <c r="AD766" s="306">
        <f>SUM(AC759:AC766)</f>
        <v>605.81125000007455</v>
      </c>
    </row>
    <row r="770" spans="1:30" ht="14.25" customHeight="1" x14ac:dyDescent="0.45">
      <c r="A770" s="79">
        <v>49</v>
      </c>
      <c r="B770" s="219">
        <v>0</v>
      </c>
      <c r="C770" s="265">
        <v>262.76409999999998</v>
      </c>
      <c r="D770" s="265">
        <v>262.6927</v>
      </c>
      <c r="E770" s="265">
        <v>262.63740000000001</v>
      </c>
      <c r="F770" s="265">
        <v>263.0009</v>
      </c>
      <c r="G770" s="94"/>
      <c r="H770" s="94"/>
      <c r="I770" s="94"/>
      <c r="J770" s="94"/>
      <c r="K770" s="94"/>
      <c r="L770" s="94"/>
      <c r="M770" s="94"/>
      <c r="N770" s="94"/>
      <c r="O770" s="94"/>
      <c r="P770" s="94"/>
      <c r="Q770" s="94"/>
      <c r="R770" s="94"/>
      <c r="S770" s="94"/>
      <c r="T770" s="94"/>
      <c r="U770" s="94"/>
      <c r="V770" s="94"/>
      <c r="W770" s="94"/>
      <c r="X770" s="94"/>
      <c r="Y770" s="94">
        <f t="shared" ref="Y770:Y780" si="251">AVERAGE(C770:X770)</f>
        <v>262.773775</v>
      </c>
      <c r="Z770" s="319">
        <f t="shared" ref="Z770:Z780" si="252">Z23-0.1</f>
        <v>263.33516315789473</v>
      </c>
      <c r="AA770" s="94">
        <f t="shared" ref="AA770:AA780" si="253">Z770-Y770</f>
        <v>0.56138815789472574</v>
      </c>
      <c r="AB770" s="1">
        <f t="shared" ref="AB770:AB780" si="254">COUNTIF(C770:X770,"&gt;0")*5</f>
        <v>20</v>
      </c>
      <c r="AC770" s="1">
        <f t="shared" ref="AC770:AC780" si="255">AA770*AB770*5</f>
        <v>56.138815789472574</v>
      </c>
    </row>
    <row r="771" spans="1:30" ht="14.25" customHeight="1" x14ac:dyDescent="0.45">
      <c r="A771" s="79"/>
      <c r="B771" s="219">
        <v>5</v>
      </c>
      <c r="C771" s="265">
        <v>262.83139999999997</v>
      </c>
      <c r="D771" s="265">
        <v>262.63630000000001</v>
      </c>
      <c r="E771" s="265">
        <v>262.61649999999997</v>
      </c>
      <c r="F771" s="265">
        <v>263.32600000000002</v>
      </c>
      <c r="G771" s="94"/>
      <c r="H771" s="94"/>
      <c r="I771" s="94"/>
      <c r="J771" s="94"/>
      <c r="K771" s="94"/>
      <c r="L771" s="94"/>
      <c r="M771" s="94"/>
      <c r="N771" s="94"/>
      <c r="O771" s="94"/>
      <c r="P771" s="94"/>
      <c r="Q771" s="94"/>
      <c r="R771" s="94"/>
      <c r="S771" s="94"/>
      <c r="T771" s="94"/>
      <c r="U771" s="94"/>
      <c r="V771" s="94"/>
      <c r="W771" s="94"/>
      <c r="X771" s="94"/>
      <c r="Y771" s="94">
        <f t="shared" si="251"/>
        <v>262.85254999999995</v>
      </c>
      <c r="Z771" s="94">
        <f t="shared" si="252"/>
        <v>263.28516315789471</v>
      </c>
      <c r="AA771" s="94">
        <f t="shared" si="253"/>
        <v>0.43261315789476384</v>
      </c>
      <c r="AB771" s="1">
        <f t="shared" si="254"/>
        <v>20</v>
      </c>
      <c r="AC771" s="1">
        <f t="shared" si="255"/>
        <v>43.261315789476384</v>
      </c>
    </row>
    <row r="772" spans="1:30" ht="14.25" customHeight="1" x14ac:dyDescent="0.45">
      <c r="A772" s="79"/>
      <c r="B772" s="219">
        <v>10</v>
      </c>
      <c r="C772" s="265">
        <v>262.97149999999999</v>
      </c>
      <c r="D772" s="265">
        <v>262.84089999999998</v>
      </c>
      <c r="E772" s="265">
        <v>262.62090000000001</v>
      </c>
      <c r="F772" s="265">
        <v>263.32069999999999</v>
      </c>
      <c r="G772" s="94"/>
      <c r="H772" s="94"/>
      <c r="I772" s="94"/>
      <c r="J772" s="94"/>
      <c r="K772" s="94"/>
      <c r="L772" s="94"/>
      <c r="M772" s="94"/>
      <c r="N772" s="94"/>
      <c r="O772" s="94"/>
      <c r="P772" s="94"/>
      <c r="Q772" s="94"/>
      <c r="R772" s="94"/>
      <c r="S772" s="94"/>
      <c r="T772" s="94"/>
      <c r="U772" s="94"/>
      <c r="V772" s="94"/>
      <c r="W772" s="94"/>
      <c r="X772" s="94"/>
      <c r="Y772" s="94">
        <f t="shared" si="251"/>
        <v>262.93849999999998</v>
      </c>
      <c r="Z772" s="94">
        <f t="shared" si="252"/>
        <v>263.2351631578947</v>
      </c>
      <c r="AA772" s="94">
        <f t="shared" si="253"/>
        <v>0.29666315789472719</v>
      </c>
      <c r="AB772" s="1">
        <f t="shared" si="254"/>
        <v>20</v>
      </c>
      <c r="AC772" s="1">
        <f t="shared" si="255"/>
        <v>29.666315789472719</v>
      </c>
    </row>
    <row r="773" spans="1:30" ht="14.25" customHeight="1" x14ac:dyDescent="0.45">
      <c r="A773" s="79"/>
      <c r="B773" s="219">
        <v>15</v>
      </c>
      <c r="C773" s="265">
        <v>262.8193</v>
      </c>
      <c r="D773" s="265">
        <v>262.67669999999998</v>
      </c>
      <c r="E773" s="265">
        <v>262.61720000000003</v>
      </c>
      <c r="F773" s="214"/>
      <c r="G773" s="94"/>
      <c r="H773" s="94"/>
      <c r="I773" s="94"/>
      <c r="J773" s="94"/>
      <c r="K773" s="94"/>
      <c r="L773" s="94"/>
      <c r="M773" s="94"/>
      <c r="N773" s="94"/>
      <c r="O773" s="94"/>
      <c r="P773" s="94"/>
      <c r="Q773" s="94"/>
      <c r="R773" s="94"/>
      <c r="S773" s="94"/>
      <c r="T773" s="94"/>
      <c r="U773" s="94"/>
      <c r="V773" s="94"/>
      <c r="W773" s="94"/>
      <c r="X773" s="94"/>
      <c r="Y773" s="94">
        <f t="shared" si="251"/>
        <v>262.70440000000002</v>
      </c>
      <c r="Z773" s="94">
        <f t="shared" si="252"/>
        <v>263.18516315789469</v>
      </c>
      <c r="AA773" s="94">
        <f t="shared" si="253"/>
        <v>0.48076315789467117</v>
      </c>
      <c r="AB773" s="1">
        <f t="shared" si="254"/>
        <v>15</v>
      </c>
      <c r="AC773" s="1">
        <f t="shared" si="255"/>
        <v>36.057236842100338</v>
      </c>
    </row>
    <row r="774" spans="1:30" ht="14.25" customHeight="1" x14ac:dyDescent="0.45">
      <c r="A774" s="79"/>
      <c r="B774" s="219">
        <v>20</v>
      </c>
      <c r="C774" s="265">
        <v>262.85379999999998</v>
      </c>
      <c r="D774" s="265">
        <v>262.59640000000002</v>
      </c>
      <c r="E774" s="265">
        <v>262.59899999999999</v>
      </c>
      <c r="F774" s="214"/>
      <c r="G774" s="94"/>
      <c r="H774" s="94"/>
      <c r="I774" s="94"/>
      <c r="J774" s="94"/>
      <c r="K774" s="94"/>
      <c r="L774" s="94"/>
      <c r="M774" s="94"/>
      <c r="N774" s="94"/>
      <c r="O774" s="94"/>
      <c r="P774" s="94"/>
      <c r="Q774" s="94"/>
      <c r="R774" s="94"/>
      <c r="S774" s="94"/>
      <c r="T774" s="94"/>
      <c r="U774" s="94"/>
      <c r="V774" s="94"/>
      <c r="W774" s="94"/>
      <c r="X774" s="94"/>
      <c r="Y774" s="94">
        <f t="shared" si="251"/>
        <v>262.68306666666666</v>
      </c>
      <c r="Z774" s="94">
        <f t="shared" si="252"/>
        <v>263.13516315789468</v>
      </c>
      <c r="AA774" s="94">
        <f t="shared" si="253"/>
        <v>0.4520964912280192</v>
      </c>
      <c r="AB774" s="1">
        <f t="shared" si="254"/>
        <v>15</v>
      </c>
      <c r="AC774" s="1">
        <f t="shared" si="255"/>
        <v>33.90723684210144</v>
      </c>
    </row>
    <row r="775" spans="1:30" ht="14.25" customHeight="1" x14ac:dyDescent="0.45">
      <c r="A775" s="79"/>
      <c r="B775" s="219">
        <v>25</v>
      </c>
      <c r="C775" s="265">
        <v>262.69080000000002</v>
      </c>
      <c r="D775" s="265">
        <v>262.63510000000002</v>
      </c>
      <c r="E775" s="265">
        <v>262.62270000000001</v>
      </c>
      <c r="F775" s="94"/>
      <c r="G775" s="94"/>
      <c r="H775" s="94"/>
      <c r="I775" s="94"/>
      <c r="J775" s="94"/>
      <c r="K775" s="94"/>
      <c r="L775" s="94"/>
      <c r="M775" s="94"/>
      <c r="N775" s="94"/>
      <c r="O775" s="94"/>
      <c r="P775" s="94"/>
      <c r="Q775" s="94"/>
      <c r="R775" s="94"/>
      <c r="S775" s="94"/>
      <c r="T775" s="94"/>
      <c r="U775" s="94"/>
      <c r="V775" s="94"/>
      <c r="W775" s="94"/>
      <c r="X775" s="94"/>
      <c r="Y775" s="94">
        <f t="shared" si="251"/>
        <v>262.64953333333335</v>
      </c>
      <c r="Z775" s="94">
        <f t="shared" si="252"/>
        <v>263.08516315789467</v>
      </c>
      <c r="AA775" s="94">
        <f t="shared" si="253"/>
        <v>0.43562982456131749</v>
      </c>
      <c r="AB775" s="1">
        <f t="shared" si="254"/>
        <v>15</v>
      </c>
      <c r="AC775" s="1">
        <f t="shared" si="255"/>
        <v>32.672236842098812</v>
      </c>
    </row>
    <row r="776" spans="1:30" ht="14.25" customHeight="1" x14ac:dyDescent="0.45">
      <c r="A776" s="79"/>
      <c r="B776" s="219">
        <v>30</v>
      </c>
      <c r="C776" s="265">
        <v>262.60430000000002</v>
      </c>
      <c r="D776" s="265">
        <v>262.61750000000001</v>
      </c>
      <c r="E776" s="265">
        <v>262.8032</v>
      </c>
      <c r="F776" s="94"/>
      <c r="G776" s="94"/>
      <c r="H776" s="94"/>
      <c r="I776" s="94"/>
      <c r="J776" s="94"/>
      <c r="K776" s="94"/>
      <c r="L776" s="94"/>
      <c r="M776" s="94"/>
      <c r="N776" s="94"/>
      <c r="O776" s="94"/>
      <c r="P776" s="94"/>
      <c r="Q776" s="94"/>
      <c r="R776" s="94"/>
      <c r="S776" s="94"/>
      <c r="T776" s="94"/>
      <c r="U776" s="94"/>
      <c r="V776" s="94"/>
      <c r="W776" s="94"/>
      <c r="X776" s="94"/>
      <c r="Y776" s="94">
        <f t="shared" si="251"/>
        <v>262.67500000000001</v>
      </c>
      <c r="Z776" s="94">
        <f t="shared" si="252"/>
        <v>263.03516315789466</v>
      </c>
      <c r="AA776" s="94">
        <f t="shared" si="253"/>
        <v>0.3601631578946467</v>
      </c>
      <c r="AB776" s="1">
        <f t="shared" si="254"/>
        <v>15</v>
      </c>
      <c r="AC776" s="1">
        <f t="shared" si="255"/>
        <v>27.012236842098503</v>
      </c>
    </row>
    <row r="777" spans="1:30" ht="14.25" customHeight="1" x14ac:dyDescent="0.45">
      <c r="A777" s="79"/>
      <c r="B777" s="219">
        <v>35</v>
      </c>
      <c r="C777" s="265">
        <v>262.96499999999997</v>
      </c>
      <c r="D777" s="265">
        <v>262.62270000000001</v>
      </c>
      <c r="E777" s="265">
        <v>262.66770000000002</v>
      </c>
      <c r="F777" s="94"/>
      <c r="G777" s="94"/>
      <c r="H777" s="94"/>
      <c r="I777" s="94"/>
      <c r="J777" s="94"/>
      <c r="K777" s="94"/>
      <c r="L777" s="94"/>
      <c r="M777" s="94"/>
      <c r="N777" s="94"/>
      <c r="O777" s="94"/>
      <c r="P777" s="94"/>
      <c r="Q777" s="94"/>
      <c r="R777" s="94"/>
      <c r="S777" s="94"/>
      <c r="T777" s="94"/>
      <c r="U777" s="94"/>
      <c r="V777" s="94"/>
      <c r="W777" s="94"/>
      <c r="X777" s="94"/>
      <c r="Y777" s="94">
        <f t="shared" si="251"/>
        <v>262.7518</v>
      </c>
      <c r="Z777" s="94">
        <f t="shared" si="252"/>
        <v>262.98516315789465</v>
      </c>
      <c r="AA777" s="94">
        <f t="shared" si="253"/>
        <v>0.23336315789464379</v>
      </c>
      <c r="AB777" s="1">
        <f t="shared" si="254"/>
        <v>15</v>
      </c>
      <c r="AC777" s="1">
        <f t="shared" si="255"/>
        <v>17.502236842098284</v>
      </c>
    </row>
    <row r="778" spans="1:30" ht="14.25" customHeight="1" x14ac:dyDescent="0.45">
      <c r="A778" s="79"/>
      <c r="B778" s="219">
        <v>40</v>
      </c>
      <c r="C778" s="265">
        <v>263.10250000000002</v>
      </c>
      <c r="D778" s="265">
        <v>262.80029999999999</v>
      </c>
      <c r="E778" s="265">
        <v>262.66340000000002</v>
      </c>
      <c r="F778" s="94"/>
      <c r="G778" s="94"/>
      <c r="H778" s="94"/>
      <c r="I778" s="94"/>
      <c r="J778" s="94"/>
      <c r="K778" s="94"/>
      <c r="L778" s="94"/>
      <c r="M778" s="94"/>
      <c r="N778" s="94"/>
      <c r="O778" s="94"/>
      <c r="P778" s="94"/>
      <c r="Q778" s="94"/>
      <c r="R778" s="94"/>
      <c r="S778" s="94"/>
      <c r="T778" s="94"/>
      <c r="U778" s="94"/>
      <c r="V778" s="94"/>
      <c r="W778" s="94"/>
      <c r="X778" s="94"/>
      <c r="Y778" s="94">
        <f t="shared" si="251"/>
        <v>262.85540000000003</v>
      </c>
      <c r="Z778" s="94">
        <f t="shared" si="252"/>
        <v>262.93516315789464</v>
      </c>
      <c r="AA778" s="94">
        <f t="shared" si="253"/>
        <v>7.9763157894603864E-2</v>
      </c>
      <c r="AB778" s="1">
        <f t="shared" si="254"/>
        <v>15</v>
      </c>
      <c r="AC778" s="1">
        <f t="shared" si="255"/>
        <v>5.9822368420952898</v>
      </c>
    </row>
    <row r="779" spans="1:30" ht="14.25" customHeight="1" x14ac:dyDescent="0.45">
      <c r="A779" s="79"/>
      <c r="B779" s="219">
        <v>45</v>
      </c>
      <c r="C779" s="265">
        <v>263.1961</v>
      </c>
      <c r="D779" s="265">
        <v>262.69529999999997</v>
      </c>
      <c r="E779" s="265">
        <v>263.01479999999998</v>
      </c>
      <c r="F779" s="94"/>
      <c r="G779" s="94"/>
      <c r="H779" s="94"/>
      <c r="I779" s="94"/>
      <c r="J779" s="94"/>
      <c r="K779" s="94"/>
      <c r="L779" s="94"/>
      <c r="M779" s="94"/>
      <c r="N779" s="94"/>
      <c r="O779" s="94"/>
      <c r="P779" s="94"/>
      <c r="Q779" s="94"/>
      <c r="R779" s="94"/>
      <c r="S779" s="94"/>
      <c r="T779" s="94"/>
      <c r="U779" s="94"/>
      <c r="V779" s="94"/>
      <c r="W779" s="94"/>
      <c r="X779" s="94"/>
      <c r="Y779" s="94">
        <f t="shared" si="251"/>
        <v>262.96873333333332</v>
      </c>
      <c r="Z779" s="94">
        <f t="shared" si="252"/>
        <v>262.88516315789462</v>
      </c>
      <c r="AA779" s="94">
        <f t="shared" si="253"/>
        <v>-8.3570175438694605E-2</v>
      </c>
      <c r="AB779" s="1">
        <f t="shared" si="254"/>
        <v>15</v>
      </c>
      <c r="AC779" s="1">
        <f t="shared" si="255"/>
        <v>-6.2677631579020954</v>
      </c>
    </row>
    <row r="780" spans="1:30" ht="14.25" customHeight="1" x14ac:dyDescent="0.45">
      <c r="A780" s="79"/>
      <c r="B780" s="219">
        <v>50</v>
      </c>
      <c r="C780" s="265">
        <v>263.1035</v>
      </c>
      <c r="D780" s="265">
        <v>262.6902</v>
      </c>
      <c r="E780" s="265">
        <v>262.9409</v>
      </c>
      <c r="F780" s="94"/>
      <c r="G780" s="94"/>
      <c r="H780" s="94"/>
      <c r="I780" s="94"/>
      <c r="J780" s="94"/>
      <c r="K780" s="94"/>
      <c r="L780" s="94"/>
      <c r="M780" s="94"/>
      <c r="N780" s="94"/>
      <c r="O780" s="94"/>
      <c r="P780" s="94"/>
      <c r="Q780" s="94"/>
      <c r="R780" s="94"/>
      <c r="S780" s="94"/>
      <c r="T780" s="94"/>
      <c r="U780" s="94"/>
      <c r="V780" s="94"/>
      <c r="W780" s="94"/>
      <c r="X780" s="94"/>
      <c r="Y780" s="94">
        <f t="shared" si="251"/>
        <v>262.91153333333335</v>
      </c>
      <c r="Z780" s="94">
        <f t="shared" si="252"/>
        <v>262.83516315789461</v>
      </c>
      <c r="AA780" s="94">
        <f t="shared" si="253"/>
        <v>-7.6370175438739807E-2</v>
      </c>
      <c r="AB780" s="1">
        <f t="shared" si="254"/>
        <v>15</v>
      </c>
      <c r="AC780" s="1">
        <f t="shared" si="255"/>
        <v>-5.7277631579054855</v>
      </c>
      <c r="AD780" s="306">
        <f>SUM(AC770:AC780)</f>
        <v>270.20434210520676</v>
      </c>
    </row>
    <row r="781" spans="1:30" ht="14.25" customHeight="1" x14ac:dyDescent="0.45">
      <c r="A781" s="79"/>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spans="1:30" ht="14.25" customHeight="1" x14ac:dyDescent="0.45">
      <c r="A782" s="79"/>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spans="1:30" ht="14.25" customHeight="1" x14ac:dyDescent="0.45">
      <c r="A783" s="79"/>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spans="1:30" ht="14.25" customHeight="1" x14ac:dyDescent="0.45">
      <c r="A784" s="79">
        <v>50</v>
      </c>
      <c r="B784" s="219">
        <v>0</v>
      </c>
      <c r="C784" s="261">
        <v>263.0274</v>
      </c>
      <c r="D784" s="261">
        <v>263.06880000000001</v>
      </c>
      <c r="E784" s="261">
        <v>263.25990000000002</v>
      </c>
      <c r="F784" s="261">
        <v>263.50400000000002</v>
      </c>
      <c r="G784" s="261">
        <v>262.80880000000002</v>
      </c>
      <c r="H784" s="94"/>
      <c r="I784" s="94"/>
      <c r="J784" s="94"/>
      <c r="K784" s="94"/>
      <c r="L784" s="94"/>
      <c r="M784" s="94"/>
      <c r="N784" s="94"/>
      <c r="O784" s="94"/>
      <c r="P784" s="94"/>
      <c r="Q784" s="94"/>
      <c r="R784" s="94"/>
      <c r="S784" s="94"/>
      <c r="T784" s="94"/>
      <c r="U784" s="94"/>
      <c r="V784" s="94"/>
      <c r="W784" s="94"/>
      <c r="X784" s="94"/>
      <c r="Y784" s="94">
        <f t="shared" ref="Y784:Y792" si="256">AVERAGE(C784:X784)</f>
        <v>263.13378</v>
      </c>
      <c r="Z784" s="319">
        <f t="shared" ref="Z784:Z792" si="257">Z14-0.1</f>
        <v>262.88516315789462</v>
      </c>
      <c r="AA784" s="94">
        <f t="shared" ref="AA784:AA792" si="258">Z784-Y784</f>
        <v>-0.2486168421053776</v>
      </c>
      <c r="AB784" s="1">
        <f t="shared" ref="AB784:AB792" si="259">COUNTIF(C784:X784,"&gt;0")*5</f>
        <v>25</v>
      </c>
      <c r="AC784" s="1">
        <f t="shared" ref="AC784:AC792" si="260">AA784*AB784*5</f>
        <v>-31.0771052631722</v>
      </c>
    </row>
    <row r="785" spans="1:30" ht="14.25" customHeight="1" x14ac:dyDescent="0.45">
      <c r="A785" s="79"/>
      <c r="B785" s="219">
        <v>5</v>
      </c>
      <c r="C785" s="261">
        <v>262.81610000000001</v>
      </c>
      <c r="D785" s="261">
        <v>263.13600000000002</v>
      </c>
      <c r="E785" s="261">
        <v>262.91039999999998</v>
      </c>
      <c r="F785" s="261">
        <v>262.77390000000003</v>
      </c>
      <c r="G785" s="261">
        <v>263.25259999999997</v>
      </c>
      <c r="H785" s="94"/>
      <c r="I785" s="94"/>
      <c r="J785" s="94"/>
      <c r="K785" s="94"/>
      <c r="L785" s="94"/>
      <c r="M785" s="94"/>
      <c r="N785" s="94"/>
      <c r="O785" s="94"/>
      <c r="P785" s="94"/>
      <c r="Q785" s="94"/>
      <c r="R785" s="94"/>
      <c r="S785" s="94"/>
      <c r="T785" s="94"/>
      <c r="U785" s="94"/>
      <c r="V785" s="94"/>
      <c r="W785" s="94"/>
      <c r="X785" s="94"/>
      <c r="Y785" s="94">
        <f t="shared" si="256"/>
        <v>262.9778</v>
      </c>
      <c r="Z785" s="94">
        <f t="shared" si="257"/>
        <v>262.93516315789464</v>
      </c>
      <c r="AA785" s="94">
        <f t="shared" si="258"/>
        <v>-4.2636842105366668E-2</v>
      </c>
      <c r="AB785" s="1">
        <f t="shared" si="259"/>
        <v>25</v>
      </c>
      <c r="AC785" s="1">
        <f t="shared" si="260"/>
        <v>-5.3296052631708335</v>
      </c>
    </row>
    <row r="786" spans="1:30" ht="14.25" customHeight="1" x14ac:dyDescent="0.45">
      <c r="A786" s="79"/>
      <c r="B786" s="219">
        <v>10</v>
      </c>
      <c r="C786" s="261">
        <v>262.8766</v>
      </c>
      <c r="D786" s="261">
        <v>262.94869999999997</v>
      </c>
      <c r="E786" s="261">
        <v>262.82080000000002</v>
      </c>
      <c r="F786" s="261">
        <v>262.75900000000001</v>
      </c>
      <c r="G786" s="261">
        <v>263.49630000000002</v>
      </c>
      <c r="H786" s="94"/>
      <c r="I786" s="94"/>
      <c r="J786" s="94"/>
      <c r="K786" s="94"/>
      <c r="L786" s="94"/>
      <c r="M786" s="94"/>
      <c r="N786" s="94"/>
      <c r="O786" s="94"/>
      <c r="P786" s="94"/>
      <c r="Q786" s="94"/>
      <c r="R786" s="94"/>
      <c r="S786" s="94"/>
      <c r="T786" s="94"/>
      <c r="U786" s="94"/>
      <c r="V786" s="94"/>
      <c r="W786" s="94"/>
      <c r="X786" s="94"/>
      <c r="Y786" s="94">
        <f t="shared" si="256"/>
        <v>262.98027999999999</v>
      </c>
      <c r="Z786" s="94">
        <f t="shared" si="257"/>
        <v>262.98516315789465</v>
      </c>
      <c r="AA786" s="94">
        <f t="shared" si="258"/>
        <v>4.8831578946533227E-3</v>
      </c>
      <c r="AB786" s="1">
        <f t="shared" si="259"/>
        <v>25</v>
      </c>
      <c r="AC786" s="1">
        <f t="shared" si="260"/>
        <v>0.61039473683166534</v>
      </c>
    </row>
    <row r="787" spans="1:30" ht="14.25" customHeight="1" x14ac:dyDescent="0.45">
      <c r="A787" s="79"/>
      <c r="B787" s="219">
        <v>15</v>
      </c>
      <c r="C787" s="261">
        <v>262.78070000000002</v>
      </c>
      <c r="D787" s="261">
        <v>262.98230000000001</v>
      </c>
      <c r="E787" s="261">
        <v>262.73149999999998</v>
      </c>
      <c r="F787" s="261">
        <v>262.73970000000003</v>
      </c>
      <c r="G787" s="261">
        <v>263.18</v>
      </c>
      <c r="H787" s="94"/>
      <c r="I787" s="94"/>
      <c r="J787" s="94"/>
      <c r="K787" s="94"/>
      <c r="L787" s="94"/>
      <c r="M787" s="94"/>
      <c r="N787" s="94"/>
      <c r="O787" s="94"/>
      <c r="P787" s="94"/>
      <c r="Q787" s="94"/>
      <c r="R787" s="94"/>
      <c r="S787" s="94"/>
      <c r="T787" s="94"/>
      <c r="U787" s="94"/>
      <c r="V787" s="94"/>
      <c r="W787" s="94"/>
      <c r="X787" s="94"/>
      <c r="Y787" s="94">
        <f t="shared" si="256"/>
        <v>262.88284000000004</v>
      </c>
      <c r="Z787" s="94">
        <f t="shared" si="257"/>
        <v>263.03516315789466</v>
      </c>
      <c r="AA787" s="94">
        <f t="shared" si="258"/>
        <v>0.15232315789461381</v>
      </c>
      <c r="AB787" s="1">
        <f t="shared" si="259"/>
        <v>25</v>
      </c>
      <c r="AC787" s="1">
        <f t="shared" si="260"/>
        <v>19.040394736826727</v>
      </c>
    </row>
    <row r="788" spans="1:30" ht="14.25" customHeight="1" x14ac:dyDescent="0.45">
      <c r="A788" s="79"/>
      <c r="B788" s="219">
        <v>20</v>
      </c>
      <c r="C788" s="261">
        <v>262.86989999999997</v>
      </c>
      <c r="D788" s="261">
        <v>263.01519999999999</v>
      </c>
      <c r="E788" s="261">
        <v>262.72089999999997</v>
      </c>
      <c r="F788" s="261">
        <v>262.71690000000001</v>
      </c>
      <c r="G788" s="214"/>
      <c r="H788" s="94"/>
      <c r="I788" s="94"/>
      <c r="J788" s="94"/>
      <c r="K788" s="94"/>
      <c r="L788" s="94"/>
      <c r="M788" s="94"/>
      <c r="N788" s="94"/>
      <c r="O788" s="94"/>
      <c r="P788" s="94"/>
      <c r="Q788" s="94"/>
      <c r="R788" s="94"/>
      <c r="S788" s="94"/>
      <c r="T788" s="94"/>
      <c r="U788" s="94"/>
      <c r="V788" s="94"/>
      <c r="W788" s="94"/>
      <c r="X788" s="94"/>
      <c r="Y788" s="94">
        <f t="shared" si="256"/>
        <v>262.83072500000003</v>
      </c>
      <c r="Z788" s="94">
        <f t="shared" si="257"/>
        <v>263.08516315789467</v>
      </c>
      <c r="AA788" s="94">
        <f t="shared" si="258"/>
        <v>0.25443815789463997</v>
      </c>
      <c r="AB788" s="1">
        <f t="shared" si="259"/>
        <v>20</v>
      </c>
      <c r="AC788" s="1">
        <f t="shared" si="260"/>
        <v>25.443815789463997</v>
      </c>
    </row>
    <row r="789" spans="1:30" ht="14.25" customHeight="1" x14ac:dyDescent="0.45">
      <c r="A789" s="79"/>
      <c r="B789" s="219">
        <v>25</v>
      </c>
      <c r="C789" s="261">
        <v>262.90280000000001</v>
      </c>
      <c r="D789" s="261">
        <v>262.98540000000003</v>
      </c>
      <c r="E789" s="261">
        <v>262.83789999999999</v>
      </c>
      <c r="F789" s="261">
        <v>262.71640000000002</v>
      </c>
      <c r="G789" s="94"/>
      <c r="H789" s="94"/>
      <c r="I789" s="94"/>
      <c r="J789" s="94"/>
      <c r="K789" s="94"/>
      <c r="L789" s="94"/>
      <c r="M789" s="94"/>
      <c r="N789" s="94"/>
      <c r="O789" s="94"/>
      <c r="P789" s="94"/>
      <c r="Q789" s="94"/>
      <c r="R789" s="94"/>
      <c r="S789" s="94"/>
      <c r="T789" s="94"/>
      <c r="U789" s="94"/>
      <c r="V789" s="94"/>
      <c r="W789" s="94"/>
      <c r="X789" s="94"/>
      <c r="Y789" s="94">
        <f t="shared" si="256"/>
        <v>262.86062500000003</v>
      </c>
      <c r="Z789" s="94">
        <f t="shared" si="257"/>
        <v>263.13516315789468</v>
      </c>
      <c r="AA789" s="94">
        <f t="shared" si="258"/>
        <v>0.27453815789465352</v>
      </c>
      <c r="AB789" s="1">
        <f t="shared" si="259"/>
        <v>20</v>
      </c>
      <c r="AC789" s="1">
        <f t="shared" si="260"/>
        <v>27.453815789465352</v>
      </c>
    </row>
    <row r="790" spans="1:30" ht="14.25" customHeight="1" x14ac:dyDescent="0.45">
      <c r="A790" s="79"/>
      <c r="B790" s="219">
        <v>30</v>
      </c>
      <c r="C790" s="261">
        <v>262.77350000000001</v>
      </c>
      <c r="D790" s="261">
        <v>262.84660000000002</v>
      </c>
      <c r="E790" s="261">
        <v>262.75970000000001</v>
      </c>
      <c r="F790" s="261">
        <v>262.72329999999999</v>
      </c>
      <c r="G790" s="94"/>
      <c r="H790" s="94"/>
      <c r="I790" s="94"/>
      <c r="J790" s="94"/>
      <c r="K790" s="94"/>
      <c r="L790" s="94"/>
      <c r="M790" s="94"/>
      <c r="N790" s="94"/>
      <c r="O790" s="94"/>
      <c r="P790" s="94"/>
      <c r="Q790" s="94"/>
      <c r="R790" s="94"/>
      <c r="S790" s="94"/>
      <c r="T790" s="94"/>
      <c r="U790" s="94"/>
      <c r="V790" s="94"/>
      <c r="W790" s="94"/>
      <c r="X790" s="94"/>
      <c r="Y790" s="94">
        <f t="shared" si="256"/>
        <v>262.77577500000007</v>
      </c>
      <c r="Z790" s="94">
        <f t="shared" si="257"/>
        <v>263.18516315789469</v>
      </c>
      <c r="AA790" s="94">
        <f t="shared" si="258"/>
        <v>0.40938815789462524</v>
      </c>
      <c r="AB790" s="1">
        <f t="shared" si="259"/>
        <v>20</v>
      </c>
      <c r="AC790" s="1">
        <f t="shared" si="260"/>
        <v>40.938815789462524</v>
      </c>
    </row>
    <row r="791" spans="1:30" ht="14.25" customHeight="1" x14ac:dyDescent="0.45">
      <c r="A791" s="79"/>
      <c r="B791" s="219">
        <v>35</v>
      </c>
      <c r="C791" s="261">
        <v>262.86</v>
      </c>
      <c r="D791" s="261">
        <v>262.98509999999999</v>
      </c>
      <c r="E791" s="261">
        <v>262.68759999999997</v>
      </c>
      <c r="F791" s="261">
        <v>262.81130000000002</v>
      </c>
      <c r="G791" s="94"/>
      <c r="H791" s="94"/>
      <c r="I791" s="94"/>
      <c r="J791" s="94"/>
      <c r="K791" s="94"/>
      <c r="L791" s="94"/>
      <c r="M791" s="94"/>
      <c r="N791" s="94"/>
      <c r="O791" s="94"/>
      <c r="P791" s="94"/>
      <c r="Q791" s="94"/>
      <c r="R791" s="94"/>
      <c r="S791" s="94"/>
      <c r="T791" s="94"/>
      <c r="U791" s="94"/>
      <c r="V791" s="94"/>
      <c r="W791" s="94"/>
      <c r="X791" s="94"/>
      <c r="Y791" s="94">
        <f t="shared" si="256"/>
        <v>262.83600000000001</v>
      </c>
      <c r="Z791" s="94">
        <f t="shared" si="257"/>
        <v>263.2351631578947</v>
      </c>
      <c r="AA791" s="94">
        <f t="shared" si="258"/>
        <v>0.39916315789469081</v>
      </c>
      <c r="AB791" s="1">
        <f t="shared" si="259"/>
        <v>20</v>
      </c>
      <c r="AC791" s="1">
        <f t="shared" si="260"/>
        <v>39.916315789469081</v>
      </c>
    </row>
    <row r="792" spans="1:30" ht="14.25" customHeight="1" x14ac:dyDescent="0.45">
      <c r="A792" s="79"/>
      <c r="B792" s="219">
        <v>40</v>
      </c>
      <c r="C792" s="261">
        <v>262.87810000000002</v>
      </c>
      <c r="D792" s="261">
        <v>262.77370000000002</v>
      </c>
      <c r="E792" s="261">
        <v>262.66000000000003</v>
      </c>
      <c r="F792" s="261">
        <v>262.88740000000001</v>
      </c>
      <c r="G792" s="94"/>
      <c r="H792" s="94"/>
      <c r="I792" s="94"/>
      <c r="J792" s="94"/>
      <c r="K792" s="94"/>
      <c r="L792" s="94"/>
      <c r="M792" s="94"/>
      <c r="N792" s="94"/>
      <c r="O792" s="94"/>
      <c r="P792" s="94"/>
      <c r="Q792" s="94"/>
      <c r="R792" s="94"/>
      <c r="S792" s="94"/>
      <c r="T792" s="94"/>
      <c r="U792" s="94"/>
      <c r="V792" s="94"/>
      <c r="W792" s="94"/>
      <c r="X792" s="94"/>
      <c r="Y792" s="94">
        <f t="shared" si="256"/>
        <v>262.79980000000006</v>
      </c>
      <c r="Z792" s="94">
        <f t="shared" si="257"/>
        <v>263.28516315789471</v>
      </c>
      <c r="AA792" s="94">
        <f t="shared" si="258"/>
        <v>0.48536315789465334</v>
      </c>
      <c r="AB792" s="1">
        <f t="shared" si="259"/>
        <v>20</v>
      </c>
      <c r="AC792" s="1">
        <f t="shared" si="260"/>
        <v>48.536315789465334</v>
      </c>
      <c r="AD792" s="306">
        <f>SUM(AC784:AC792)</f>
        <v>165.53315789464165</v>
      </c>
    </row>
    <row r="793" spans="1:30" ht="14.25" customHeight="1" x14ac:dyDescent="0.45">
      <c r="A793" s="79"/>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spans="1:30" ht="14.25" customHeight="1" x14ac:dyDescent="0.45">
      <c r="A794" s="79"/>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spans="1:30" ht="14.25" customHeight="1" x14ac:dyDescent="0.45">
      <c r="A795" s="79">
        <v>51</v>
      </c>
      <c r="B795" s="219">
        <v>0</v>
      </c>
      <c r="C795" s="266">
        <v>263.08690000000001</v>
      </c>
      <c r="D795" s="266">
        <v>263.39249999999998</v>
      </c>
      <c r="E795" s="266">
        <v>264.31979999999999</v>
      </c>
      <c r="F795" s="266">
        <v>262.73950000000002</v>
      </c>
      <c r="G795" s="94"/>
      <c r="H795" s="94"/>
      <c r="I795" s="94"/>
      <c r="J795" s="94"/>
      <c r="K795" s="94"/>
      <c r="L795" s="94"/>
      <c r="M795" s="94"/>
      <c r="N795" s="94"/>
      <c r="O795" s="94"/>
      <c r="P795" s="94"/>
      <c r="Q795" s="94"/>
      <c r="R795" s="94"/>
      <c r="S795" s="94"/>
      <c r="T795" s="94"/>
      <c r="U795" s="94"/>
      <c r="V795" s="94"/>
      <c r="W795" s="94"/>
      <c r="X795" s="94"/>
      <c r="Y795" s="94">
        <f t="shared" ref="Y795:Y803" si="261">AVERAGE(C795:X795)</f>
        <v>263.38467500000002</v>
      </c>
      <c r="Z795" s="319">
        <f>Z816</f>
        <v>263.10489999999993</v>
      </c>
      <c r="AA795" s="94">
        <f t="shared" ref="AA795:AA803" si="262">Z795-Y795</f>
        <v>-0.27977500000008604</v>
      </c>
      <c r="AB795" s="1">
        <f t="shared" ref="AB795:AB803" si="263">COUNTIF(C795:X795,"&gt;0")*5</f>
        <v>20</v>
      </c>
      <c r="AC795" s="1">
        <f t="shared" ref="AC795:AC803" si="264">AA795*AB795*5</f>
        <v>-27.977500000008604</v>
      </c>
    </row>
    <row r="796" spans="1:30" ht="14.25" customHeight="1" x14ac:dyDescent="0.45">
      <c r="A796" s="79"/>
      <c r="B796" s="219">
        <v>5</v>
      </c>
      <c r="C796" s="266">
        <v>263.23070000000001</v>
      </c>
      <c r="D796" s="266">
        <v>263.33569999999997</v>
      </c>
      <c r="E796" s="266">
        <v>263.64659999999998</v>
      </c>
      <c r="F796" s="266">
        <v>264.79259999999999</v>
      </c>
      <c r="G796" s="94"/>
      <c r="H796" s="94"/>
      <c r="I796" s="94"/>
      <c r="J796" s="94"/>
      <c r="K796" s="94"/>
      <c r="L796" s="94"/>
      <c r="M796" s="94"/>
      <c r="N796" s="94"/>
      <c r="O796" s="94"/>
      <c r="P796" s="94"/>
      <c r="Q796" s="94"/>
      <c r="R796" s="94"/>
      <c r="S796" s="94"/>
      <c r="T796" s="94"/>
      <c r="U796" s="94"/>
      <c r="V796" s="94"/>
      <c r="W796" s="94"/>
      <c r="X796" s="94"/>
      <c r="Y796" s="94">
        <f t="shared" si="261"/>
        <v>263.75139999999999</v>
      </c>
      <c r="Z796" s="94">
        <f>Z795-5/100</f>
        <v>263.05489999999992</v>
      </c>
      <c r="AA796" s="94">
        <f t="shared" si="262"/>
        <v>-0.6965000000000714</v>
      </c>
      <c r="AB796" s="1">
        <f t="shared" si="263"/>
        <v>20</v>
      </c>
      <c r="AC796" s="1">
        <f t="shared" si="264"/>
        <v>-69.65000000000714</v>
      </c>
    </row>
    <row r="797" spans="1:30" ht="14.25" customHeight="1" x14ac:dyDescent="0.45">
      <c r="A797" s="79"/>
      <c r="B797" s="219">
        <v>10</v>
      </c>
      <c r="C797" s="266">
        <v>263.24509999999998</v>
      </c>
      <c r="D797" s="266">
        <v>263.21730000000002</v>
      </c>
      <c r="E797" s="266">
        <v>263.19839999999999</v>
      </c>
      <c r="F797" s="266">
        <v>263.68729999999999</v>
      </c>
      <c r="G797" s="266">
        <v>262.37709999999998</v>
      </c>
      <c r="H797" s="94"/>
      <c r="I797" s="94"/>
      <c r="J797" s="94"/>
      <c r="K797" s="94"/>
      <c r="L797" s="94"/>
      <c r="M797" s="94"/>
      <c r="N797" s="94"/>
      <c r="O797" s="94"/>
      <c r="P797" s="94"/>
      <c r="Q797" s="94"/>
      <c r="R797" s="94"/>
      <c r="S797" s="94"/>
      <c r="T797" s="94"/>
      <c r="U797" s="94"/>
      <c r="V797" s="94"/>
      <c r="W797" s="94"/>
      <c r="X797" s="94"/>
      <c r="Y797" s="94">
        <f t="shared" si="261"/>
        <v>263.14503999999999</v>
      </c>
      <c r="Z797" s="94">
        <f t="shared" ref="Z797:Z800" si="265">Z796-5/100</f>
        <v>263.00489999999991</v>
      </c>
      <c r="AA797" s="94">
        <f t="shared" si="262"/>
        <v>-0.14014000000008764</v>
      </c>
      <c r="AB797" s="1">
        <f t="shared" si="263"/>
        <v>25</v>
      </c>
      <c r="AC797" s="1">
        <f t="shared" si="264"/>
        <v>-17.517500000010955</v>
      </c>
    </row>
    <row r="798" spans="1:30" ht="14.25" customHeight="1" x14ac:dyDescent="0.45">
      <c r="A798" s="79"/>
      <c r="B798" s="219">
        <v>15</v>
      </c>
      <c r="C798" s="266">
        <v>263.39019999999999</v>
      </c>
      <c r="D798" s="266">
        <v>263.32279999999997</v>
      </c>
      <c r="E798" s="266">
        <v>263.32470000000001</v>
      </c>
      <c r="F798" s="266">
        <v>263.3211</v>
      </c>
      <c r="G798" s="266">
        <v>262.77600000000001</v>
      </c>
      <c r="H798" s="94"/>
      <c r="I798" s="94"/>
      <c r="J798" s="94"/>
      <c r="K798" s="94"/>
      <c r="L798" s="94"/>
      <c r="M798" s="94"/>
      <c r="N798" s="94"/>
      <c r="O798" s="94"/>
      <c r="P798" s="94"/>
      <c r="Q798" s="94"/>
      <c r="R798" s="94"/>
      <c r="S798" s="94"/>
      <c r="T798" s="94"/>
      <c r="U798" s="94"/>
      <c r="V798" s="94"/>
      <c r="W798" s="94"/>
      <c r="X798" s="94"/>
      <c r="Y798" s="94">
        <f t="shared" si="261"/>
        <v>263.22696000000002</v>
      </c>
      <c r="Z798" s="94">
        <f t="shared" si="265"/>
        <v>262.9548999999999</v>
      </c>
      <c r="AA798" s="94">
        <f t="shared" si="262"/>
        <v>-0.27206000000012409</v>
      </c>
      <c r="AB798" s="1">
        <f t="shared" si="263"/>
        <v>25</v>
      </c>
      <c r="AC798" s="1">
        <f t="shared" si="264"/>
        <v>-34.007500000015511</v>
      </c>
    </row>
    <row r="799" spans="1:30" ht="14.25" customHeight="1" x14ac:dyDescent="0.45">
      <c r="A799" s="79"/>
      <c r="B799" s="219">
        <v>20</v>
      </c>
      <c r="C799" s="266">
        <v>263.24439999999998</v>
      </c>
      <c r="D799" s="266">
        <v>263.14879999999999</v>
      </c>
      <c r="E799" s="266">
        <v>263.3356</v>
      </c>
      <c r="F799" s="266">
        <v>263.39609999999999</v>
      </c>
      <c r="G799" s="266">
        <v>263.59030000000001</v>
      </c>
      <c r="H799" s="94"/>
      <c r="I799" s="94"/>
      <c r="J799" s="94"/>
      <c r="K799" s="94"/>
      <c r="L799" s="94"/>
      <c r="M799" s="94"/>
      <c r="N799" s="94"/>
      <c r="O799" s="94"/>
      <c r="P799" s="94"/>
      <c r="Q799" s="94"/>
      <c r="R799" s="94"/>
      <c r="S799" s="94"/>
      <c r="T799" s="94"/>
      <c r="U799" s="94"/>
      <c r="V799" s="94"/>
      <c r="W799" s="94"/>
      <c r="X799" s="94"/>
      <c r="Y799" s="94">
        <f t="shared" si="261"/>
        <v>263.34304000000003</v>
      </c>
      <c r="Z799" s="94">
        <f t="shared" si="265"/>
        <v>262.90489999999988</v>
      </c>
      <c r="AA799" s="94">
        <f t="shared" si="262"/>
        <v>-0.4381400000001463</v>
      </c>
      <c r="AB799" s="1">
        <f t="shared" si="263"/>
        <v>25</v>
      </c>
      <c r="AC799" s="1">
        <f t="shared" si="264"/>
        <v>-54.767500000018288</v>
      </c>
    </row>
    <row r="800" spans="1:30" ht="14.25" customHeight="1" x14ac:dyDescent="0.45">
      <c r="A800" s="79"/>
      <c r="B800" s="219">
        <v>25</v>
      </c>
      <c r="C800" s="266">
        <v>263.02969999999999</v>
      </c>
      <c r="D800" s="266">
        <v>263.22809999999998</v>
      </c>
      <c r="E800" s="266">
        <v>263.31040000000002</v>
      </c>
      <c r="F800" s="266">
        <v>263.04399999999998</v>
      </c>
      <c r="G800" s="266">
        <v>263.37360000000001</v>
      </c>
      <c r="H800" s="266">
        <v>263.7355</v>
      </c>
      <c r="I800" s="94"/>
      <c r="J800" s="94"/>
      <c r="K800" s="94"/>
      <c r="L800" s="94"/>
      <c r="M800" s="94"/>
      <c r="N800" s="94"/>
      <c r="O800" s="94"/>
      <c r="P800" s="94"/>
      <c r="Q800" s="94"/>
      <c r="R800" s="94"/>
      <c r="S800" s="94"/>
      <c r="T800" s="94"/>
      <c r="U800" s="94"/>
      <c r="V800" s="94"/>
      <c r="W800" s="94"/>
      <c r="X800" s="94"/>
      <c r="Y800" s="94">
        <f t="shared" si="261"/>
        <v>263.28688333333332</v>
      </c>
      <c r="Z800" s="94">
        <f t="shared" si="265"/>
        <v>262.85489999999987</v>
      </c>
      <c r="AA800" s="94">
        <f t="shared" si="262"/>
        <v>-0.43198333333344863</v>
      </c>
      <c r="AB800" s="1">
        <f t="shared" si="263"/>
        <v>30</v>
      </c>
      <c r="AC800" s="1">
        <f t="shared" si="264"/>
        <v>-64.797500000017294</v>
      </c>
    </row>
    <row r="801" spans="1:30" ht="14.25" customHeight="1" x14ac:dyDescent="0.45">
      <c r="A801" s="79"/>
      <c r="B801" s="219">
        <v>30</v>
      </c>
      <c r="C801" s="266">
        <v>263.07850000000002</v>
      </c>
      <c r="D801" s="266">
        <v>263.21280000000002</v>
      </c>
      <c r="E801" s="266">
        <v>263.01</v>
      </c>
      <c r="F801" s="266">
        <v>263.12279999999998</v>
      </c>
      <c r="G801" s="266">
        <v>262.81</v>
      </c>
      <c r="H801" s="266">
        <v>263.07569999999998</v>
      </c>
      <c r="I801" s="266">
        <v>263.65589999999997</v>
      </c>
      <c r="J801" s="266">
        <v>261.92919999999998</v>
      </c>
      <c r="K801" s="214"/>
      <c r="L801" s="94"/>
      <c r="M801" s="94"/>
      <c r="N801" s="94"/>
      <c r="O801" s="94"/>
      <c r="P801" s="94"/>
      <c r="Q801" s="94"/>
      <c r="R801" s="94"/>
      <c r="S801" s="94"/>
      <c r="T801" s="94"/>
      <c r="U801" s="94"/>
      <c r="V801" s="94"/>
      <c r="W801" s="94"/>
      <c r="X801" s="94"/>
      <c r="Y801" s="94">
        <f t="shared" si="261"/>
        <v>262.98686249999997</v>
      </c>
      <c r="Z801" s="94">
        <f>Z800</f>
        <v>262.85489999999987</v>
      </c>
      <c r="AA801" s="94">
        <f t="shared" si="262"/>
        <v>-0.13196250000009968</v>
      </c>
      <c r="AB801" s="1">
        <f t="shared" si="263"/>
        <v>40</v>
      </c>
      <c r="AC801" s="1">
        <f t="shared" si="264"/>
        <v>-26.392500000019936</v>
      </c>
    </row>
    <row r="802" spans="1:30" ht="14.25" customHeight="1" x14ac:dyDescent="0.45">
      <c r="A802" s="79"/>
      <c r="B802" s="219">
        <v>35</v>
      </c>
      <c r="C802" s="266">
        <v>263.08370000000002</v>
      </c>
      <c r="D802" s="266">
        <v>263.17329999999998</v>
      </c>
      <c r="E802" s="266">
        <v>263.08109999999999</v>
      </c>
      <c r="F802" s="266">
        <v>262.77629999999999</v>
      </c>
      <c r="G802" s="266">
        <v>262.77030000000002</v>
      </c>
      <c r="H802" s="266">
        <v>262.7688</v>
      </c>
      <c r="I802" s="266">
        <v>262.8</v>
      </c>
      <c r="J802" s="266">
        <v>262.81979999999999</v>
      </c>
      <c r="K802" s="266">
        <v>263.30349999999999</v>
      </c>
      <c r="L802" s="266">
        <v>262.03019999999998</v>
      </c>
      <c r="M802" s="266">
        <v>262.58859999999999</v>
      </c>
      <c r="N802" s="94"/>
      <c r="O802" s="94"/>
      <c r="P802" s="94"/>
      <c r="Q802" s="94"/>
      <c r="R802" s="94"/>
      <c r="S802" s="94"/>
      <c r="T802" s="94"/>
      <c r="U802" s="94"/>
      <c r="V802" s="94"/>
      <c r="W802" s="94"/>
      <c r="X802" s="94"/>
      <c r="Y802" s="94">
        <f t="shared" si="261"/>
        <v>262.83596363636366</v>
      </c>
      <c r="Z802" s="94">
        <f>Z801</f>
        <v>262.85489999999987</v>
      </c>
      <c r="AA802" s="94">
        <f t="shared" si="262"/>
        <v>1.8936363636214537E-2</v>
      </c>
      <c r="AB802" s="1">
        <f t="shared" si="263"/>
        <v>55</v>
      </c>
      <c r="AC802" s="1">
        <f t="shared" si="264"/>
        <v>5.2074999999589977</v>
      </c>
    </row>
    <row r="803" spans="1:30" ht="14.25" customHeight="1" x14ac:dyDescent="0.45">
      <c r="A803" s="79"/>
      <c r="B803" s="219">
        <v>40</v>
      </c>
      <c r="C803" s="94"/>
      <c r="D803" s="94"/>
      <c r="E803" s="94"/>
      <c r="F803" s="94"/>
      <c r="G803" s="94"/>
      <c r="H803" s="266">
        <v>262.75599999999997</v>
      </c>
      <c r="I803" s="266">
        <v>262.76510000000002</v>
      </c>
      <c r="J803" s="266">
        <v>262.77999999999997</v>
      </c>
      <c r="K803" s="267"/>
      <c r="L803" s="267"/>
      <c r="M803" s="267"/>
      <c r="N803" s="94"/>
      <c r="O803" s="94"/>
      <c r="P803" s="94"/>
      <c r="Q803" s="94"/>
      <c r="R803" s="94"/>
      <c r="S803" s="94"/>
      <c r="T803" s="94"/>
      <c r="U803" s="94"/>
      <c r="V803" s="94"/>
      <c r="W803" s="94"/>
      <c r="X803" s="94"/>
      <c r="Y803" s="94">
        <f t="shared" si="261"/>
        <v>262.7670333333333</v>
      </c>
      <c r="Z803" s="94">
        <f>Z802</f>
        <v>262.85489999999987</v>
      </c>
      <c r="AA803" s="94">
        <f t="shared" si="262"/>
        <v>8.7866666666570836E-2</v>
      </c>
      <c r="AB803" s="1">
        <f t="shared" si="263"/>
        <v>15</v>
      </c>
      <c r="AC803" s="1">
        <f t="shared" si="264"/>
        <v>6.5899999999928127</v>
      </c>
      <c r="AD803" s="306">
        <f>SUM(AC795:AC803)</f>
        <v>-283.31250000014592</v>
      </c>
    </row>
    <row r="804" spans="1:30" ht="14.25" customHeight="1" x14ac:dyDescent="0.45">
      <c r="A804" s="79"/>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spans="1:30" ht="14.25" customHeight="1" x14ac:dyDescent="0.45">
      <c r="A805" s="79"/>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spans="1:30" ht="14.25" customHeight="1" x14ac:dyDescent="0.45">
      <c r="A806" s="79">
        <v>52</v>
      </c>
      <c r="B806" s="219">
        <v>0</v>
      </c>
      <c r="C806" s="268">
        <v>263.64879999999999</v>
      </c>
      <c r="D806" s="268">
        <v>263.66340000000002</v>
      </c>
      <c r="E806" s="268">
        <v>263.63569999999999</v>
      </c>
      <c r="F806" s="268">
        <v>263.38580000000002</v>
      </c>
      <c r="G806" s="268">
        <v>263.30689999999998</v>
      </c>
      <c r="H806" s="268">
        <v>263.32769999999999</v>
      </c>
      <c r="I806" s="268">
        <v>263.26150000000001</v>
      </c>
      <c r="J806" s="268">
        <v>263.26369999999997</v>
      </c>
      <c r="K806" s="268">
        <v>262.99619999999999</v>
      </c>
      <c r="L806" s="268">
        <v>262.9742</v>
      </c>
      <c r="M806" s="94"/>
      <c r="N806" s="94"/>
      <c r="O806" s="94"/>
      <c r="P806" s="94"/>
      <c r="Q806" s="94"/>
      <c r="R806" s="94"/>
      <c r="S806" s="94"/>
      <c r="T806" s="94"/>
      <c r="U806" s="94"/>
      <c r="V806" s="94"/>
      <c r="W806" s="94"/>
      <c r="X806" s="94"/>
      <c r="Y806" s="94">
        <f>AVERAGE(C806:X806)</f>
        <v>263.34639000000004</v>
      </c>
      <c r="Z806" s="319">
        <f>Z12-0.1</f>
        <v>262.80489999999986</v>
      </c>
      <c r="AA806" s="94">
        <f t="shared" ref="AA806:AA807" si="266">Z806-Y806</f>
        <v>-0.54149000000018077</v>
      </c>
      <c r="AB806" s="1">
        <f>COUNTIF(C806:X806,"&gt;0")*5</f>
        <v>50</v>
      </c>
      <c r="AC806" s="1">
        <f t="shared" ref="AC806:AC807" si="267">AA806*AB806*5</f>
        <v>-135.37250000004519</v>
      </c>
    </row>
    <row r="807" spans="1:30" ht="14.25" customHeight="1" x14ac:dyDescent="0.45">
      <c r="A807" s="79"/>
      <c r="B807" s="219">
        <v>5</v>
      </c>
      <c r="C807" s="268">
        <v>263.44869999999997</v>
      </c>
      <c r="D807" s="268">
        <v>263.40140000000002</v>
      </c>
      <c r="E807" s="268">
        <v>263.45839999999998</v>
      </c>
      <c r="F807" s="268">
        <v>263.4717</v>
      </c>
      <c r="G807" s="268">
        <v>263.49959999999999</v>
      </c>
      <c r="H807" s="268">
        <v>263.23090000000002</v>
      </c>
      <c r="I807" s="268">
        <v>263.18650000000002</v>
      </c>
      <c r="J807" s="268">
        <v>262.98880000000003</v>
      </c>
      <c r="K807" s="268">
        <v>263.19830000000002</v>
      </c>
      <c r="L807" s="268">
        <v>262.96809999999999</v>
      </c>
      <c r="M807" s="94"/>
      <c r="N807" s="94"/>
      <c r="O807" s="94"/>
      <c r="P807" s="94"/>
      <c r="Q807" s="94"/>
      <c r="R807" s="94"/>
      <c r="S807" s="94"/>
      <c r="T807" s="94"/>
      <c r="U807" s="94"/>
      <c r="V807" s="94"/>
      <c r="W807" s="94"/>
      <c r="X807" s="94"/>
      <c r="Y807" s="94">
        <f>AVERAGE(C807:X807)</f>
        <v>263.28523999999999</v>
      </c>
      <c r="Z807" s="94">
        <f>Z806</f>
        <v>262.80489999999986</v>
      </c>
      <c r="AA807" s="94">
        <f t="shared" si="266"/>
        <v>-0.48034000000012611</v>
      </c>
      <c r="AB807" s="1">
        <f>COUNTIF(C807:X807,"&gt;0")*5</f>
        <v>50</v>
      </c>
      <c r="AC807" s="1">
        <f t="shared" si="267"/>
        <v>-120.08500000003153</v>
      </c>
      <c r="AD807" s="306">
        <f>SUM(AC806:AC807)</f>
        <v>-255.45750000007672</v>
      </c>
    </row>
    <row r="808" spans="1:30" ht="14.25" customHeight="1" x14ac:dyDescent="0.45">
      <c r="A808" s="79"/>
      <c r="C808" s="308"/>
      <c r="D808" s="308"/>
      <c r="E808" s="308"/>
      <c r="F808" s="308"/>
      <c r="G808" s="308"/>
      <c r="H808" s="308"/>
      <c r="I808" s="308"/>
      <c r="J808" s="308"/>
      <c r="K808" s="308"/>
      <c r="L808" s="308"/>
      <c r="M808" s="94"/>
      <c r="N808" s="94"/>
      <c r="O808" s="94"/>
      <c r="P808" s="94"/>
      <c r="Q808" s="94"/>
      <c r="R808" s="94"/>
      <c r="S808" s="94"/>
      <c r="T808" s="94"/>
      <c r="U808" s="94"/>
      <c r="V808" s="94"/>
      <c r="W808" s="94"/>
      <c r="X808" s="94"/>
      <c r="Y808" s="94"/>
      <c r="Z808" s="94"/>
      <c r="AA808" s="94"/>
      <c r="AB808" s="1"/>
      <c r="AC808" s="1"/>
    </row>
    <row r="809" spans="1:30" ht="14.25" customHeight="1" x14ac:dyDescent="0.45">
      <c r="A809" s="79"/>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spans="1:30" ht="14.25" customHeight="1" x14ac:dyDescent="0.45">
      <c r="A810" s="79"/>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spans="1:30" ht="14.25" customHeight="1" x14ac:dyDescent="0.45">
      <c r="A811" s="79">
        <v>53</v>
      </c>
      <c r="B811" s="219">
        <v>0</v>
      </c>
      <c r="C811" s="269">
        <v>262.77359999999999</v>
      </c>
      <c r="D811" s="94"/>
      <c r="E811" s="94"/>
      <c r="F811" s="94"/>
      <c r="G811" s="94"/>
      <c r="H811" s="94"/>
      <c r="I811" s="94"/>
      <c r="J811" s="94"/>
      <c r="K811" s="94"/>
      <c r="L811" s="94"/>
      <c r="M811" s="94"/>
      <c r="N811" s="94"/>
      <c r="O811" s="94"/>
      <c r="P811" s="94"/>
      <c r="Q811" s="94"/>
      <c r="R811" s="94"/>
      <c r="S811" s="94"/>
      <c r="T811" s="94"/>
      <c r="U811" s="94"/>
      <c r="V811" s="94"/>
      <c r="W811" s="94"/>
      <c r="X811" s="94"/>
      <c r="Y811" s="94">
        <f t="shared" ref="Y811:Y816" si="268">AVERAGE(C811:X811)</f>
        <v>262.77359999999999</v>
      </c>
      <c r="Z811" s="94">
        <f t="shared" ref="Z811:Z814" si="269">Z812+0.025</f>
        <v>263.22989999999982</v>
      </c>
      <c r="AA811" s="94">
        <f t="shared" ref="AA811:AA816" si="270">Z811-Y811</f>
        <v>0.45629999999982829</v>
      </c>
      <c r="AB811" s="1">
        <f t="shared" ref="AB811:AB816" si="271">COUNTIF(C811:X811,"&gt;0")*5</f>
        <v>5</v>
      </c>
      <c r="AC811" s="1">
        <f t="shared" ref="AC811:AC816" si="272">AA811*AB811*5</f>
        <v>11.407499999995707</v>
      </c>
    </row>
    <row r="812" spans="1:30" ht="14.25" customHeight="1" x14ac:dyDescent="0.45">
      <c r="A812" s="79"/>
      <c r="B812" s="219">
        <v>5</v>
      </c>
      <c r="C812" s="269">
        <v>264.4864</v>
      </c>
      <c r="D812" s="269">
        <v>263.18259999999998</v>
      </c>
      <c r="E812" s="94"/>
      <c r="F812" s="94"/>
      <c r="G812" s="94"/>
      <c r="H812" s="94"/>
      <c r="I812" s="94"/>
      <c r="J812" s="94"/>
      <c r="K812" s="94"/>
      <c r="L812" s="94"/>
      <c r="M812" s="94"/>
      <c r="N812" s="94"/>
      <c r="O812" s="94"/>
      <c r="P812" s="94"/>
      <c r="Q812" s="94"/>
      <c r="R812" s="94"/>
      <c r="S812" s="94"/>
      <c r="T812" s="94"/>
      <c r="U812" s="94"/>
      <c r="V812" s="94"/>
      <c r="W812" s="94"/>
      <c r="X812" s="94"/>
      <c r="Y812" s="94">
        <f t="shared" si="268"/>
        <v>263.83449999999999</v>
      </c>
      <c r="Z812" s="94">
        <f t="shared" si="269"/>
        <v>263.20489999999984</v>
      </c>
      <c r="AA812" s="94">
        <f t="shared" si="270"/>
        <v>-0.6296000000001527</v>
      </c>
      <c r="AB812" s="1">
        <f t="shared" si="271"/>
        <v>10</v>
      </c>
      <c r="AC812" s="1">
        <f t="shared" si="272"/>
        <v>-31.480000000007635</v>
      </c>
    </row>
    <row r="813" spans="1:30" ht="14.25" customHeight="1" x14ac:dyDescent="0.45">
      <c r="A813" s="79"/>
      <c r="B813" s="219">
        <v>10</v>
      </c>
      <c r="C813" s="269">
        <v>263.3777</v>
      </c>
      <c r="D813" s="269">
        <v>264.21769999999998</v>
      </c>
      <c r="E813" s="94"/>
      <c r="F813" s="94"/>
      <c r="G813" s="94"/>
      <c r="H813" s="94"/>
      <c r="I813" s="94"/>
      <c r="J813" s="94"/>
      <c r="K813" s="94"/>
      <c r="L813" s="94"/>
      <c r="M813" s="94"/>
      <c r="N813" s="94"/>
      <c r="O813" s="94"/>
      <c r="P813" s="94"/>
      <c r="Q813" s="94"/>
      <c r="R813" s="94"/>
      <c r="S813" s="94"/>
      <c r="T813" s="94"/>
      <c r="U813" s="94"/>
      <c r="V813" s="94"/>
      <c r="W813" s="94"/>
      <c r="X813" s="94"/>
      <c r="Y813" s="94">
        <f t="shared" si="268"/>
        <v>263.79769999999996</v>
      </c>
      <c r="Z813" s="94">
        <f t="shared" si="269"/>
        <v>263.17989999999986</v>
      </c>
      <c r="AA813" s="94">
        <f t="shared" si="270"/>
        <v>-0.61780000000010205</v>
      </c>
      <c r="AB813" s="1">
        <f t="shared" si="271"/>
        <v>10</v>
      </c>
      <c r="AC813" s="1">
        <f t="shared" si="272"/>
        <v>-30.890000000005102</v>
      </c>
    </row>
    <row r="814" spans="1:30" ht="14.25" customHeight="1" x14ac:dyDescent="0.45">
      <c r="A814" s="79"/>
      <c r="B814" s="219">
        <v>15</v>
      </c>
      <c r="C814" s="269">
        <v>263.2414</v>
      </c>
      <c r="D814" s="269">
        <v>263.61869999999999</v>
      </c>
      <c r="E814" s="269">
        <v>264.22469999999998</v>
      </c>
      <c r="F814" s="269">
        <v>262.45819999999998</v>
      </c>
      <c r="G814" s="94"/>
      <c r="H814" s="94"/>
      <c r="I814" s="94"/>
      <c r="J814" s="94"/>
      <c r="K814" s="94"/>
      <c r="L814" s="94"/>
      <c r="M814" s="94"/>
      <c r="N814" s="94"/>
      <c r="O814" s="94"/>
      <c r="P814" s="94"/>
      <c r="Q814" s="94"/>
      <c r="R814" s="94"/>
      <c r="S814" s="94"/>
      <c r="T814" s="94"/>
      <c r="U814" s="94"/>
      <c r="V814" s="94"/>
      <c r="W814" s="94"/>
      <c r="X814" s="94"/>
      <c r="Y814" s="94">
        <f t="shared" si="268"/>
        <v>263.38574999999997</v>
      </c>
      <c r="Z814" s="94">
        <f t="shared" si="269"/>
        <v>263.15489999999988</v>
      </c>
      <c r="AA814" s="94">
        <f t="shared" si="270"/>
        <v>-0.23085000000008904</v>
      </c>
      <c r="AB814" s="1">
        <f t="shared" si="271"/>
        <v>20</v>
      </c>
      <c r="AC814" s="1">
        <f t="shared" si="272"/>
        <v>-23.085000000008904</v>
      </c>
    </row>
    <row r="815" spans="1:30" ht="14.25" customHeight="1" x14ac:dyDescent="0.45">
      <c r="A815" s="79"/>
      <c r="B815" s="219">
        <v>20</v>
      </c>
      <c r="C815" s="269">
        <v>263.34879999999998</v>
      </c>
      <c r="D815" s="269">
        <v>263.38619999999997</v>
      </c>
      <c r="E815" s="269">
        <v>263.32159999999999</v>
      </c>
      <c r="F815" s="269">
        <v>263.57470000000001</v>
      </c>
      <c r="G815" s="269">
        <v>263.52620000000002</v>
      </c>
      <c r="H815" s="269">
        <v>263.1155</v>
      </c>
      <c r="I815" s="94"/>
      <c r="J815" s="94"/>
      <c r="K815" s="94"/>
      <c r="L815" s="94"/>
      <c r="M815" s="94"/>
      <c r="N815" s="94"/>
      <c r="O815" s="94"/>
      <c r="P815" s="94"/>
      <c r="Q815" s="94"/>
      <c r="R815" s="94"/>
      <c r="S815" s="94"/>
      <c r="T815" s="94"/>
      <c r="U815" s="94"/>
      <c r="V815" s="94"/>
      <c r="W815" s="94"/>
      <c r="X815" s="94"/>
      <c r="Y815" s="94">
        <f t="shared" si="268"/>
        <v>263.37883333333338</v>
      </c>
      <c r="Z815" s="94">
        <f>Z816+0.025</f>
        <v>263.12989999999991</v>
      </c>
      <c r="AA815" s="94">
        <f t="shared" si="270"/>
        <v>-0.24893333333346845</v>
      </c>
      <c r="AB815" s="1">
        <f t="shared" si="271"/>
        <v>30</v>
      </c>
      <c r="AC815" s="1">
        <f t="shared" si="272"/>
        <v>-37.340000000020268</v>
      </c>
    </row>
    <row r="816" spans="1:30" ht="14.25" customHeight="1" x14ac:dyDescent="0.45">
      <c r="A816" s="79"/>
      <c r="B816" s="219">
        <v>25</v>
      </c>
      <c r="C816" s="269">
        <v>263.5444</v>
      </c>
      <c r="D816" s="269">
        <v>263.1352</v>
      </c>
      <c r="E816" s="269">
        <v>263.38299999999998</v>
      </c>
      <c r="F816" s="269">
        <v>263.40629999999999</v>
      </c>
      <c r="G816" s="269">
        <v>263.44380000000001</v>
      </c>
      <c r="H816" s="269">
        <v>264.30419999999998</v>
      </c>
      <c r="I816" s="269">
        <v>262.2491</v>
      </c>
      <c r="J816" s="94"/>
      <c r="K816" s="94"/>
      <c r="L816" s="94"/>
      <c r="M816" s="94"/>
      <c r="N816" s="94"/>
      <c r="O816" s="94"/>
      <c r="P816" s="94"/>
      <c r="Q816" s="94"/>
      <c r="R816" s="94"/>
      <c r="S816" s="94"/>
      <c r="T816" s="94"/>
      <c r="U816" s="94"/>
      <c r="V816" s="94"/>
      <c r="W816" s="94"/>
      <c r="X816" s="94"/>
      <c r="Y816" s="94">
        <f t="shared" si="268"/>
        <v>263.3522857142857</v>
      </c>
      <c r="Z816" s="319">
        <f>Z6-0.1</f>
        <v>263.10489999999993</v>
      </c>
      <c r="AA816" s="94">
        <f t="shared" si="270"/>
        <v>-0.24738571428576961</v>
      </c>
      <c r="AB816" s="1">
        <f t="shared" si="271"/>
        <v>35</v>
      </c>
      <c r="AC816" s="1">
        <f t="shared" si="272"/>
        <v>-43.292500000009682</v>
      </c>
      <c r="AD816" s="306">
        <f>SUM(AC811:AC816)</f>
        <v>-154.68000000005588</v>
      </c>
    </row>
    <row r="820" spans="1:30" ht="14.25" customHeight="1" x14ac:dyDescent="0.45">
      <c r="A820" s="79">
        <v>54</v>
      </c>
      <c r="B820" s="219">
        <v>0</v>
      </c>
      <c r="C820" s="94"/>
      <c r="D820" s="94"/>
      <c r="E820" s="214"/>
      <c r="F820" s="270">
        <v>262.98270000000002</v>
      </c>
      <c r="G820" s="270">
        <v>263.5693</v>
      </c>
      <c r="H820" s="270">
        <v>263.02960000000002</v>
      </c>
      <c r="I820" s="270">
        <v>263.07420000000002</v>
      </c>
      <c r="J820" s="270">
        <v>262.61239999999998</v>
      </c>
      <c r="K820" s="214"/>
      <c r="L820" s="214"/>
      <c r="M820" s="214"/>
      <c r="N820" s="94"/>
      <c r="O820" s="94"/>
      <c r="P820" s="94"/>
      <c r="Q820" s="94"/>
      <c r="R820" s="94"/>
      <c r="S820" s="94"/>
      <c r="T820" s="94"/>
      <c r="U820" s="94"/>
      <c r="V820" s="94"/>
      <c r="W820" s="94"/>
      <c r="X820" s="94"/>
      <c r="Y820" s="94">
        <f>AVERAGE(C820:X820)</f>
        <v>263.05363999999997</v>
      </c>
      <c r="Z820" s="94">
        <f>Z821</f>
        <v>263.25489999999996</v>
      </c>
      <c r="AA820" s="94">
        <f t="shared" ref="AA820:AA822" si="273">Z820-Y820</f>
        <v>0.20125999999999067</v>
      </c>
      <c r="AB820" s="1">
        <f>COUNTIF(C820:X820,"&gt;0")*5</f>
        <v>25</v>
      </c>
      <c r="AC820" s="1">
        <f t="shared" ref="AC820:AC822" si="274">AA820*AB820*5</f>
        <v>25.157499999998834</v>
      </c>
    </row>
    <row r="821" spans="1:30" ht="14.25" customHeight="1" x14ac:dyDescent="0.45">
      <c r="A821" s="79"/>
      <c r="B821" s="219">
        <v>5</v>
      </c>
      <c r="C821" s="270">
        <v>263.91289999999998</v>
      </c>
      <c r="D821" s="270">
        <v>263.06380000000001</v>
      </c>
      <c r="E821" s="270">
        <v>263.49119999999999</v>
      </c>
      <c r="F821" s="270">
        <v>264.31299999999999</v>
      </c>
      <c r="G821" s="270">
        <v>263.92329999999998</v>
      </c>
      <c r="H821" s="270">
        <v>263.74810000000002</v>
      </c>
      <c r="I821" s="270">
        <v>263.6789</v>
      </c>
      <c r="J821" s="270">
        <v>263.66809999999998</v>
      </c>
      <c r="K821" s="270">
        <v>263.80239999999998</v>
      </c>
      <c r="L821" s="270">
        <v>263.68830000000003</v>
      </c>
      <c r="M821" s="270">
        <v>263.95999999999998</v>
      </c>
      <c r="N821" s="270">
        <v>264.2758</v>
      </c>
      <c r="O821" s="270">
        <v>264.05939999999998</v>
      </c>
      <c r="P821" s="94"/>
      <c r="Q821" s="94"/>
      <c r="R821" s="94"/>
      <c r="S821" s="94"/>
      <c r="T821" s="94"/>
      <c r="U821" s="94"/>
      <c r="V821" s="94"/>
      <c r="W821" s="94"/>
      <c r="X821" s="94"/>
      <c r="Y821" s="94">
        <f>AVERAGE(C821:X821)</f>
        <v>263.81424615384617</v>
      </c>
      <c r="Z821" s="94">
        <f>Z822</f>
        <v>263.25489999999996</v>
      </c>
      <c r="AA821" s="94">
        <f t="shared" si="273"/>
        <v>-0.55934615384620656</v>
      </c>
      <c r="AB821" s="1">
        <f>COUNTIF(C821:X821,"&gt;0")*5</f>
        <v>65</v>
      </c>
      <c r="AC821" s="1">
        <f t="shared" si="274"/>
        <v>-181.78750000001713</v>
      </c>
    </row>
    <row r="822" spans="1:30" ht="14.25" customHeight="1" x14ac:dyDescent="0.45">
      <c r="A822" s="79"/>
      <c r="B822" s="219">
        <v>10</v>
      </c>
      <c r="C822" s="270">
        <v>263.44830000000002</v>
      </c>
      <c r="D822" s="270">
        <v>264.10629999999998</v>
      </c>
      <c r="E822" s="270">
        <v>263.74829999999997</v>
      </c>
      <c r="F822" s="270">
        <v>263.62259999999998</v>
      </c>
      <c r="G822" s="270">
        <v>263.50630000000001</v>
      </c>
      <c r="H822" s="270">
        <v>263.57600000000002</v>
      </c>
      <c r="I822" s="270">
        <v>263.46730000000002</v>
      </c>
      <c r="J822" s="270">
        <v>263.49189999999999</v>
      </c>
      <c r="K822" s="270">
        <v>263.20260000000002</v>
      </c>
      <c r="L822" s="270">
        <v>263.24950000000001</v>
      </c>
      <c r="M822" s="270">
        <v>263.29500000000002</v>
      </c>
      <c r="N822" s="270">
        <v>263.404</v>
      </c>
      <c r="O822" s="270">
        <v>263.54050000000001</v>
      </c>
      <c r="P822" s="94"/>
      <c r="Q822" s="94"/>
      <c r="R822" s="94"/>
      <c r="S822" s="94"/>
      <c r="T822" s="94"/>
      <c r="U822" s="94"/>
      <c r="V822" s="94"/>
      <c r="W822" s="94"/>
      <c r="X822" s="94"/>
      <c r="Y822" s="94">
        <f>AVERAGE(C822:X822)</f>
        <v>263.51220000000001</v>
      </c>
      <c r="Z822" s="319">
        <f>Z3-0.1</f>
        <v>263.25489999999996</v>
      </c>
      <c r="AA822" s="94">
        <f t="shared" si="273"/>
        <v>-0.25730000000004338</v>
      </c>
      <c r="AB822" s="1">
        <f>COUNTIF(C822:X822,"&gt;0")*5</f>
        <v>65</v>
      </c>
      <c r="AC822" s="1">
        <f t="shared" si="274"/>
        <v>-83.622500000014099</v>
      </c>
      <c r="AD822" s="306">
        <f>SUM(AC820:AC822)</f>
        <v>-240.2525000000324</v>
      </c>
    </row>
    <row r="823" spans="1:30" ht="14.25" customHeight="1" x14ac:dyDescent="0.45">
      <c r="A823" s="79"/>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spans="1:30" ht="14.25" customHeight="1" x14ac:dyDescent="0.45">
      <c r="A824" s="79"/>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spans="1:30" ht="14.25" customHeight="1" x14ac:dyDescent="0.45">
      <c r="A825" s="79">
        <v>55</v>
      </c>
      <c r="B825" s="219">
        <v>0</v>
      </c>
      <c r="C825" s="94"/>
      <c r="D825" s="244">
        <v>263.79320000000001</v>
      </c>
      <c r="E825" s="244">
        <v>263.5222</v>
      </c>
      <c r="F825" s="94"/>
      <c r="G825" s="94"/>
      <c r="H825" s="94"/>
      <c r="I825" s="94"/>
      <c r="J825" s="94"/>
      <c r="K825" s="94"/>
      <c r="L825" s="94"/>
      <c r="M825" s="94"/>
      <c r="N825" s="94"/>
      <c r="O825" s="94"/>
      <c r="P825" s="94"/>
      <c r="Q825" s="94"/>
      <c r="R825" s="94"/>
      <c r="S825" s="94"/>
      <c r="T825" s="94"/>
      <c r="U825" s="94"/>
      <c r="V825" s="94"/>
      <c r="W825" s="94"/>
      <c r="X825" s="94"/>
      <c r="Y825" s="94">
        <f t="shared" ref="Y825:Y833" si="275">AVERAGE(C825:X825)</f>
        <v>263.65769999999998</v>
      </c>
      <c r="Z825" s="319">
        <f t="shared" ref="Z825:Z833" si="276">Z4-0.05</f>
        <v>263.25489999999996</v>
      </c>
      <c r="AA825" s="94">
        <f t="shared" ref="AA825:AA833" si="277">Z825-Y825</f>
        <v>-0.40280000000001337</v>
      </c>
      <c r="AB825" s="1">
        <f t="shared" ref="AB825:AB833" si="278">COUNTIF(C825:X825,"&gt;0")*5</f>
        <v>10</v>
      </c>
      <c r="AC825" s="1">
        <f t="shared" ref="AC825:AC833" si="279">AA825*AB825*5</f>
        <v>-20.140000000000668</v>
      </c>
    </row>
    <row r="826" spans="1:30" ht="14.25" customHeight="1" x14ac:dyDescent="0.45">
      <c r="A826" s="79"/>
      <c r="B826" s="219">
        <v>5</v>
      </c>
      <c r="C826" s="94"/>
      <c r="D826" s="244">
        <v>264.27769999999998</v>
      </c>
      <c r="E826" s="244">
        <v>263.27719999999999</v>
      </c>
      <c r="F826" s="94"/>
      <c r="G826" s="94"/>
      <c r="H826" s="94"/>
      <c r="I826" s="94"/>
      <c r="J826" s="94"/>
      <c r="K826" s="94"/>
      <c r="L826" s="94"/>
      <c r="M826" s="94"/>
      <c r="N826" s="94"/>
      <c r="O826" s="94"/>
      <c r="P826" s="94"/>
      <c r="Q826" s="94"/>
      <c r="R826" s="94"/>
      <c r="S826" s="94"/>
      <c r="T826" s="94"/>
      <c r="U826" s="94"/>
      <c r="V826" s="94"/>
      <c r="W826" s="94"/>
      <c r="X826" s="94"/>
      <c r="Y826" s="94">
        <f t="shared" si="275"/>
        <v>263.77744999999999</v>
      </c>
      <c r="Z826" s="94">
        <f t="shared" si="276"/>
        <v>263.20489999999995</v>
      </c>
      <c r="AA826" s="94">
        <f t="shared" si="277"/>
        <v>-0.5725500000000352</v>
      </c>
      <c r="AB826" s="1">
        <f t="shared" si="278"/>
        <v>10</v>
      </c>
      <c r="AC826" s="1">
        <f t="shared" si="279"/>
        <v>-28.62750000000176</v>
      </c>
    </row>
    <row r="827" spans="1:30" ht="14.25" customHeight="1" x14ac:dyDescent="0.45">
      <c r="A827" s="79"/>
      <c r="B827" s="219">
        <v>10</v>
      </c>
      <c r="C827" s="94"/>
      <c r="D827" s="244">
        <v>263.73939999999999</v>
      </c>
      <c r="E827" s="244">
        <v>263.44080000000002</v>
      </c>
      <c r="F827" s="94"/>
      <c r="G827" s="94"/>
      <c r="H827" s="94"/>
      <c r="I827" s="94"/>
      <c r="J827" s="94"/>
      <c r="K827" s="94"/>
      <c r="L827" s="94"/>
      <c r="M827" s="94"/>
      <c r="N827" s="94"/>
      <c r="O827" s="94"/>
      <c r="P827" s="94"/>
      <c r="Q827" s="94"/>
      <c r="R827" s="94"/>
      <c r="S827" s="94"/>
      <c r="T827" s="94"/>
      <c r="U827" s="94"/>
      <c r="V827" s="94"/>
      <c r="W827" s="94"/>
      <c r="X827" s="94"/>
      <c r="Y827" s="94">
        <f t="shared" si="275"/>
        <v>263.59010000000001</v>
      </c>
      <c r="Z827" s="94">
        <f t="shared" si="276"/>
        <v>263.15489999999994</v>
      </c>
      <c r="AA827" s="94">
        <f t="shared" si="277"/>
        <v>-0.43520000000006576</v>
      </c>
      <c r="AB827" s="1">
        <f t="shared" si="278"/>
        <v>10</v>
      </c>
      <c r="AC827" s="1">
        <f t="shared" si="279"/>
        <v>-21.760000000003288</v>
      </c>
    </row>
    <row r="828" spans="1:30" ht="14.25" customHeight="1" x14ac:dyDescent="0.45">
      <c r="A828" s="79"/>
      <c r="B828" s="219">
        <v>15</v>
      </c>
      <c r="C828" s="94"/>
      <c r="D828" s="244">
        <v>263.7011</v>
      </c>
      <c r="E828" s="244">
        <v>263.41070000000002</v>
      </c>
      <c r="F828" s="94"/>
      <c r="G828" s="94"/>
      <c r="H828" s="94"/>
      <c r="I828" s="94"/>
      <c r="J828" s="94"/>
      <c r="K828" s="94"/>
      <c r="L828" s="94"/>
      <c r="M828" s="94"/>
      <c r="N828" s="94"/>
      <c r="O828" s="94"/>
      <c r="P828" s="94"/>
      <c r="Q828" s="94"/>
      <c r="R828" s="94"/>
      <c r="S828" s="94"/>
      <c r="T828" s="94"/>
      <c r="U828" s="94"/>
      <c r="V828" s="94"/>
      <c r="W828" s="94"/>
      <c r="X828" s="94"/>
      <c r="Y828" s="94">
        <f t="shared" si="275"/>
        <v>263.55590000000001</v>
      </c>
      <c r="Z828" s="94">
        <f t="shared" si="276"/>
        <v>263.10489999999993</v>
      </c>
      <c r="AA828" s="94">
        <f t="shared" si="277"/>
        <v>-0.45100000000007867</v>
      </c>
      <c r="AB828" s="1">
        <f t="shared" si="278"/>
        <v>10</v>
      </c>
      <c r="AC828" s="1">
        <f t="shared" si="279"/>
        <v>-22.550000000003934</v>
      </c>
    </row>
    <row r="829" spans="1:30" ht="14.25" customHeight="1" x14ac:dyDescent="0.45">
      <c r="A829" s="79"/>
      <c r="B829" s="219">
        <v>20</v>
      </c>
      <c r="C829" s="94"/>
      <c r="D829" s="244">
        <v>264.16930000000002</v>
      </c>
      <c r="E829" s="244">
        <v>263.54239999999999</v>
      </c>
      <c r="F829" s="94"/>
      <c r="G829" s="94"/>
      <c r="H829" s="94"/>
      <c r="I829" s="94"/>
      <c r="J829" s="94"/>
      <c r="K829" s="94"/>
      <c r="L829" s="94"/>
      <c r="M829" s="94"/>
      <c r="N829" s="94"/>
      <c r="O829" s="94"/>
      <c r="P829" s="94"/>
      <c r="Q829" s="94"/>
      <c r="R829" s="94"/>
      <c r="S829" s="94"/>
      <c r="T829" s="94"/>
      <c r="U829" s="94"/>
      <c r="V829" s="94"/>
      <c r="W829" s="94"/>
      <c r="X829" s="94"/>
      <c r="Y829" s="94">
        <f t="shared" si="275"/>
        <v>263.85585000000003</v>
      </c>
      <c r="Z829" s="94">
        <f t="shared" si="276"/>
        <v>263.05489999999992</v>
      </c>
      <c r="AA829" s="94">
        <f t="shared" si="277"/>
        <v>-0.80095000000011396</v>
      </c>
      <c r="AB829" s="1">
        <f t="shared" si="278"/>
        <v>10</v>
      </c>
      <c r="AC829" s="1">
        <f t="shared" si="279"/>
        <v>-40.047500000005698</v>
      </c>
    </row>
    <row r="830" spans="1:30" ht="14.25" customHeight="1" x14ac:dyDescent="0.45">
      <c r="A830" s="79"/>
      <c r="B830" s="219">
        <v>25</v>
      </c>
      <c r="C830" s="94"/>
      <c r="D830" s="244">
        <v>264.0686</v>
      </c>
      <c r="E830" s="244">
        <v>263.40690000000001</v>
      </c>
      <c r="F830" s="94"/>
      <c r="G830" s="94"/>
      <c r="H830" s="94"/>
      <c r="I830" s="94"/>
      <c r="J830" s="94"/>
      <c r="K830" s="94"/>
      <c r="L830" s="94"/>
      <c r="M830" s="94"/>
      <c r="N830" s="94"/>
      <c r="O830" s="94"/>
      <c r="P830" s="94"/>
      <c r="Q830" s="94"/>
      <c r="R830" s="94"/>
      <c r="S830" s="94"/>
      <c r="T830" s="94"/>
      <c r="U830" s="94"/>
      <c r="V830" s="94"/>
      <c r="W830" s="94"/>
      <c r="X830" s="94"/>
      <c r="Y830" s="94">
        <f t="shared" si="275"/>
        <v>263.73775000000001</v>
      </c>
      <c r="Z830" s="94">
        <f t="shared" si="276"/>
        <v>263.00489999999991</v>
      </c>
      <c r="AA830" s="94">
        <f t="shared" si="277"/>
        <v>-0.73285000000009859</v>
      </c>
      <c r="AB830" s="1">
        <f t="shared" si="278"/>
        <v>10</v>
      </c>
      <c r="AC830" s="1">
        <f t="shared" si="279"/>
        <v>-36.642500000004929</v>
      </c>
    </row>
    <row r="831" spans="1:30" ht="14.25" customHeight="1" x14ac:dyDescent="0.45">
      <c r="A831" s="79"/>
      <c r="B831" s="219">
        <v>30</v>
      </c>
      <c r="C831" s="244">
        <v>264.13350000000003</v>
      </c>
      <c r="D831" s="244">
        <v>263.46589999999998</v>
      </c>
      <c r="E831" s="244">
        <v>263.4932</v>
      </c>
      <c r="F831" s="94"/>
      <c r="G831" s="94"/>
      <c r="H831" s="94"/>
      <c r="I831" s="94"/>
      <c r="J831" s="94"/>
      <c r="K831" s="94"/>
      <c r="L831" s="94"/>
      <c r="M831" s="94"/>
      <c r="N831" s="94"/>
      <c r="O831" s="94"/>
      <c r="P831" s="94"/>
      <c r="Q831" s="94"/>
      <c r="R831" s="94"/>
      <c r="S831" s="94"/>
      <c r="T831" s="94"/>
      <c r="U831" s="94"/>
      <c r="V831" s="94"/>
      <c r="W831" s="94"/>
      <c r="X831" s="94"/>
      <c r="Y831" s="94">
        <f t="shared" si="275"/>
        <v>263.69753333333335</v>
      </c>
      <c r="Z831" s="94">
        <f t="shared" si="276"/>
        <v>262.9548999999999</v>
      </c>
      <c r="AA831" s="94">
        <f t="shared" si="277"/>
        <v>-0.74263333333345827</v>
      </c>
      <c r="AB831" s="1">
        <f t="shared" si="278"/>
        <v>15</v>
      </c>
      <c r="AC831" s="1">
        <f t="shared" si="279"/>
        <v>-55.69750000000937</v>
      </c>
    </row>
    <row r="832" spans="1:30" ht="14.25" customHeight="1" x14ac:dyDescent="0.45">
      <c r="A832" s="79"/>
      <c r="B832" s="219">
        <v>35</v>
      </c>
      <c r="C832" s="244">
        <v>264.21859999999998</v>
      </c>
      <c r="D832" s="244">
        <v>263.71820000000002</v>
      </c>
      <c r="E832" s="244">
        <v>263.47390000000001</v>
      </c>
      <c r="F832" s="94"/>
      <c r="G832" s="94"/>
      <c r="H832" s="94"/>
      <c r="I832" s="94"/>
      <c r="J832" s="94"/>
      <c r="K832" s="94"/>
      <c r="L832" s="94"/>
      <c r="M832" s="94"/>
      <c r="N832" s="94"/>
      <c r="O832" s="94"/>
      <c r="P832" s="94"/>
      <c r="Q832" s="94"/>
      <c r="R832" s="94"/>
      <c r="S832" s="94"/>
      <c r="T832" s="94"/>
      <c r="U832" s="94"/>
      <c r="V832" s="94"/>
      <c r="W832" s="94"/>
      <c r="X832" s="94"/>
      <c r="Y832" s="94">
        <f t="shared" si="275"/>
        <v>263.80356666666665</v>
      </c>
      <c r="Z832" s="94">
        <f t="shared" si="276"/>
        <v>262.90489999999988</v>
      </c>
      <c r="AA832" s="94">
        <f t="shared" si="277"/>
        <v>-0.8986666666667702</v>
      </c>
      <c r="AB832" s="1">
        <f t="shared" si="278"/>
        <v>15</v>
      </c>
      <c r="AC832" s="1">
        <f t="shared" si="279"/>
        <v>-67.400000000007765</v>
      </c>
    </row>
    <row r="833" spans="1:30" ht="14.25" customHeight="1" x14ac:dyDescent="0.45">
      <c r="A833" s="79"/>
      <c r="B833" s="219">
        <v>40</v>
      </c>
      <c r="C833" s="244">
        <v>264.21409999999997</v>
      </c>
      <c r="D833" s="244">
        <v>263.66969999999998</v>
      </c>
      <c r="E833" s="244">
        <v>263.40519999999998</v>
      </c>
      <c r="F833" s="94"/>
      <c r="G833" s="94"/>
      <c r="H833" s="94"/>
      <c r="I833" s="94"/>
      <c r="J833" s="94"/>
      <c r="K833" s="94"/>
      <c r="L833" s="94"/>
      <c r="M833" s="94"/>
      <c r="N833" s="94"/>
      <c r="O833" s="94"/>
      <c r="P833" s="94"/>
      <c r="Q833" s="94"/>
      <c r="R833" s="94"/>
      <c r="S833" s="94"/>
      <c r="T833" s="94"/>
      <c r="U833" s="94"/>
      <c r="V833" s="94"/>
      <c r="W833" s="94"/>
      <c r="X833" s="94"/>
      <c r="Y833" s="94">
        <f t="shared" si="275"/>
        <v>263.76299999999998</v>
      </c>
      <c r="Z833" s="94">
        <f t="shared" si="276"/>
        <v>262.85489999999987</v>
      </c>
      <c r="AA833" s="94">
        <f t="shared" si="277"/>
        <v>-0.90810000000010405</v>
      </c>
      <c r="AB833" s="1">
        <f t="shared" si="278"/>
        <v>15</v>
      </c>
      <c r="AC833" s="1">
        <f t="shared" si="279"/>
        <v>-68.107500000007803</v>
      </c>
      <c r="AD833" s="306">
        <f>SUM(AC825:AC833)</f>
        <v>-360.97250000004522</v>
      </c>
    </row>
    <row r="834" spans="1:30" ht="14.25" customHeight="1" x14ac:dyDescent="0.45">
      <c r="A834" s="79"/>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spans="1:30" ht="14.25" customHeight="1" x14ac:dyDescent="0.45">
      <c r="A835" s="79"/>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spans="1:30" ht="14.25" customHeight="1" x14ac:dyDescent="0.45">
      <c r="A836" s="79">
        <v>56</v>
      </c>
      <c r="B836" s="219">
        <v>0</v>
      </c>
      <c r="C836" s="271">
        <v>263.73219999999998</v>
      </c>
      <c r="D836" s="94"/>
      <c r="E836" s="94"/>
      <c r="F836" s="94"/>
      <c r="G836" s="94"/>
      <c r="H836" s="94"/>
      <c r="I836" s="94"/>
      <c r="J836" s="94"/>
      <c r="K836" s="94"/>
      <c r="L836" s="94"/>
      <c r="M836" s="94"/>
      <c r="N836" s="240"/>
      <c r="O836" s="240"/>
      <c r="P836" s="240"/>
      <c r="Q836" s="94"/>
      <c r="R836" s="94"/>
      <c r="S836" s="94"/>
      <c r="T836" s="94"/>
      <c r="U836" s="94"/>
      <c r="V836" s="94"/>
      <c r="W836" s="94"/>
      <c r="X836" s="94"/>
      <c r="Y836" s="94">
        <f>AVERAGE(C836:X836)</f>
        <v>263.73219999999998</v>
      </c>
      <c r="Z836" s="94">
        <f>Z837</f>
        <v>262.84002222222216</v>
      </c>
      <c r="AA836" s="94">
        <f t="shared" ref="AA836:AA840" si="280">Z836-Y836</f>
        <v>-0.89217777777781748</v>
      </c>
      <c r="AB836" s="1">
        <f>COUNTIF(C836:X836,"&gt;0")*5</f>
        <v>5</v>
      </c>
      <c r="AC836" s="1">
        <f t="shared" ref="AC836:AC840" si="281">AA836*AB836*5</f>
        <v>-22.304444444445437</v>
      </c>
    </row>
    <row r="837" spans="1:30" ht="14.25" customHeight="1" x14ac:dyDescent="0.45">
      <c r="A837" s="79"/>
      <c r="B837" s="219">
        <v>5</v>
      </c>
      <c r="C837" s="271">
        <v>263.8449</v>
      </c>
      <c r="D837" s="271">
        <v>263.62</v>
      </c>
      <c r="E837" s="94"/>
      <c r="F837" s="94"/>
      <c r="G837" s="94"/>
      <c r="H837" s="94"/>
      <c r="I837" s="94"/>
      <c r="J837" s="94"/>
      <c r="K837" s="94"/>
      <c r="L837" s="94"/>
      <c r="M837" s="94"/>
      <c r="N837" s="240"/>
      <c r="O837" s="240"/>
      <c r="P837" s="240"/>
      <c r="Q837" s="94"/>
      <c r="R837" s="94"/>
      <c r="S837" s="94"/>
      <c r="T837" s="94"/>
      <c r="U837" s="94"/>
      <c r="V837" s="94"/>
      <c r="W837" s="94"/>
      <c r="X837" s="94"/>
      <c r="Y837" s="94">
        <f>AVERAGE(C837:X837)</f>
        <v>263.73244999999997</v>
      </c>
      <c r="Z837" s="94">
        <f t="shared" ref="Z837:Z838" si="282">Z838</f>
        <v>262.84002222222216</v>
      </c>
      <c r="AA837" s="94">
        <f t="shared" si="280"/>
        <v>-0.89242777777781157</v>
      </c>
      <c r="AB837" s="1">
        <f>COUNTIF(C837:X837,"&gt;0")*5</f>
        <v>10</v>
      </c>
      <c r="AC837" s="1">
        <f t="shared" si="281"/>
        <v>-44.621388888890579</v>
      </c>
    </row>
    <row r="838" spans="1:30" ht="14.25" customHeight="1" x14ac:dyDescent="0.45">
      <c r="A838" s="79"/>
      <c r="B838" s="219">
        <v>10</v>
      </c>
      <c r="C838" s="271">
        <v>263.9307</v>
      </c>
      <c r="D838" s="271">
        <v>263.73989999999998</v>
      </c>
      <c r="E838" s="271">
        <v>264.01010000000002</v>
      </c>
      <c r="F838" s="214"/>
      <c r="G838" s="214"/>
      <c r="H838" s="214"/>
      <c r="I838" s="214"/>
      <c r="J838" s="320"/>
      <c r="K838" s="214"/>
      <c r="L838" s="94"/>
      <c r="M838" s="94"/>
      <c r="N838" s="320"/>
      <c r="O838" s="320"/>
      <c r="P838" s="320"/>
      <c r="Q838" s="320"/>
      <c r="R838" s="320"/>
      <c r="S838" s="320"/>
      <c r="T838" s="320"/>
      <c r="U838" s="320"/>
      <c r="V838" s="94"/>
      <c r="W838" s="94"/>
      <c r="X838" s="94"/>
      <c r="Y838" s="94">
        <f>AVERAGE(C838:X838)</f>
        <v>263.89356666666663</v>
      </c>
      <c r="Z838" s="94">
        <f t="shared" si="282"/>
        <v>262.84002222222216</v>
      </c>
      <c r="AA838" s="94">
        <f t="shared" si="280"/>
        <v>-1.0535444444444693</v>
      </c>
      <c r="AB838" s="1">
        <f>COUNTIF(C838:X838,"&gt;0")*5</f>
        <v>15</v>
      </c>
      <c r="AC838" s="1">
        <f t="shared" si="281"/>
        <v>-79.015833333335195</v>
      </c>
    </row>
    <row r="839" spans="1:30" ht="14.25" customHeight="1" x14ac:dyDescent="0.45">
      <c r="A839" s="79"/>
      <c r="B839" s="219">
        <v>15</v>
      </c>
      <c r="C839" s="271">
        <v>264.01100000000002</v>
      </c>
      <c r="D839" s="271">
        <v>263.94749999999999</v>
      </c>
      <c r="E839" s="271">
        <v>263.88510000000002</v>
      </c>
      <c r="F839" s="271">
        <v>263.7174</v>
      </c>
      <c r="G839" s="271">
        <v>263.92989999999998</v>
      </c>
      <c r="H839" s="271">
        <v>263.84829999999999</v>
      </c>
      <c r="I839" s="271">
        <v>263.84010000000001</v>
      </c>
      <c r="J839" s="271">
        <v>263.75200000000001</v>
      </c>
      <c r="K839" s="271">
        <v>263.4366</v>
      </c>
      <c r="L839" s="271">
        <v>263.23169999999999</v>
      </c>
      <c r="M839" s="271">
        <v>263.16989999999998</v>
      </c>
      <c r="N839" s="271">
        <v>263.22820000000002</v>
      </c>
      <c r="O839" s="271">
        <v>263.5693</v>
      </c>
      <c r="P839" s="271">
        <v>263.32400000000001</v>
      </c>
      <c r="Q839" s="271">
        <v>263.22890000000001</v>
      </c>
      <c r="R839" s="271">
        <v>263.60180000000003</v>
      </c>
      <c r="S839" s="271">
        <v>263.46949999999998</v>
      </c>
      <c r="T839" s="271">
        <v>263.49270000000001</v>
      </c>
      <c r="U839" s="271">
        <v>263.47379999999998</v>
      </c>
      <c r="V839" s="94"/>
      <c r="W839" s="94"/>
      <c r="X839" s="94"/>
      <c r="Y839" s="94">
        <f>AVERAGE(C839:X839)</f>
        <v>263.58724736842106</v>
      </c>
      <c r="Z839" s="94">
        <f>Z840</f>
        <v>262.84002222222216</v>
      </c>
      <c r="AA839" s="94">
        <f t="shared" si="280"/>
        <v>-0.74722514619890035</v>
      </c>
      <c r="AB839" s="1">
        <f>COUNTIF(C839:X839,"&gt;0")*5</f>
        <v>95</v>
      </c>
      <c r="AC839" s="1">
        <f t="shared" si="281"/>
        <v>-354.93194444447767</v>
      </c>
    </row>
    <row r="840" spans="1:30" ht="14.25" customHeight="1" x14ac:dyDescent="0.45">
      <c r="A840" s="79"/>
      <c r="B840" s="219">
        <v>20</v>
      </c>
      <c r="C840" s="271">
        <v>264.01749999999998</v>
      </c>
      <c r="D840" s="271">
        <v>263.88330000000002</v>
      </c>
      <c r="E840" s="271">
        <v>263.94990000000001</v>
      </c>
      <c r="F840" s="271">
        <v>263.9298</v>
      </c>
      <c r="G840" s="271">
        <v>263.88729999999998</v>
      </c>
      <c r="H840" s="271">
        <v>263.87569999999999</v>
      </c>
      <c r="I840" s="271">
        <v>263.84829999999999</v>
      </c>
      <c r="J840" s="271">
        <v>263.7792</v>
      </c>
      <c r="K840" s="271">
        <v>263.62099999999998</v>
      </c>
      <c r="L840" s="271">
        <v>263.31119999999999</v>
      </c>
      <c r="M840" s="271">
        <v>263.33089999999999</v>
      </c>
      <c r="N840" s="271">
        <v>263.34899999999999</v>
      </c>
      <c r="O840" s="271">
        <v>263.70229999999998</v>
      </c>
      <c r="P840" s="271">
        <v>263.43009999999998</v>
      </c>
      <c r="Q840" s="271">
        <v>263.61520000000002</v>
      </c>
      <c r="R840" s="271">
        <v>263.45499999999998</v>
      </c>
      <c r="S840" s="271">
        <v>263.50360000000001</v>
      </c>
      <c r="T840" s="271">
        <v>263.54599999999999</v>
      </c>
      <c r="U840" s="271">
        <v>263.39870000000002</v>
      </c>
      <c r="V840" s="94"/>
      <c r="W840" s="94"/>
      <c r="X840" s="94"/>
      <c r="Y840" s="94">
        <f>AVERAGE(C840:X840)</f>
        <v>263.65442105263156</v>
      </c>
      <c r="Z840" s="319">
        <f>Z46-0.3</f>
        <v>262.84002222222216</v>
      </c>
      <c r="AA840" s="94">
        <f t="shared" si="280"/>
        <v>-0.81439883040940231</v>
      </c>
      <c r="AB840" s="1">
        <f>COUNTIF(C840:X840,"&gt;0")*5</f>
        <v>95</v>
      </c>
      <c r="AC840" s="1">
        <f t="shared" si="281"/>
        <v>-386.8394444444661</v>
      </c>
      <c r="AD840" s="306">
        <f>SUM(AC836:AC840)</f>
        <v>-887.71305555561503</v>
      </c>
    </row>
    <row r="841" spans="1:30" ht="14.25" customHeight="1" x14ac:dyDescent="0.45">
      <c r="A841" s="79"/>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spans="1:30" ht="14.25" customHeight="1" x14ac:dyDescent="0.45">
      <c r="A842" s="79"/>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spans="1:30" ht="14.25" customHeight="1" x14ac:dyDescent="0.45">
      <c r="A843" s="79">
        <v>57</v>
      </c>
      <c r="B843" s="219">
        <v>0</v>
      </c>
      <c r="C843" s="94"/>
      <c r="D843" s="272">
        <v>263.85129999999998</v>
      </c>
      <c r="E843" s="272">
        <v>264.26569999999998</v>
      </c>
      <c r="F843" s="272">
        <v>264.13369999999998</v>
      </c>
      <c r="G843" s="272">
        <v>263.95080000000002</v>
      </c>
      <c r="H843" s="272">
        <v>263.83819999999997</v>
      </c>
      <c r="I843" s="272">
        <v>263.59910000000002</v>
      </c>
      <c r="J843" s="272">
        <v>263.96100000000001</v>
      </c>
      <c r="K843" s="94"/>
      <c r="L843" s="94"/>
      <c r="M843" s="94"/>
      <c r="N843" s="94"/>
      <c r="O843" s="94"/>
      <c r="P843" s="94"/>
      <c r="Q843" s="94"/>
      <c r="R843" s="94"/>
      <c r="S843" s="94"/>
      <c r="T843" s="94"/>
      <c r="U843" s="94"/>
      <c r="V843" s="94"/>
      <c r="W843" s="94"/>
      <c r="X843" s="94"/>
      <c r="Y843" s="94">
        <f t="shared" ref="Y843:Y852" si="283">AVERAGE(C843:X843)</f>
        <v>263.94282857142855</v>
      </c>
      <c r="Z843" s="94">
        <f t="shared" ref="Z843:Z850" si="284">Z844</f>
        <v>263.12529999999992</v>
      </c>
      <c r="AA843" s="94">
        <f t="shared" ref="AA843:AA852" si="285">Z843-Y843</f>
        <v>-0.81752857142862467</v>
      </c>
      <c r="AB843" s="1">
        <f t="shared" ref="AB843:AB852" si="286">COUNTIF(C843:X843,"&gt;0")*5</f>
        <v>35</v>
      </c>
      <c r="AC843" s="1">
        <f t="shared" ref="AC843:AC852" si="287">AA843*AB843*5</f>
        <v>-143.06750000000932</v>
      </c>
    </row>
    <row r="844" spans="1:30" ht="14.25" customHeight="1" x14ac:dyDescent="0.45">
      <c r="A844" s="79"/>
      <c r="B844" s="219">
        <v>5</v>
      </c>
      <c r="C844" s="94"/>
      <c r="D844" s="272">
        <v>264.25549999999998</v>
      </c>
      <c r="E844" s="272">
        <v>264.12369999999999</v>
      </c>
      <c r="F844" s="272">
        <v>264.0675</v>
      </c>
      <c r="G844" s="272">
        <v>263.98630000000003</v>
      </c>
      <c r="H844" s="272">
        <v>264.02159999999998</v>
      </c>
      <c r="I844" s="272">
        <v>264.04500000000002</v>
      </c>
      <c r="J844" s="272">
        <v>263.89949999999999</v>
      </c>
      <c r="K844" s="94"/>
      <c r="L844" s="94"/>
      <c r="M844" s="94"/>
      <c r="N844" s="94"/>
      <c r="O844" s="94"/>
      <c r="P844" s="94"/>
      <c r="Q844" s="94"/>
      <c r="R844" s="94"/>
      <c r="S844" s="94"/>
      <c r="T844" s="94"/>
      <c r="U844" s="94"/>
      <c r="V844" s="94"/>
      <c r="W844" s="94"/>
      <c r="X844" s="94"/>
      <c r="Y844" s="94">
        <f t="shared" si="283"/>
        <v>264.05701428571427</v>
      </c>
      <c r="Z844" s="94">
        <f t="shared" si="284"/>
        <v>263.12529999999992</v>
      </c>
      <c r="AA844" s="94">
        <f t="shared" si="285"/>
        <v>-0.93171428571434944</v>
      </c>
      <c r="AB844" s="1">
        <f t="shared" si="286"/>
        <v>35</v>
      </c>
      <c r="AC844" s="1">
        <f t="shared" si="287"/>
        <v>-163.05000000001115</v>
      </c>
    </row>
    <row r="845" spans="1:30" ht="14.25" customHeight="1" x14ac:dyDescent="0.45">
      <c r="A845" s="79"/>
      <c r="B845" s="219">
        <v>10</v>
      </c>
      <c r="C845" s="94"/>
      <c r="D845" s="272">
        <v>264.12569999999999</v>
      </c>
      <c r="E845" s="272">
        <v>264.05130000000003</v>
      </c>
      <c r="F845" s="272">
        <v>263.87389999999999</v>
      </c>
      <c r="G845" s="272">
        <v>263.9572</v>
      </c>
      <c r="H845" s="272">
        <v>264.07279999999997</v>
      </c>
      <c r="I845" s="272">
        <v>263.89879999999999</v>
      </c>
      <c r="J845" s="272">
        <v>263.99009999999998</v>
      </c>
      <c r="K845" s="94"/>
      <c r="L845" s="94"/>
      <c r="M845" s="94"/>
      <c r="N845" s="94"/>
      <c r="O845" s="94"/>
      <c r="P845" s="94"/>
      <c r="Q845" s="94"/>
      <c r="R845" s="94"/>
      <c r="S845" s="94"/>
      <c r="T845" s="94"/>
      <c r="U845" s="94"/>
      <c r="V845" s="94"/>
      <c r="W845" s="94"/>
      <c r="X845" s="94"/>
      <c r="Y845" s="94">
        <f t="shared" si="283"/>
        <v>263.99568571428568</v>
      </c>
      <c r="Z845" s="94">
        <f t="shared" si="284"/>
        <v>263.12529999999992</v>
      </c>
      <c r="AA845" s="94">
        <f t="shared" si="285"/>
        <v>-0.87038571428576006</v>
      </c>
      <c r="AB845" s="1">
        <f t="shared" si="286"/>
        <v>35</v>
      </c>
      <c r="AC845" s="1">
        <f t="shared" si="287"/>
        <v>-152.31750000000801</v>
      </c>
    </row>
    <row r="846" spans="1:30" ht="14.25" customHeight="1" x14ac:dyDescent="0.45">
      <c r="A846" s="79"/>
      <c r="B846" s="219">
        <v>15</v>
      </c>
      <c r="C846" s="94"/>
      <c r="D846" s="272">
        <v>264.04989999999998</v>
      </c>
      <c r="E846" s="272">
        <v>263.9332</v>
      </c>
      <c r="F846" s="272">
        <v>263.90600000000001</v>
      </c>
      <c r="G846" s="272">
        <v>264.00720000000001</v>
      </c>
      <c r="H846" s="272">
        <v>263.9948</v>
      </c>
      <c r="I846" s="272">
        <v>263.76650000000001</v>
      </c>
      <c r="J846" s="272">
        <v>263.89460000000003</v>
      </c>
      <c r="K846" s="94"/>
      <c r="L846" s="94"/>
      <c r="M846" s="94"/>
      <c r="N846" s="94"/>
      <c r="O846" s="94"/>
      <c r="P846" s="94"/>
      <c r="Q846" s="94"/>
      <c r="R846" s="94"/>
      <c r="S846" s="94"/>
      <c r="T846" s="94"/>
      <c r="U846" s="94"/>
      <c r="V846" s="94"/>
      <c r="W846" s="94"/>
      <c r="X846" s="94"/>
      <c r="Y846" s="94">
        <f t="shared" si="283"/>
        <v>263.93602857142855</v>
      </c>
      <c r="Z846" s="94">
        <f t="shared" si="284"/>
        <v>263.12529999999992</v>
      </c>
      <c r="AA846" s="94">
        <f t="shared" si="285"/>
        <v>-0.81072857142862631</v>
      </c>
      <c r="AB846" s="1">
        <f t="shared" si="286"/>
        <v>35</v>
      </c>
      <c r="AC846" s="1">
        <f t="shared" si="287"/>
        <v>-141.8775000000096</v>
      </c>
    </row>
    <row r="847" spans="1:30" ht="14.25" customHeight="1" x14ac:dyDescent="0.45">
      <c r="A847" s="79"/>
      <c r="B847" s="219">
        <v>20</v>
      </c>
      <c r="C847" s="272">
        <v>263.79660000000001</v>
      </c>
      <c r="D847" s="272">
        <v>263.97989999999999</v>
      </c>
      <c r="E847" s="272">
        <v>264.01830000000001</v>
      </c>
      <c r="F847" s="272">
        <v>263.97519999999997</v>
      </c>
      <c r="G847" s="272">
        <v>264.04640000000001</v>
      </c>
      <c r="H847" s="272">
        <v>263.92559999999997</v>
      </c>
      <c r="I847" s="272">
        <v>263.8723</v>
      </c>
      <c r="J847" s="272">
        <v>263.9049</v>
      </c>
      <c r="K847" s="94"/>
      <c r="L847" s="94"/>
      <c r="M847" s="94"/>
      <c r="N847" s="94"/>
      <c r="O847" s="94"/>
      <c r="P847" s="94"/>
      <c r="Q847" s="94"/>
      <c r="R847" s="94"/>
      <c r="S847" s="94"/>
      <c r="T847" s="94"/>
      <c r="U847" s="94"/>
      <c r="V847" s="94"/>
      <c r="W847" s="94"/>
      <c r="X847" s="94"/>
      <c r="Y847" s="94">
        <f t="shared" si="283"/>
        <v>263.93989999999997</v>
      </c>
      <c r="Z847" s="94">
        <f t="shared" si="284"/>
        <v>263.12529999999992</v>
      </c>
      <c r="AA847" s="94">
        <f t="shared" si="285"/>
        <v>-0.81460000000004129</v>
      </c>
      <c r="AB847" s="1">
        <f t="shared" si="286"/>
        <v>40</v>
      </c>
      <c r="AC847" s="1">
        <f t="shared" si="287"/>
        <v>-162.92000000000826</v>
      </c>
    </row>
    <row r="848" spans="1:30" ht="14.25" customHeight="1" x14ac:dyDescent="0.45">
      <c r="A848" s="79"/>
      <c r="B848" s="219">
        <v>25</v>
      </c>
      <c r="C848" s="272">
        <v>263.80200000000002</v>
      </c>
      <c r="D848" s="272">
        <v>264.00310000000002</v>
      </c>
      <c r="E848" s="272">
        <v>263.93490000000003</v>
      </c>
      <c r="F848" s="272">
        <v>264.05590000000001</v>
      </c>
      <c r="G848" s="272">
        <v>264.04379999999998</v>
      </c>
      <c r="H848" s="272">
        <v>263.97050000000002</v>
      </c>
      <c r="I848" s="272">
        <v>263.95170000000002</v>
      </c>
      <c r="J848" s="272">
        <v>263.8818</v>
      </c>
      <c r="K848" s="94"/>
      <c r="L848" s="94"/>
      <c r="M848" s="94"/>
      <c r="N848" s="94"/>
      <c r="O848" s="94"/>
      <c r="P848" s="94"/>
      <c r="Q848" s="94"/>
      <c r="R848" s="94"/>
      <c r="S848" s="94"/>
      <c r="T848" s="94"/>
      <c r="U848" s="94"/>
      <c r="V848" s="94"/>
      <c r="W848" s="94"/>
      <c r="X848" s="94"/>
      <c r="Y848" s="94">
        <f t="shared" si="283"/>
        <v>263.95546250000001</v>
      </c>
      <c r="Z848" s="94">
        <f t="shared" si="284"/>
        <v>263.12529999999992</v>
      </c>
      <c r="AA848" s="94">
        <f t="shared" si="285"/>
        <v>-0.8301625000000854</v>
      </c>
      <c r="AB848" s="1">
        <f t="shared" si="286"/>
        <v>40</v>
      </c>
      <c r="AC848" s="1">
        <f t="shared" si="287"/>
        <v>-166.03250000001708</v>
      </c>
    </row>
    <row r="849" spans="1:30" ht="14.25" customHeight="1" x14ac:dyDescent="0.45">
      <c r="A849" s="79"/>
      <c r="B849" s="219">
        <v>30</v>
      </c>
      <c r="C849" s="272">
        <v>263.74439999999998</v>
      </c>
      <c r="D849" s="272">
        <v>263.87380000000002</v>
      </c>
      <c r="E849" s="272">
        <v>263.92669999999998</v>
      </c>
      <c r="F849" s="272">
        <v>263.9796</v>
      </c>
      <c r="G849" s="272">
        <v>263.94600000000003</v>
      </c>
      <c r="H849" s="272">
        <v>263.90260000000001</v>
      </c>
      <c r="I849" s="272">
        <v>263.99810000000002</v>
      </c>
      <c r="J849" s="272">
        <v>263.90589999999997</v>
      </c>
      <c r="K849" s="94"/>
      <c r="L849" s="94"/>
      <c r="M849" s="94"/>
      <c r="N849" s="94"/>
      <c r="O849" s="94"/>
      <c r="P849" s="94"/>
      <c r="Q849" s="94"/>
      <c r="R849" s="94"/>
      <c r="S849" s="94"/>
      <c r="T849" s="94"/>
      <c r="U849" s="94"/>
      <c r="V849" s="94"/>
      <c r="W849" s="94"/>
      <c r="X849" s="94"/>
      <c r="Y849" s="94">
        <f t="shared" si="283"/>
        <v>263.90963749999997</v>
      </c>
      <c r="Z849" s="94">
        <f t="shared" si="284"/>
        <v>263.12529999999992</v>
      </c>
      <c r="AA849" s="94">
        <f t="shared" si="285"/>
        <v>-0.7843375000000492</v>
      </c>
      <c r="AB849" s="1">
        <f t="shared" si="286"/>
        <v>40</v>
      </c>
      <c r="AC849" s="1">
        <f t="shared" si="287"/>
        <v>-156.86750000000984</v>
      </c>
    </row>
    <row r="850" spans="1:30" ht="14.25" customHeight="1" x14ac:dyDescent="0.45">
      <c r="A850" s="79"/>
      <c r="B850" s="219">
        <v>35</v>
      </c>
      <c r="C850" s="272">
        <v>263.86770000000001</v>
      </c>
      <c r="D850" s="272">
        <v>263.92439999999999</v>
      </c>
      <c r="E850" s="272">
        <v>263.86669999999998</v>
      </c>
      <c r="F850" s="272">
        <v>263.83819999999997</v>
      </c>
      <c r="G850" s="272">
        <v>263.88569999999999</v>
      </c>
      <c r="H850" s="272">
        <v>263.94110000000001</v>
      </c>
      <c r="I850" s="272">
        <v>263.92399999999998</v>
      </c>
      <c r="J850" s="272">
        <v>263.8612</v>
      </c>
      <c r="K850" s="94"/>
      <c r="L850" s="94"/>
      <c r="M850" s="94"/>
      <c r="N850" s="94"/>
      <c r="O850" s="94"/>
      <c r="P850" s="94"/>
      <c r="Q850" s="94"/>
      <c r="R850" s="94"/>
      <c r="S850" s="94"/>
      <c r="T850" s="94"/>
      <c r="U850" s="94"/>
      <c r="V850" s="94"/>
      <c r="W850" s="94"/>
      <c r="X850" s="94"/>
      <c r="Y850" s="94">
        <f t="shared" si="283"/>
        <v>263.88862499999999</v>
      </c>
      <c r="Z850" s="94">
        <f t="shared" si="284"/>
        <v>263.12529999999992</v>
      </c>
      <c r="AA850" s="94">
        <f t="shared" si="285"/>
        <v>-0.76332500000006576</v>
      </c>
      <c r="AB850" s="1">
        <f t="shared" si="286"/>
        <v>40</v>
      </c>
      <c r="AC850" s="1">
        <f t="shared" si="287"/>
        <v>-152.66500000001315</v>
      </c>
    </row>
    <row r="851" spans="1:30" ht="14.25" customHeight="1" x14ac:dyDescent="0.45">
      <c r="A851" s="79"/>
      <c r="B851" s="219">
        <v>40</v>
      </c>
      <c r="C851" s="272">
        <v>264.13380000000001</v>
      </c>
      <c r="D851" s="272">
        <v>263.74889999999999</v>
      </c>
      <c r="E851" s="272">
        <v>263.8331</v>
      </c>
      <c r="F851" s="272">
        <v>263.79219999999998</v>
      </c>
      <c r="G851" s="272">
        <v>263.85829999999999</v>
      </c>
      <c r="H851" s="272">
        <v>263.92649999999998</v>
      </c>
      <c r="I851" s="272">
        <v>263.93239999999997</v>
      </c>
      <c r="J851" s="272">
        <v>263.90260000000001</v>
      </c>
      <c r="K851" s="94"/>
      <c r="L851" s="94"/>
      <c r="M851" s="94"/>
      <c r="N851" s="94"/>
      <c r="O851" s="94"/>
      <c r="P851" s="94"/>
      <c r="Q851" s="94"/>
      <c r="R851" s="94"/>
      <c r="S851" s="94"/>
      <c r="T851" s="94"/>
      <c r="U851" s="94"/>
      <c r="V851" s="94"/>
      <c r="W851" s="94"/>
      <c r="X851" s="94"/>
      <c r="Y851" s="94">
        <f t="shared" si="283"/>
        <v>263.89097499999997</v>
      </c>
      <c r="Z851" s="94">
        <f>Z852</f>
        <v>263.12529999999992</v>
      </c>
      <c r="AA851" s="94">
        <f t="shared" si="285"/>
        <v>-0.76567500000004429</v>
      </c>
      <c r="AB851" s="1">
        <f t="shared" si="286"/>
        <v>40</v>
      </c>
      <c r="AC851" s="1">
        <f t="shared" si="287"/>
        <v>-153.13500000000886</v>
      </c>
    </row>
    <row r="852" spans="1:30" ht="14.25" customHeight="1" x14ac:dyDescent="0.45">
      <c r="A852" s="79"/>
      <c r="B852" s="219">
        <v>45</v>
      </c>
      <c r="C852" s="272">
        <v>263.72199999999998</v>
      </c>
      <c r="D852" s="272">
        <v>263.49549999999999</v>
      </c>
      <c r="E852" s="272">
        <v>263.6123</v>
      </c>
      <c r="F852" s="272">
        <v>263.48680000000002</v>
      </c>
      <c r="G852" s="272">
        <v>263.28019999999998</v>
      </c>
      <c r="H852" s="272">
        <v>263.30189999999999</v>
      </c>
      <c r="I852" s="272">
        <v>263.35539999999997</v>
      </c>
      <c r="J852" s="272">
        <v>263.51209999999998</v>
      </c>
      <c r="K852" s="94"/>
      <c r="L852" s="94"/>
      <c r="M852" s="94"/>
      <c r="N852" s="94"/>
      <c r="O852" s="94"/>
      <c r="P852" s="94"/>
      <c r="Q852" s="94"/>
      <c r="R852" s="94"/>
      <c r="S852" s="94"/>
      <c r="T852" s="94"/>
      <c r="U852" s="94"/>
      <c r="V852" s="94"/>
      <c r="W852" s="94"/>
      <c r="X852" s="94"/>
      <c r="Y852" s="94">
        <f t="shared" si="283"/>
        <v>263.470775</v>
      </c>
      <c r="Z852" s="319">
        <f>Z855</f>
        <v>263.12529999999992</v>
      </c>
      <c r="AA852" s="94">
        <f t="shared" si="285"/>
        <v>-0.34547500000007858</v>
      </c>
      <c r="AB852" s="1">
        <f t="shared" si="286"/>
        <v>40</v>
      </c>
      <c r="AC852" s="1">
        <f t="shared" si="287"/>
        <v>-69.095000000015716</v>
      </c>
      <c r="AD852" s="306">
        <f>SUM(AC843:AC852)</f>
        <v>-1461.0275000001111</v>
      </c>
    </row>
    <row r="853" spans="1:30" ht="14.25" customHeight="1" x14ac:dyDescent="0.45">
      <c r="A853" s="79"/>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spans="1:30" ht="14.25" customHeight="1" x14ac:dyDescent="0.45">
      <c r="A854" s="79"/>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spans="1:30" ht="14.25" customHeight="1" x14ac:dyDescent="0.45">
      <c r="A855" s="79">
        <v>58</v>
      </c>
      <c r="B855" s="219">
        <v>0</v>
      </c>
      <c r="C855" s="273">
        <v>263.67840000000001</v>
      </c>
      <c r="D855" s="273">
        <v>263.53070000000002</v>
      </c>
      <c r="E855" s="273">
        <v>263.72680000000003</v>
      </c>
      <c r="F855" s="273">
        <v>263.78410000000002</v>
      </c>
      <c r="G855" s="273">
        <v>263.55119999999999</v>
      </c>
      <c r="H855" s="273">
        <v>264.00709999999998</v>
      </c>
      <c r="I855" s="273">
        <v>264.02429999999998</v>
      </c>
      <c r="J855" s="273">
        <v>264.00880000000001</v>
      </c>
      <c r="K855" s="273">
        <v>264.08999999999997</v>
      </c>
      <c r="L855" s="273">
        <v>263.97019999999998</v>
      </c>
      <c r="M855" s="273">
        <v>264.02730000000003</v>
      </c>
      <c r="N855" s="273">
        <v>263.96589999999998</v>
      </c>
      <c r="O855" s="273">
        <v>263.85660000000001</v>
      </c>
      <c r="P855" s="94"/>
      <c r="Q855" s="94"/>
      <c r="R855" s="94"/>
      <c r="S855" s="94"/>
      <c r="T855" s="94"/>
      <c r="U855" s="94"/>
      <c r="V855" s="94"/>
      <c r="W855" s="94"/>
      <c r="X855" s="94"/>
      <c r="Y855" s="94">
        <f>AVERAGE(C855:X855)</f>
        <v>263.86318461538468</v>
      </c>
      <c r="Z855" s="319">
        <f>Z859+0.05</f>
        <v>263.12529999999992</v>
      </c>
      <c r="AA855" s="94">
        <f t="shared" ref="AA855" si="288">Z855-Y855</f>
        <v>-0.73788461538475758</v>
      </c>
      <c r="AB855" s="1">
        <f>COUNTIF(C855:X855,"&gt;0")*5</f>
        <v>65</v>
      </c>
      <c r="AC855" s="1">
        <f t="shared" ref="AC855" si="289">AA855*AB855*5</f>
        <v>-239.81250000004621</v>
      </c>
      <c r="AD855" s="306">
        <f>SUM(AC855:AC855)</f>
        <v>-239.81250000004621</v>
      </c>
    </row>
    <row r="856" spans="1:30" ht="14.25" customHeight="1" x14ac:dyDescent="0.45">
      <c r="A856" s="79"/>
      <c r="B856" s="219">
        <v>5</v>
      </c>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spans="1:30" ht="14.25" customHeight="1" x14ac:dyDescent="0.45">
      <c r="A857" s="79"/>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spans="1:30" ht="14.25" customHeight="1" x14ac:dyDescent="0.45">
      <c r="A858" s="79"/>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spans="1:30" ht="14.25" customHeight="1" x14ac:dyDescent="0.45">
      <c r="A859" s="79">
        <v>59</v>
      </c>
      <c r="B859" s="219">
        <v>0</v>
      </c>
      <c r="C859" s="94"/>
      <c r="D859" s="94"/>
      <c r="E859" s="94"/>
      <c r="F859" s="94"/>
      <c r="G859" s="94"/>
      <c r="H859" s="94"/>
      <c r="I859" s="94"/>
      <c r="J859" s="94"/>
      <c r="K859" s="94"/>
      <c r="L859" s="94"/>
      <c r="M859" s="94"/>
      <c r="N859" s="274">
        <v>264.65719999999999</v>
      </c>
      <c r="O859" s="214"/>
      <c r="P859" s="94"/>
      <c r="Q859" s="94"/>
      <c r="R859" s="94"/>
      <c r="S859" s="94"/>
      <c r="T859" s="94"/>
      <c r="U859" s="94"/>
      <c r="V859" s="94"/>
      <c r="W859" s="94"/>
      <c r="X859" s="94"/>
      <c r="Y859" s="94">
        <f t="shared" ref="Y859:Y869" si="290">AVERAGE(C859:X859)</f>
        <v>264.65719999999999</v>
      </c>
      <c r="Z859" s="94">
        <f t="shared" ref="Z859:Z867" si="291">Z860</f>
        <v>263.07529999999991</v>
      </c>
      <c r="AA859" s="94">
        <f>Z859-Y859</f>
        <v>-1.5819000000000756</v>
      </c>
      <c r="AB859" s="1">
        <f t="shared" ref="AB859:AB869" si="292">COUNTIF(C859:X859,"&gt;0")*5</f>
        <v>5</v>
      </c>
      <c r="AC859" s="1">
        <f>AA859*AB859*5</f>
        <v>-39.547500000001889</v>
      </c>
    </row>
    <row r="860" spans="1:30" ht="14.25" customHeight="1" x14ac:dyDescent="0.45">
      <c r="A860" s="79"/>
      <c r="B860" s="219">
        <v>5</v>
      </c>
      <c r="C860" s="94"/>
      <c r="D860" s="94"/>
      <c r="E860" s="94"/>
      <c r="F860" s="94"/>
      <c r="G860" s="94"/>
      <c r="H860" s="94"/>
      <c r="I860" s="94"/>
      <c r="J860" s="94"/>
      <c r="K860" s="94"/>
      <c r="L860" s="94"/>
      <c r="M860" s="274">
        <v>263.8929</v>
      </c>
      <c r="N860" s="274">
        <v>264.5428</v>
      </c>
      <c r="O860" s="274">
        <v>264.70760000000001</v>
      </c>
      <c r="P860" s="274">
        <v>264.08019999999999</v>
      </c>
      <c r="Q860" s="274">
        <v>263.33330000000001</v>
      </c>
      <c r="R860" s="214"/>
      <c r="S860" s="214"/>
      <c r="T860" s="94"/>
      <c r="U860" s="94"/>
      <c r="V860" s="94"/>
      <c r="W860" s="94"/>
      <c r="X860" s="94"/>
      <c r="Y860" s="94">
        <f t="shared" si="290"/>
        <v>264.11135999999999</v>
      </c>
      <c r="Z860" s="94">
        <f t="shared" si="291"/>
        <v>263.07529999999991</v>
      </c>
      <c r="AA860" s="94">
        <f t="shared" ref="AA860:AA869" si="293">Z860-Y860</f>
        <v>-1.0360600000000773</v>
      </c>
      <c r="AB860" s="1">
        <f t="shared" si="292"/>
        <v>25</v>
      </c>
      <c r="AC860" s="1">
        <f t="shared" ref="AC860:AC869" si="294">AA860*AB860*5</f>
        <v>-129.50750000000966</v>
      </c>
    </row>
    <row r="861" spans="1:30" ht="14.25" customHeight="1" x14ac:dyDescent="0.45">
      <c r="A861" s="79"/>
      <c r="B861" s="219">
        <v>10</v>
      </c>
      <c r="C861" s="94"/>
      <c r="D861" s="94"/>
      <c r="E861" s="94"/>
      <c r="F861" s="94"/>
      <c r="G861" s="94"/>
      <c r="H861" s="94"/>
      <c r="I861" s="94"/>
      <c r="J861" s="94"/>
      <c r="K861" s="94"/>
      <c r="L861" s="94"/>
      <c r="M861" s="274">
        <v>263.16410000000002</v>
      </c>
      <c r="N861" s="274">
        <v>264.46190000000001</v>
      </c>
      <c r="O861" s="274">
        <v>264.33100000000002</v>
      </c>
      <c r="P861" s="274">
        <v>264.2704</v>
      </c>
      <c r="Q861" s="274">
        <v>264.32850000000002</v>
      </c>
      <c r="R861" s="274">
        <v>264.3723</v>
      </c>
      <c r="S861" s="274">
        <v>264.3426</v>
      </c>
      <c r="T861" s="94"/>
      <c r="U861" s="94"/>
      <c r="V861" s="94"/>
      <c r="W861" s="94"/>
      <c r="X861" s="94"/>
      <c r="Y861" s="94">
        <f t="shared" si="290"/>
        <v>264.18154285714286</v>
      </c>
      <c r="Z861" s="94">
        <f t="shared" si="291"/>
        <v>263.07529999999991</v>
      </c>
      <c r="AA861" s="94">
        <f t="shared" si="293"/>
        <v>-1.106242857142945</v>
      </c>
      <c r="AB861" s="1">
        <f t="shared" si="292"/>
        <v>35</v>
      </c>
      <c r="AC861" s="1">
        <f t="shared" si="294"/>
        <v>-193.59250000001538</v>
      </c>
    </row>
    <row r="862" spans="1:30" ht="14.25" customHeight="1" x14ac:dyDescent="0.45">
      <c r="A862" s="79"/>
      <c r="B862" s="219">
        <v>15</v>
      </c>
      <c r="C862" s="94"/>
      <c r="D862" s="94"/>
      <c r="E862" s="94"/>
      <c r="F862" s="94"/>
      <c r="G862" s="94"/>
      <c r="H862" s="94"/>
      <c r="I862" s="94"/>
      <c r="J862" s="94"/>
      <c r="K862" s="94"/>
      <c r="L862" s="274">
        <v>263.86970000000002</v>
      </c>
      <c r="M862" s="274">
        <v>264.2133</v>
      </c>
      <c r="N862" s="274">
        <v>263.98750000000001</v>
      </c>
      <c r="O862" s="274">
        <v>264.0949</v>
      </c>
      <c r="P862" s="274">
        <v>264.18810000000002</v>
      </c>
      <c r="Q862" s="274">
        <v>264.21769999999998</v>
      </c>
      <c r="R862" s="274">
        <v>264.28570000000002</v>
      </c>
      <c r="S862" s="274">
        <v>264.4169</v>
      </c>
      <c r="T862" s="94"/>
      <c r="U862" s="94"/>
      <c r="V862" s="94"/>
      <c r="W862" s="94"/>
      <c r="X862" s="94"/>
      <c r="Y862" s="94">
        <f t="shared" si="290"/>
        <v>264.15922500000005</v>
      </c>
      <c r="Z862" s="94">
        <f t="shared" si="291"/>
        <v>263.07529999999991</v>
      </c>
      <c r="AA862" s="94">
        <f t="shared" si="293"/>
        <v>-1.0839250000001357</v>
      </c>
      <c r="AB862" s="1">
        <f t="shared" si="292"/>
        <v>40</v>
      </c>
      <c r="AC862" s="1">
        <f t="shared" si="294"/>
        <v>-216.78500000002714</v>
      </c>
    </row>
    <row r="863" spans="1:30" ht="14.25" customHeight="1" x14ac:dyDescent="0.45">
      <c r="A863" s="79"/>
      <c r="B863" s="219">
        <v>20</v>
      </c>
      <c r="C863" s="94"/>
      <c r="D863" s="94"/>
      <c r="E863" s="94"/>
      <c r="F863" s="94"/>
      <c r="G863" s="94"/>
      <c r="H863" s="94"/>
      <c r="I863" s="94"/>
      <c r="J863" s="94"/>
      <c r="K863" s="274">
        <v>263.88819999999998</v>
      </c>
      <c r="L863" s="274">
        <v>264.471</v>
      </c>
      <c r="M863" s="274">
        <v>263.71839999999997</v>
      </c>
      <c r="N863" s="274">
        <v>263.92649999999998</v>
      </c>
      <c r="O863" s="274">
        <v>263.65030000000002</v>
      </c>
      <c r="P863" s="274">
        <v>264.1114</v>
      </c>
      <c r="Q863" s="274">
        <v>264.0822</v>
      </c>
      <c r="R863" s="274">
        <v>264.14609999999999</v>
      </c>
      <c r="S863" s="94"/>
      <c r="T863" s="94"/>
      <c r="U863" s="94"/>
      <c r="V863" s="94"/>
      <c r="W863" s="94"/>
      <c r="X863" s="94"/>
      <c r="Y863" s="94">
        <f t="shared" si="290"/>
        <v>263.99926249999999</v>
      </c>
      <c r="Z863" s="94">
        <f t="shared" si="291"/>
        <v>263.07529999999991</v>
      </c>
      <c r="AA863" s="94">
        <f t="shared" si="293"/>
        <v>-0.92396250000007285</v>
      </c>
      <c r="AB863" s="1">
        <f t="shared" si="292"/>
        <v>40</v>
      </c>
      <c r="AC863" s="1">
        <f t="shared" si="294"/>
        <v>-184.79250000001457</v>
      </c>
    </row>
    <row r="864" spans="1:30" ht="14.25" customHeight="1" x14ac:dyDescent="0.45">
      <c r="A864" s="79"/>
      <c r="B864" s="219">
        <v>25</v>
      </c>
      <c r="C864" s="94"/>
      <c r="D864" s="94"/>
      <c r="E864" s="94"/>
      <c r="F864" s="94"/>
      <c r="G864" s="94"/>
      <c r="H864" s="94"/>
      <c r="I864" s="94"/>
      <c r="J864" s="274">
        <v>264.24549999999999</v>
      </c>
      <c r="K864" s="274">
        <v>264.81790000000001</v>
      </c>
      <c r="L864" s="274">
        <v>263.95920000000001</v>
      </c>
      <c r="M864" s="274">
        <v>263.93639999999999</v>
      </c>
      <c r="N864" s="274">
        <v>263.82690000000002</v>
      </c>
      <c r="O864" s="274">
        <v>263.61610000000002</v>
      </c>
      <c r="P864" s="274">
        <v>264.15410000000003</v>
      </c>
      <c r="Q864" s="274">
        <v>264.0573</v>
      </c>
      <c r="R864" s="274">
        <v>264.14550000000003</v>
      </c>
      <c r="S864" s="94"/>
      <c r="T864" s="94"/>
      <c r="U864" s="94"/>
      <c r="V864" s="94"/>
      <c r="W864" s="94"/>
      <c r="X864" s="94"/>
      <c r="Y864" s="94">
        <f t="shared" si="290"/>
        <v>264.08432222222223</v>
      </c>
      <c r="Z864" s="94">
        <f t="shared" si="291"/>
        <v>263.07529999999991</v>
      </c>
      <c r="AA864" s="94">
        <f t="shared" si="293"/>
        <v>-1.0090222222223133</v>
      </c>
      <c r="AB864" s="1">
        <f t="shared" si="292"/>
        <v>45</v>
      </c>
      <c r="AC864" s="1">
        <f t="shared" si="294"/>
        <v>-227.03000000002049</v>
      </c>
    </row>
    <row r="865" spans="1:30" ht="14.25" customHeight="1" x14ac:dyDescent="0.45">
      <c r="A865" s="79"/>
      <c r="B865" s="219">
        <v>30</v>
      </c>
      <c r="C865" s="94"/>
      <c r="D865" s="94"/>
      <c r="E865" s="94"/>
      <c r="F865" s="94"/>
      <c r="G865" s="94"/>
      <c r="H865" s="274">
        <v>264.07839999999999</v>
      </c>
      <c r="I865" s="274">
        <v>264.69029999999998</v>
      </c>
      <c r="J865" s="274">
        <v>264.3073</v>
      </c>
      <c r="K865" s="274">
        <v>263.63979999999998</v>
      </c>
      <c r="L865" s="274">
        <v>263.92320000000001</v>
      </c>
      <c r="M865" s="274">
        <v>263.85129999999998</v>
      </c>
      <c r="N865" s="274">
        <v>263.80650000000003</v>
      </c>
      <c r="O865" s="274">
        <v>263.74459999999999</v>
      </c>
      <c r="P865" s="274">
        <v>263.6028</v>
      </c>
      <c r="Q865" s="274">
        <v>264.04570000000001</v>
      </c>
      <c r="R865" s="274">
        <v>264.19009999999997</v>
      </c>
      <c r="S865" s="94"/>
      <c r="T865" s="94"/>
      <c r="U865" s="94"/>
      <c r="V865" s="94"/>
      <c r="W865" s="94"/>
      <c r="X865" s="94"/>
      <c r="Y865" s="94">
        <f t="shared" si="290"/>
        <v>263.98909090909092</v>
      </c>
      <c r="Z865" s="94">
        <f t="shared" si="291"/>
        <v>263.07529999999991</v>
      </c>
      <c r="AA865" s="94">
        <f t="shared" si="293"/>
        <v>-0.91379090909100569</v>
      </c>
      <c r="AB865" s="1">
        <f t="shared" si="292"/>
        <v>55</v>
      </c>
      <c r="AC865" s="1">
        <f t="shared" si="294"/>
        <v>-251.29250000002656</v>
      </c>
    </row>
    <row r="866" spans="1:30" ht="14.25" customHeight="1" x14ac:dyDescent="0.45">
      <c r="A866" s="79"/>
      <c r="B866" s="219">
        <v>35</v>
      </c>
      <c r="C866" s="94"/>
      <c r="D866" s="94"/>
      <c r="E866" s="94"/>
      <c r="F866" s="94"/>
      <c r="G866" s="274">
        <v>264.12279999999998</v>
      </c>
      <c r="H866" s="274">
        <v>264.34289999999999</v>
      </c>
      <c r="I866" s="274">
        <v>264.10829999999999</v>
      </c>
      <c r="J866" s="274">
        <v>263.6626</v>
      </c>
      <c r="K866" s="274">
        <v>263.86439999999999</v>
      </c>
      <c r="L866" s="274">
        <v>263.80950000000001</v>
      </c>
      <c r="M866" s="274">
        <v>263.80329999999998</v>
      </c>
      <c r="N866" s="274">
        <v>263.86829999999998</v>
      </c>
      <c r="O866" s="274">
        <v>263.81389999999999</v>
      </c>
      <c r="P866" s="274">
        <v>263.6771</v>
      </c>
      <c r="Q866" s="274">
        <v>264.0883</v>
      </c>
      <c r="R866" s="274">
        <v>264.46089999999998</v>
      </c>
      <c r="S866" s="94"/>
      <c r="T866" s="94"/>
      <c r="U866" s="94"/>
      <c r="V866" s="94"/>
      <c r="W866" s="94"/>
      <c r="X866" s="94"/>
      <c r="Y866" s="94">
        <f t="shared" si="290"/>
        <v>263.968525</v>
      </c>
      <c r="Z866" s="94">
        <f t="shared" si="291"/>
        <v>263.07529999999991</v>
      </c>
      <c r="AA866" s="94">
        <f t="shared" si="293"/>
        <v>-0.89322500000008631</v>
      </c>
      <c r="AB866" s="1">
        <f t="shared" si="292"/>
        <v>60</v>
      </c>
      <c r="AC866" s="1">
        <f t="shared" si="294"/>
        <v>-267.96750000002589</v>
      </c>
    </row>
    <row r="867" spans="1:30" ht="14.25" customHeight="1" x14ac:dyDescent="0.45">
      <c r="A867" s="79"/>
      <c r="B867" s="219">
        <v>40</v>
      </c>
      <c r="C867" s="94"/>
      <c r="D867" s="94"/>
      <c r="E867" s="214"/>
      <c r="F867" s="274">
        <v>263.78100000000001</v>
      </c>
      <c r="G867" s="274">
        <v>264.67090000000002</v>
      </c>
      <c r="H867" s="274">
        <v>264.20859999999999</v>
      </c>
      <c r="I867" s="274">
        <v>263.89839999999998</v>
      </c>
      <c r="J867" s="274">
        <v>263.8725</v>
      </c>
      <c r="K867" s="274">
        <v>263.85059999999999</v>
      </c>
      <c r="L867" s="274">
        <v>263.82639999999998</v>
      </c>
      <c r="M867" s="274">
        <v>263.80329999999998</v>
      </c>
      <c r="N867" s="274">
        <v>264.00549999999998</v>
      </c>
      <c r="O867" s="274">
        <v>263.87259999999998</v>
      </c>
      <c r="P867" s="274">
        <v>263.80079999999998</v>
      </c>
      <c r="Q867" s="274">
        <v>263.74079999999998</v>
      </c>
      <c r="R867" s="214"/>
      <c r="S867" s="94"/>
      <c r="T867" s="94"/>
      <c r="U867" s="94"/>
      <c r="V867" s="94"/>
      <c r="W867" s="94"/>
      <c r="X867" s="94"/>
      <c r="Y867" s="94">
        <f t="shared" si="290"/>
        <v>263.94428333333332</v>
      </c>
      <c r="Z867" s="94">
        <f t="shared" si="291"/>
        <v>263.07529999999991</v>
      </c>
      <c r="AA867" s="94">
        <f t="shared" si="293"/>
        <v>-0.86898333333340361</v>
      </c>
      <c r="AB867" s="1">
        <f t="shared" si="292"/>
        <v>60</v>
      </c>
      <c r="AC867" s="1">
        <f t="shared" si="294"/>
        <v>-260.69500000002108</v>
      </c>
    </row>
    <row r="868" spans="1:30" ht="14.25" customHeight="1" x14ac:dyDescent="0.45">
      <c r="A868" s="79"/>
      <c r="B868" s="219">
        <v>45</v>
      </c>
      <c r="C868" s="94"/>
      <c r="D868" s="274">
        <v>263.43799999999999</v>
      </c>
      <c r="E868" s="274">
        <v>264.61630000000002</v>
      </c>
      <c r="F868" s="274">
        <v>264.24959999999999</v>
      </c>
      <c r="G868" s="274">
        <v>264.24090000000001</v>
      </c>
      <c r="H868" s="274">
        <v>263.88959999999997</v>
      </c>
      <c r="I868" s="274">
        <v>263.82049999999998</v>
      </c>
      <c r="J868" s="274">
        <v>263.79340000000002</v>
      </c>
      <c r="K868" s="274">
        <v>263.82380000000001</v>
      </c>
      <c r="L868" s="274">
        <v>263.6902</v>
      </c>
      <c r="M868" s="274">
        <v>263.71269999999998</v>
      </c>
      <c r="N868" s="274">
        <v>263.88959999999997</v>
      </c>
      <c r="O868" s="274">
        <v>263.7473</v>
      </c>
      <c r="P868" s="274">
        <v>263.71640000000002</v>
      </c>
      <c r="Q868" s="274">
        <v>263.80470000000003</v>
      </c>
      <c r="R868" s="214"/>
      <c r="S868" s="94"/>
      <c r="T868" s="94"/>
      <c r="U868" s="94"/>
      <c r="V868" s="94"/>
      <c r="W868" s="94"/>
      <c r="X868" s="94"/>
      <c r="Y868" s="94">
        <f t="shared" si="290"/>
        <v>263.88807142857144</v>
      </c>
      <c r="Z868" s="94">
        <f>Z869</f>
        <v>263.07529999999991</v>
      </c>
      <c r="AA868" s="94">
        <f t="shared" si="293"/>
        <v>-0.81277142857152285</v>
      </c>
      <c r="AB868" s="1">
        <f t="shared" si="292"/>
        <v>70</v>
      </c>
      <c r="AC868" s="1">
        <f t="shared" si="294"/>
        <v>-284.470000000033</v>
      </c>
    </row>
    <row r="869" spans="1:30" ht="14.25" customHeight="1" x14ac:dyDescent="0.45">
      <c r="A869" s="79"/>
      <c r="B869" s="219">
        <v>50</v>
      </c>
      <c r="C869" s="274">
        <v>263.43520000000001</v>
      </c>
      <c r="D869" s="274">
        <v>264.27460000000002</v>
      </c>
      <c r="E869" s="274">
        <v>264.3349</v>
      </c>
      <c r="F869" s="274">
        <v>264.17169999999999</v>
      </c>
      <c r="G869" s="274">
        <v>263.69569999999999</v>
      </c>
      <c r="H869" s="274">
        <v>263.80790000000002</v>
      </c>
      <c r="I869" s="274">
        <v>263.72710000000001</v>
      </c>
      <c r="J869" s="274">
        <v>263.69290000000001</v>
      </c>
      <c r="K869" s="274">
        <v>263.726</v>
      </c>
      <c r="L869" s="274">
        <v>263.70979999999997</v>
      </c>
      <c r="M869" s="274">
        <v>263.76920000000001</v>
      </c>
      <c r="N869" s="274">
        <v>263.71629999999999</v>
      </c>
      <c r="O869" s="274">
        <v>263.7706</v>
      </c>
      <c r="P869" s="274">
        <v>263.7516</v>
      </c>
      <c r="Q869" s="274">
        <v>263.5625</v>
      </c>
      <c r="R869" s="214"/>
      <c r="S869" s="214"/>
      <c r="T869" s="94"/>
      <c r="U869" s="94"/>
      <c r="V869" s="94"/>
      <c r="W869" s="94"/>
      <c r="X869" s="94"/>
      <c r="Y869" s="94">
        <f t="shared" si="290"/>
        <v>263.80973333333338</v>
      </c>
      <c r="Z869" s="319">
        <f>Z83-0.2</f>
        <v>263.07529999999991</v>
      </c>
      <c r="AA869" s="94">
        <f t="shared" si="293"/>
        <v>-0.73443333333347027</v>
      </c>
      <c r="AB869" s="1">
        <f t="shared" si="292"/>
        <v>75</v>
      </c>
      <c r="AC869" s="1">
        <f t="shared" si="294"/>
        <v>-275.41250000005135</v>
      </c>
      <c r="AD869" s="306">
        <f>SUM(AC859:AC869)</f>
        <v>-2331.0925000002471</v>
      </c>
    </row>
    <row r="870" spans="1:30" ht="14.25" customHeight="1" x14ac:dyDescent="0.45">
      <c r="A870" s="79"/>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spans="1:30" ht="14.25" customHeight="1" x14ac:dyDescent="0.45">
      <c r="A871" s="79"/>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spans="1:30" ht="14.25" customHeight="1" x14ac:dyDescent="0.45">
      <c r="A872" s="79"/>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spans="1:30" ht="14.25" customHeight="1" x14ac:dyDescent="0.45">
      <c r="A873" s="79"/>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spans="1:30" ht="14.25" customHeight="1" x14ac:dyDescent="0.45">
      <c r="A874" s="79">
        <v>60</v>
      </c>
      <c r="B874" s="219">
        <v>0</v>
      </c>
      <c r="C874" s="94"/>
      <c r="D874" s="94"/>
      <c r="E874" s="94"/>
      <c r="F874" s="94"/>
      <c r="G874" s="94"/>
      <c r="H874" s="94"/>
      <c r="I874" s="271">
        <v>263.27890000000002</v>
      </c>
      <c r="J874" s="271">
        <v>264.34300000000002</v>
      </c>
      <c r="K874" s="271">
        <v>264.20549999999997</v>
      </c>
      <c r="L874" s="94"/>
      <c r="M874" s="94"/>
      <c r="N874" s="94"/>
      <c r="O874" s="94"/>
      <c r="P874" s="94"/>
      <c r="Q874" s="94"/>
      <c r="R874" s="94"/>
      <c r="S874" s="94"/>
      <c r="T874" s="94"/>
      <c r="U874" s="94"/>
      <c r="V874" s="94"/>
      <c r="W874" s="94"/>
      <c r="X874" s="94"/>
      <c r="Y874" s="94">
        <f>AVERAGE(C874:X874)</f>
        <v>263.94246666666669</v>
      </c>
      <c r="Z874" s="94">
        <f t="shared" ref="Z874:Z876" si="295">Z875-5/100</f>
        <v>263.22529999999989</v>
      </c>
      <c r="AA874" s="94">
        <f t="shared" ref="AA874:AA878" si="296">Z874-Y874</f>
        <v>-0.71716666666679885</v>
      </c>
      <c r="AB874" s="1">
        <f>COUNTIF(C874:X874,"&gt;0")*5</f>
        <v>15</v>
      </c>
      <c r="AC874" s="1">
        <f t="shared" ref="AC874:AC878" si="297">AA874*AB874*5</f>
        <v>-53.787500000009913</v>
      </c>
    </row>
    <row r="875" spans="1:30" ht="14.25" customHeight="1" x14ac:dyDescent="0.45">
      <c r="A875" s="79"/>
      <c r="B875" s="219">
        <v>5</v>
      </c>
      <c r="C875" s="94"/>
      <c r="D875" s="94"/>
      <c r="E875" s="94"/>
      <c r="F875" s="94"/>
      <c r="G875" s="94"/>
      <c r="H875" s="271">
        <v>263.32859999999999</v>
      </c>
      <c r="I875" s="271">
        <v>264.1302</v>
      </c>
      <c r="J875" s="271">
        <v>264.1773</v>
      </c>
      <c r="K875" s="271">
        <v>263.70979999999997</v>
      </c>
      <c r="L875" s="94"/>
      <c r="M875" s="94"/>
      <c r="N875" s="94"/>
      <c r="O875" s="94"/>
      <c r="P875" s="94"/>
      <c r="Q875" s="94"/>
      <c r="R875" s="94"/>
      <c r="S875" s="94"/>
      <c r="T875" s="94"/>
      <c r="U875" s="94"/>
      <c r="V875" s="94"/>
      <c r="W875" s="94"/>
      <c r="X875" s="94"/>
      <c r="Y875" s="94">
        <f>AVERAGE(C875:X875)</f>
        <v>263.83647499999995</v>
      </c>
      <c r="Z875" s="94">
        <f t="shared" si="295"/>
        <v>263.2752999999999</v>
      </c>
      <c r="AA875" s="94">
        <f t="shared" si="296"/>
        <v>-0.56117500000004839</v>
      </c>
      <c r="AB875" s="1">
        <f>COUNTIF(C875:X875,"&gt;0")*5</f>
        <v>20</v>
      </c>
      <c r="AC875" s="1">
        <f t="shared" si="297"/>
        <v>-56.117500000004839</v>
      </c>
    </row>
    <row r="876" spans="1:30" ht="14.25" customHeight="1" x14ac:dyDescent="0.45">
      <c r="A876" s="79"/>
      <c r="B876" s="219">
        <v>10</v>
      </c>
      <c r="C876" s="214"/>
      <c r="D876" s="94"/>
      <c r="E876" s="94"/>
      <c r="F876" s="94"/>
      <c r="G876" s="271">
        <v>263.62189999999998</v>
      </c>
      <c r="H876" s="271">
        <v>263.61759999999998</v>
      </c>
      <c r="I876" s="271">
        <v>263.70460000000003</v>
      </c>
      <c r="J876" s="271">
        <v>263.64800000000002</v>
      </c>
      <c r="K876" s="271">
        <v>263.79349999999999</v>
      </c>
      <c r="L876" s="94"/>
      <c r="M876" s="94"/>
      <c r="N876" s="94"/>
      <c r="O876" s="94"/>
      <c r="P876" s="94"/>
      <c r="Q876" s="94"/>
      <c r="R876" s="94"/>
      <c r="S876" s="94"/>
      <c r="T876" s="94"/>
      <c r="U876" s="94"/>
      <c r="V876" s="94"/>
      <c r="W876" s="94"/>
      <c r="X876" s="94"/>
      <c r="Y876" s="94">
        <f>AVERAGE(C876:X876)</f>
        <v>263.67711999999995</v>
      </c>
      <c r="Z876" s="94">
        <f t="shared" si="295"/>
        <v>263.32529999999991</v>
      </c>
      <c r="AA876" s="94">
        <f t="shared" si="296"/>
        <v>-0.351820000000032</v>
      </c>
      <c r="AB876" s="1">
        <f>COUNTIF(C876:X876,"&gt;0")*5</f>
        <v>25</v>
      </c>
      <c r="AC876" s="1">
        <f t="shared" si="297"/>
        <v>-43.977500000004</v>
      </c>
    </row>
    <row r="877" spans="1:30" ht="14.25" customHeight="1" x14ac:dyDescent="0.45">
      <c r="A877" s="79"/>
      <c r="B877" s="219">
        <v>15</v>
      </c>
      <c r="C877" s="271">
        <v>264.09769999999997</v>
      </c>
      <c r="D877" s="271">
        <v>263.94209999999998</v>
      </c>
      <c r="E877" s="271">
        <v>263.4436</v>
      </c>
      <c r="F877" s="271">
        <v>263.34390000000002</v>
      </c>
      <c r="G877" s="271">
        <v>263.64359999999999</v>
      </c>
      <c r="H877" s="271">
        <v>263.73700000000002</v>
      </c>
      <c r="I877" s="271">
        <v>263.66989999999998</v>
      </c>
      <c r="J877" s="271">
        <v>263.85210000000001</v>
      </c>
      <c r="K877" s="271">
        <v>263.85199999999998</v>
      </c>
      <c r="L877" s="94"/>
      <c r="M877" s="94"/>
      <c r="N877" s="94"/>
      <c r="O877" s="94"/>
      <c r="P877" s="94"/>
      <c r="Q877" s="94"/>
      <c r="R877" s="94"/>
      <c r="S877" s="94"/>
      <c r="T877" s="94"/>
      <c r="U877" s="94"/>
      <c r="V877" s="94"/>
      <c r="W877" s="94"/>
      <c r="X877" s="94"/>
      <c r="Y877" s="94">
        <f>AVERAGE(C877:X877)</f>
        <v>263.73132222222222</v>
      </c>
      <c r="Z877" s="94">
        <f>Z878-5/100</f>
        <v>263.37529999999992</v>
      </c>
      <c r="AA877" s="94">
        <f t="shared" si="296"/>
        <v>-0.35602222222229329</v>
      </c>
      <c r="AB877" s="1">
        <f>COUNTIF(C877:X877,"&gt;0")*5</f>
        <v>45</v>
      </c>
      <c r="AC877" s="1">
        <f t="shared" si="297"/>
        <v>-80.105000000015991</v>
      </c>
    </row>
    <row r="878" spans="1:30" ht="14.25" customHeight="1" x14ac:dyDescent="0.45">
      <c r="A878" s="79"/>
      <c r="B878" s="219">
        <v>20</v>
      </c>
      <c r="C878" s="271">
        <v>263.79689999999999</v>
      </c>
      <c r="D878" s="271">
        <v>263.57420000000002</v>
      </c>
      <c r="E878" s="271">
        <v>263.83569999999997</v>
      </c>
      <c r="F878" s="271">
        <v>263.69510000000002</v>
      </c>
      <c r="G878" s="271">
        <v>263.66210000000001</v>
      </c>
      <c r="H878" s="271">
        <v>263.84870000000001</v>
      </c>
      <c r="I878" s="271">
        <v>263.96850000000001</v>
      </c>
      <c r="J878" s="271">
        <v>263.76960000000003</v>
      </c>
      <c r="K878" s="271">
        <v>263.71370000000002</v>
      </c>
      <c r="L878" s="94"/>
      <c r="M878" s="94"/>
      <c r="N878" s="94"/>
      <c r="O878" s="94"/>
      <c r="P878" s="94"/>
      <c r="Q878" s="94"/>
      <c r="R878" s="94"/>
      <c r="S878" s="94"/>
      <c r="T878" s="94"/>
      <c r="U878" s="94"/>
      <c r="V878" s="94"/>
      <c r="W878" s="94"/>
      <c r="X878" s="94"/>
      <c r="Y878" s="94">
        <f>AVERAGE(C878:X878)</f>
        <v>263.76272222222218</v>
      </c>
      <c r="Z878" s="319">
        <f>Z87-0.05</f>
        <v>263.42529999999994</v>
      </c>
      <c r="AA878" s="94">
        <f t="shared" si="296"/>
        <v>-0.33742222222224427</v>
      </c>
      <c r="AB878" s="1">
        <f>COUNTIF(C878:X878,"&gt;0")*5</f>
        <v>45</v>
      </c>
      <c r="AC878" s="1">
        <f t="shared" si="297"/>
        <v>-75.920000000004961</v>
      </c>
      <c r="AD878" s="306">
        <f>SUM(AC874:AC878)</f>
        <v>-309.9075000000397</v>
      </c>
    </row>
    <row r="882" spans="1:30" ht="14.25" customHeight="1" x14ac:dyDescent="0.45">
      <c r="A882" s="79">
        <v>61</v>
      </c>
      <c r="B882" s="219">
        <v>0</v>
      </c>
      <c r="C882" s="94"/>
      <c r="D882" s="94"/>
      <c r="E882" s="94"/>
      <c r="F882" s="94"/>
      <c r="G882" s="94"/>
      <c r="H882" s="94"/>
      <c r="I882" s="214"/>
      <c r="J882" s="275">
        <v>264.21390000000002</v>
      </c>
      <c r="K882" s="275">
        <v>264.45949999999999</v>
      </c>
      <c r="L882" s="275">
        <v>264.3032</v>
      </c>
      <c r="M882" s="275">
        <v>263.74059999999997</v>
      </c>
      <c r="N882" s="275">
        <v>263.73950000000002</v>
      </c>
      <c r="O882" s="214"/>
      <c r="P882" s="214"/>
      <c r="Q882" s="214"/>
      <c r="R882" s="214"/>
      <c r="S882" s="94"/>
      <c r="T882" s="94"/>
      <c r="U882" s="94"/>
      <c r="V882" s="94"/>
      <c r="W882" s="94"/>
      <c r="X882" s="94"/>
      <c r="Y882" s="94">
        <f>AVERAGE(C882:X882)</f>
        <v>264.09134000000006</v>
      </c>
      <c r="Z882" s="319">
        <f>Z101-0.135</f>
        <v>263.43983999999989</v>
      </c>
      <c r="AA882" s="94">
        <f t="shared" ref="AA882:AA884" si="298">Z882-Y882</f>
        <v>-0.65150000000016917</v>
      </c>
      <c r="AB882" s="1">
        <f>COUNTIF(C882:X882,"&gt;0")*5</f>
        <v>25</v>
      </c>
      <c r="AC882" s="1">
        <f t="shared" ref="AC882:AC884" si="299">AA882*AB882*5</f>
        <v>-81.437500000021146</v>
      </c>
    </row>
    <row r="883" spans="1:30" ht="14.25" customHeight="1" x14ac:dyDescent="0.45">
      <c r="A883" s="79"/>
      <c r="B883" s="219">
        <v>5</v>
      </c>
      <c r="C883" s="214"/>
      <c r="D883" s="275">
        <v>263.89580000000001</v>
      </c>
      <c r="E883" s="275">
        <v>263.7054</v>
      </c>
      <c r="F883" s="275">
        <v>264.18270000000001</v>
      </c>
      <c r="G883" s="275">
        <v>264.23750000000001</v>
      </c>
      <c r="H883" s="275">
        <v>264.7285</v>
      </c>
      <c r="I883" s="275">
        <v>264.47269999999997</v>
      </c>
      <c r="J883" s="275">
        <v>264.3485</v>
      </c>
      <c r="K883" s="275">
        <v>264.62040000000002</v>
      </c>
      <c r="L883" s="275">
        <v>264.3381</v>
      </c>
      <c r="M883" s="275">
        <v>264.24439999999998</v>
      </c>
      <c r="N883" s="275">
        <v>264.31909999999999</v>
      </c>
      <c r="O883" s="275">
        <v>264.25189999999998</v>
      </c>
      <c r="P883" s="275">
        <v>264.49110000000002</v>
      </c>
      <c r="Q883" s="275">
        <v>264.42829999999998</v>
      </c>
      <c r="R883" s="275">
        <v>264.3426</v>
      </c>
      <c r="S883" s="275">
        <v>263.8845</v>
      </c>
      <c r="T883" s="275">
        <v>263.90179999999998</v>
      </c>
      <c r="U883" s="275">
        <v>263.35820000000001</v>
      </c>
      <c r="V883" s="94"/>
      <c r="W883" s="94"/>
      <c r="X883" s="94"/>
      <c r="Y883" s="94">
        <f>AVERAGE(C883:X883)</f>
        <v>264.20841666666661</v>
      </c>
      <c r="Z883" s="94">
        <f>Z882</f>
        <v>263.43983999999989</v>
      </c>
      <c r="AA883" s="94">
        <f t="shared" si="298"/>
        <v>-0.76857666666671776</v>
      </c>
      <c r="AB883" s="1">
        <f>COUNTIF(C883:X883,"&gt;0")*5</f>
        <v>90</v>
      </c>
      <c r="AC883" s="1">
        <f t="shared" si="299"/>
        <v>-345.85950000002299</v>
      </c>
    </row>
    <row r="884" spans="1:30" ht="14.25" customHeight="1" x14ac:dyDescent="0.45">
      <c r="A884" s="79"/>
      <c r="B884" s="219">
        <v>10</v>
      </c>
      <c r="C884" s="275">
        <v>264.25310000000002</v>
      </c>
      <c r="D884" s="275">
        <v>264.5625</v>
      </c>
      <c r="E884" s="275">
        <v>264.44420000000002</v>
      </c>
      <c r="F884" s="275">
        <v>264.38869999999997</v>
      </c>
      <c r="G884" s="275">
        <v>264.4119</v>
      </c>
      <c r="H884" s="275">
        <v>264.40699999999998</v>
      </c>
      <c r="I884" s="275">
        <v>264.21640000000002</v>
      </c>
      <c r="J884" s="275">
        <v>264.166</v>
      </c>
      <c r="K884" s="275">
        <v>264.26900000000001</v>
      </c>
      <c r="L884" s="275">
        <v>264.20890000000003</v>
      </c>
      <c r="M884" s="275">
        <v>263.99639999999999</v>
      </c>
      <c r="N884" s="275">
        <v>264.04129999999998</v>
      </c>
      <c r="O884" s="275">
        <v>263.96289999999999</v>
      </c>
      <c r="P884" s="275">
        <v>263.96170000000001</v>
      </c>
      <c r="Q884" s="275">
        <v>264.02440000000001</v>
      </c>
      <c r="R884" s="275">
        <v>263.85219999999998</v>
      </c>
      <c r="S884" s="275">
        <v>263.9966</v>
      </c>
      <c r="T884" s="275">
        <v>264.0043</v>
      </c>
      <c r="U884" s="275">
        <v>263.88029999999998</v>
      </c>
      <c r="V884" s="94"/>
      <c r="W884" s="94"/>
      <c r="X884" s="94"/>
      <c r="Y884" s="94">
        <f>AVERAGE(C884:X884)</f>
        <v>264.16041052631579</v>
      </c>
      <c r="Z884" s="94">
        <f>Z883</f>
        <v>263.43983999999989</v>
      </c>
      <c r="AA884" s="94">
        <f t="shared" si="298"/>
        <v>-0.72057052631589613</v>
      </c>
      <c r="AB884" s="1">
        <f>COUNTIF(C884:X884,"&gt;0")*5</f>
        <v>95</v>
      </c>
      <c r="AC884" s="1">
        <f t="shared" si="299"/>
        <v>-342.27100000005066</v>
      </c>
      <c r="AD884" s="306">
        <f>SUM(AC882:AC884)</f>
        <v>-769.5680000000948</v>
      </c>
    </row>
    <row r="885" spans="1:30" ht="14.25" customHeight="1" x14ac:dyDescent="0.45">
      <c r="A885" s="79"/>
    </row>
    <row r="886" spans="1:30" ht="14.25" customHeight="1" x14ac:dyDescent="0.45">
      <c r="A886" s="79"/>
    </row>
    <row r="887" spans="1:30" ht="14.25" customHeight="1" x14ac:dyDescent="0.45">
      <c r="A887" s="79"/>
    </row>
    <row r="888" spans="1:30" ht="14.25" customHeight="1" x14ac:dyDescent="0.45">
      <c r="A888" s="79" t="s">
        <v>1000</v>
      </c>
      <c r="B888" s="219">
        <v>0</v>
      </c>
      <c r="C888" s="276">
        <v>264.10789999999997</v>
      </c>
      <c r="Y888" s="94">
        <f t="shared" ref="Y888:Y897" si="300">AVERAGE(C888:X888)</f>
        <v>264.10789999999997</v>
      </c>
      <c r="Z888" s="94">
        <f t="shared" ref="Z888:Z895" si="301">Z889+5*1/500</f>
        <v>263.71484285714263</v>
      </c>
      <c r="AA888" s="94">
        <f t="shared" ref="AA888:AA897" si="302">Z888-Y888</f>
        <v>-0.39305714285734439</v>
      </c>
      <c r="AB888" s="1">
        <f t="shared" ref="AB888:AB897" si="303">COUNTIF(C888:X888,"&gt;0")*5</f>
        <v>5</v>
      </c>
      <c r="AC888" s="1">
        <f t="shared" ref="AC888:AC897" si="304">AA888*AB888*5</f>
        <v>-9.8264285714336097</v>
      </c>
    </row>
    <row r="889" spans="1:30" ht="14.25" customHeight="1" x14ac:dyDescent="0.45">
      <c r="A889" s="79"/>
      <c r="B889" s="219">
        <v>5</v>
      </c>
      <c r="C889" s="276">
        <v>263.9194</v>
      </c>
      <c r="Y889" s="94">
        <f t="shared" si="300"/>
        <v>263.9194</v>
      </c>
      <c r="Z889" s="94">
        <f t="shared" si="301"/>
        <v>263.70484285714264</v>
      </c>
      <c r="AA889" s="94">
        <f t="shared" si="302"/>
        <v>-0.21455714285735894</v>
      </c>
      <c r="AB889" s="1">
        <f t="shared" si="303"/>
        <v>5</v>
      </c>
      <c r="AC889" s="1">
        <f t="shared" si="304"/>
        <v>-5.3639285714339735</v>
      </c>
    </row>
    <row r="890" spans="1:30" ht="14.25" customHeight="1" x14ac:dyDescent="0.45">
      <c r="A890" s="79"/>
      <c r="B890" s="219">
        <v>10</v>
      </c>
      <c r="C890" s="276">
        <v>263.88959999999997</v>
      </c>
      <c r="Y890" s="94">
        <f t="shared" si="300"/>
        <v>263.88959999999997</v>
      </c>
      <c r="Z890" s="94">
        <f t="shared" si="301"/>
        <v>263.69484285714265</v>
      </c>
      <c r="AA890" s="94">
        <f t="shared" si="302"/>
        <v>-0.19475714285732693</v>
      </c>
      <c r="AB890" s="1">
        <f t="shared" si="303"/>
        <v>5</v>
      </c>
      <c r="AC890" s="1">
        <f t="shared" si="304"/>
        <v>-4.8689285714331731</v>
      </c>
    </row>
    <row r="891" spans="1:30" ht="14.25" customHeight="1" x14ac:dyDescent="0.45">
      <c r="A891" s="79"/>
      <c r="B891" s="219">
        <v>15</v>
      </c>
      <c r="C891" s="276">
        <v>263.92200000000003</v>
      </c>
      <c r="D891" s="276">
        <v>264.11450000000002</v>
      </c>
      <c r="Y891" s="94">
        <f t="shared" si="300"/>
        <v>264.01825000000002</v>
      </c>
      <c r="Z891" s="94">
        <f t="shared" si="301"/>
        <v>263.68484285714266</v>
      </c>
      <c r="AA891" s="94">
        <f t="shared" si="302"/>
        <v>-0.33340714285736794</v>
      </c>
      <c r="AB891" s="1">
        <f t="shared" si="303"/>
        <v>10</v>
      </c>
      <c r="AC891" s="1">
        <f t="shared" si="304"/>
        <v>-16.670357142868397</v>
      </c>
    </row>
    <row r="892" spans="1:30" ht="14.25" customHeight="1" x14ac:dyDescent="0.45">
      <c r="A892" s="79"/>
      <c r="B892" s="219">
        <v>20</v>
      </c>
      <c r="C892" s="276">
        <v>263.9246</v>
      </c>
      <c r="D892" s="276">
        <v>263.94959999999998</v>
      </c>
      <c r="Y892" s="94">
        <f t="shared" si="300"/>
        <v>263.93709999999999</v>
      </c>
      <c r="Z892" s="94">
        <f t="shared" si="301"/>
        <v>263.67484285714266</v>
      </c>
      <c r="AA892" s="94">
        <f t="shared" si="302"/>
        <v>-0.26225714285732238</v>
      </c>
      <c r="AB892" s="1">
        <f t="shared" si="303"/>
        <v>10</v>
      </c>
      <c r="AC892" s="1">
        <f t="shared" si="304"/>
        <v>-13.112857142866119</v>
      </c>
    </row>
    <row r="893" spans="1:30" ht="14.25" customHeight="1" x14ac:dyDescent="0.45">
      <c r="A893" s="79"/>
      <c r="B893" s="219">
        <v>25</v>
      </c>
      <c r="C893" s="276">
        <v>263.88560000000001</v>
      </c>
      <c r="D893" s="276">
        <v>263.90350000000001</v>
      </c>
      <c r="E893" s="276">
        <v>264.1619</v>
      </c>
      <c r="F893" s="276">
        <v>263.99630000000002</v>
      </c>
      <c r="G893" s="276">
        <v>263.82799999999997</v>
      </c>
      <c r="H893" s="276">
        <v>263.7457</v>
      </c>
      <c r="Y893" s="94">
        <f t="shared" si="300"/>
        <v>263.92016666666666</v>
      </c>
      <c r="Z893" s="94">
        <f t="shared" si="301"/>
        <v>263.66484285714267</v>
      </c>
      <c r="AA893" s="94">
        <f t="shared" si="302"/>
        <v>-0.25532380952398626</v>
      </c>
      <c r="AB893" s="1">
        <f t="shared" si="303"/>
        <v>30</v>
      </c>
      <c r="AC893" s="1">
        <f t="shared" si="304"/>
        <v>-38.298571428597938</v>
      </c>
    </row>
    <row r="894" spans="1:30" ht="14.25" customHeight="1" x14ac:dyDescent="0.45">
      <c r="A894" s="79"/>
      <c r="B894" s="219">
        <v>30</v>
      </c>
      <c r="C894" s="276">
        <v>263.82139999999998</v>
      </c>
      <c r="D894" s="276">
        <v>263.85169999999999</v>
      </c>
      <c r="E894" s="276">
        <v>263.84739999999999</v>
      </c>
      <c r="F894" s="276">
        <v>263.89109999999999</v>
      </c>
      <c r="G894" s="276">
        <v>263.89030000000002</v>
      </c>
      <c r="H894" s="276">
        <v>263.8546</v>
      </c>
      <c r="I894" s="276">
        <v>263.82920000000001</v>
      </c>
      <c r="J894" s="276">
        <v>263.83980000000003</v>
      </c>
      <c r="K894" s="276">
        <v>264.12310000000002</v>
      </c>
      <c r="L894" s="276">
        <v>264.02429999999998</v>
      </c>
      <c r="M894" s="276">
        <v>264.1995</v>
      </c>
      <c r="Y894" s="94">
        <f t="shared" si="300"/>
        <v>263.92476363636371</v>
      </c>
      <c r="Z894" s="94">
        <f t="shared" si="301"/>
        <v>263.65484285714268</v>
      </c>
      <c r="AA894" s="94">
        <f t="shared" si="302"/>
        <v>-0.26992077922102453</v>
      </c>
      <c r="AB894" s="1">
        <f t="shared" si="303"/>
        <v>55</v>
      </c>
      <c r="AC894" s="1">
        <f t="shared" si="304"/>
        <v>-74.228214285781746</v>
      </c>
    </row>
    <row r="895" spans="1:30" ht="14.25" customHeight="1" x14ac:dyDescent="0.45">
      <c r="A895" s="79"/>
      <c r="B895" s="219">
        <v>35</v>
      </c>
      <c r="C895" s="276">
        <v>263.81790000000001</v>
      </c>
      <c r="D895" s="276">
        <v>263.7817</v>
      </c>
      <c r="E895" s="276">
        <v>263.77690000000001</v>
      </c>
      <c r="F895" s="276">
        <v>263.9042</v>
      </c>
      <c r="G895" s="276">
        <v>263.91489999999999</v>
      </c>
      <c r="H895" s="276">
        <v>263.95389999999998</v>
      </c>
      <c r="I895" s="276">
        <v>264.00569999999999</v>
      </c>
      <c r="J895" s="276">
        <v>264.10879999999997</v>
      </c>
      <c r="K895" s="276">
        <v>264.67099999999999</v>
      </c>
      <c r="L895" s="276">
        <v>264.43439999999998</v>
      </c>
      <c r="M895" s="276">
        <v>264.13679999999999</v>
      </c>
      <c r="N895" s="276">
        <v>263.86919999999998</v>
      </c>
      <c r="O895" s="276">
        <v>264.02179999999998</v>
      </c>
      <c r="P895" s="276">
        <v>263.87909999999999</v>
      </c>
      <c r="Q895" s="276">
        <v>263.77519999999998</v>
      </c>
      <c r="R895" s="276">
        <v>263.79590000000002</v>
      </c>
      <c r="S895" s="276">
        <v>263.83710000000002</v>
      </c>
      <c r="T895" s="276">
        <v>263.83519999999999</v>
      </c>
      <c r="U895" s="276">
        <v>263.84350000000001</v>
      </c>
      <c r="V895" s="276">
        <v>263.8381</v>
      </c>
      <c r="Y895" s="94">
        <f t="shared" si="300"/>
        <v>263.96006499999993</v>
      </c>
      <c r="Z895" s="94">
        <f t="shared" si="301"/>
        <v>263.64484285714269</v>
      </c>
      <c r="AA895" s="94">
        <f t="shared" si="302"/>
        <v>-0.31522214285723749</v>
      </c>
      <c r="AB895" s="1">
        <f t="shared" si="303"/>
        <v>100</v>
      </c>
      <c r="AC895" s="1">
        <f t="shared" si="304"/>
        <v>-157.61107142861874</v>
      </c>
    </row>
    <row r="896" spans="1:30" ht="14.25" customHeight="1" x14ac:dyDescent="0.45">
      <c r="A896" s="79"/>
      <c r="B896" s="219">
        <v>40</v>
      </c>
      <c r="C896" s="276">
        <v>263.80790000000002</v>
      </c>
      <c r="D896" s="276">
        <v>263.77980000000002</v>
      </c>
      <c r="E896" s="276">
        <v>263.81229999999999</v>
      </c>
      <c r="F896" s="276">
        <v>263.8766</v>
      </c>
      <c r="G896" s="276">
        <v>263.90129999999999</v>
      </c>
      <c r="H896" s="276">
        <v>263.9796</v>
      </c>
      <c r="I896" s="276">
        <v>264.39510000000001</v>
      </c>
      <c r="J896" s="276">
        <v>264.45159999999998</v>
      </c>
      <c r="K896" s="276">
        <v>264.04919999999998</v>
      </c>
      <c r="L896" s="276">
        <v>263.83969999999999</v>
      </c>
      <c r="M896" s="276">
        <v>263.82060000000001</v>
      </c>
      <c r="N896" s="276">
        <v>263.78969999999998</v>
      </c>
      <c r="O896" s="276">
        <v>263.79320000000001</v>
      </c>
      <c r="P896" s="276">
        <v>263.78859999999997</v>
      </c>
      <c r="Q896" s="276">
        <v>263.76679999999999</v>
      </c>
      <c r="R896" s="276">
        <v>263.76119999999997</v>
      </c>
      <c r="S896" s="276">
        <v>263.78339999999997</v>
      </c>
      <c r="T896" s="276">
        <v>263.86419999999998</v>
      </c>
      <c r="U896" s="276">
        <v>263.68950000000001</v>
      </c>
      <c r="V896" s="276">
        <v>263.67970000000003</v>
      </c>
      <c r="Y896" s="94">
        <f t="shared" si="300"/>
        <v>263.88150000000002</v>
      </c>
      <c r="Z896" s="94">
        <f>Z897+5*1/500</f>
        <v>263.6348428571427</v>
      </c>
      <c r="AA896" s="94">
        <f t="shared" si="302"/>
        <v>-0.2466571428573161</v>
      </c>
      <c r="AB896" s="1">
        <f t="shared" si="303"/>
        <v>100</v>
      </c>
      <c r="AC896" s="1">
        <f t="shared" si="304"/>
        <v>-123.32857142865805</v>
      </c>
    </row>
    <row r="897" spans="1:30" ht="14.25" customHeight="1" x14ac:dyDescent="0.45">
      <c r="A897" s="79"/>
      <c r="B897" s="219">
        <v>45</v>
      </c>
      <c r="C897" s="276">
        <v>263.85239999999999</v>
      </c>
      <c r="D897" s="276">
        <v>263.84339999999997</v>
      </c>
      <c r="E897" s="276">
        <v>263.84309999999999</v>
      </c>
      <c r="F897" s="276">
        <v>264.00940000000003</v>
      </c>
      <c r="G897" s="276">
        <v>264.04360000000003</v>
      </c>
      <c r="H897" s="276">
        <v>264.0942</v>
      </c>
      <c r="I897" s="276">
        <v>263.85899999999998</v>
      </c>
      <c r="J897" s="276">
        <v>263.84289999999999</v>
      </c>
      <c r="K897" s="276">
        <v>263.85680000000002</v>
      </c>
      <c r="L897" s="276">
        <v>263.82929999999999</v>
      </c>
      <c r="M897" s="276">
        <v>263.82670000000002</v>
      </c>
      <c r="N897" s="276">
        <v>263.81490000000002</v>
      </c>
      <c r="O897" s="276">
        <v>263.79860000000002</v>
      </c>
      <c r="P897" s="276">
        <v>263.79149999999998</v>
      </c>
      <c r="Q897" s="276">
        <v>263.77679999999998</v>
      </c>
      <c r="R897" s="276">
        <v>263.76299999999998</v>
      </c>
      <c r="S897" s="276">
        <v>263.75040000000001</v>
      </c>
      <c r="T897" s="276">
        <v>263.92599999999999</v>
      </c>
      <c r="U897" s="276">
        <v>263.63600000000002</v>
      </c>
      <c r="V897" s="276">
        <v>263.6893</v>
      </c>
      <c r="Y897" s="94">
        <f t="shared" si="300"/>
        <v>263.84236500000003</v>
      </c>
      <c r="Z897" s="319">
        <f>Z205-5/100-0.09</f>
        <v>263.62484285714271</v>
      </c>
      <c r="AA897" s="94">
        <f t="shared" si="302"/>
        <v>-0.21752214285731952</v>
      </c>
      <c r="AB897" s="1">
        <f t="shared" si="303"/>
        <v>100</v>
      </c>
      <c r="AC897" s="1">
        <f t="shared" si="304"/>
        <v>-108.76107142865976</v>
      </c>
      <c r="AD897" s="306">
        <f>SUM(AC888:AC897)</f>
        <v>-552.07000000035146</v>
      </c>
    </row>
    <row r="898" spans="1:30" ht="14.25" customHeight="1" x14ac:dyDescent="0.45">
      <c r="A898" s="79"/>
      <c r="AD898">
        <f>SUM(AD3:AD897)</f>
        <v>2372.5357490787383</v>
      </c>
    </row>
    <row r="899" spans="1:30" ht="14.25" customHeight="1" x14ac:dyDescent="0.45">
      <c r="A899" s="79"/>
    </row>
    <row r="900" spans="1:30" ht="14.25" customHeight="1" x14ac:dyDescent="0.45">
      <c r="A900" s="79"/>
    </row>
    <row r="901" spans="1:30" ht="14.25" customHeight="1" x14ac:dyDescent="0.45">
      <c r="A901" s="595" t="s">
        <v>1074</v>
      </c>
      <c r="B901" s="595"/>
      <c r="C901" s="595"/>
      <c r="D901" s="595"/>
      <c r="E901" s="595"/>
      <c r="F901" s="595"/>
    </row>
    <row r="902" spans="1:30" ht="14.25" customHeight="1" x14ac:dyDescent="0.45">
      <c r="A902" s="109" t="s">
        <v>1075</v>
      </c>
      <c r="B902" s="109" t="s">
        <v>1076</v>
      </c>
      <c r="C902" s="109" t="s">
        <v>1069</v>
      </c>
      <c r="D902" s="109" t="s">
        <v>1077</v>
      </c>
      <c r="E902" s="109" t="s">
        <v>1078</v>
      </c>
      <c r="F902" s="109" t="s">
        <v>255</v>
      </c>
    </row>
    <row r="903" spans="1:30" ht="14.25" customHeight="1" x14ac:dyDescent="0.45">
      <c r="A903" s="490">
        <v>1</v>
      </c>
      <c r="B903" s="108">
        <v>264.09530000000001</v>
      </c>
      <c r="C903" s="108">
        <v>264.5</v>
      </c>
      <c r="D903" s="108">
        <f t="shared" ref="D903:D966" si="305">C903-B903</f>
        <v>0.40469999999999118</v>
      </c>
      <c r="E903" s="110">
        <f>IF(D903&gt;0,1.5*D903^2,1.5*0.5^2)</f>
        <v>0.24567313499998927</v>
      </c>
      <c r="F903" s="2">
        <f t="shared" ref="F903:F966" si="306">E903*5</f>
        <v>1.2283656749999463</v>
      </c>
    </row>
    <row r="904" spans="1:30" ht="14.25" customHeight="1" x14ac:dyDescent="0.45">
      <c r="A904" s="490">
        <v>2</v>
      </c>
      <c r="B904" s="108">
        <v>262.98270000000002</v>
      </c>
      <c r="C904" s="108">
        <v>264.5</v>
      </c>
      <c r="D904" s="108">
        <f t="shared" si="305"/>
        <v>1.5172999999999774</v>
      </c>
      <c r="E904" s="110">
        <f t="shared" ref="E904:E967" si="307">IF(D904&gt;0,1.5*D904^2,1.5*0.5^2)</f>
        <v>3.4532989349998973</v>
      </c>
      <c r="F904" s="2">
        <f t="shared" si="306"/>
        <v>17.266494674999485</v>
      </c>
    </row>
    <row r="905" spans="1:30" ht="14.25" customHeight="1" x14ac:dyDescent="0.45">
      <c r="A905" s="490">
        <v>3</v>
      </c>
      <c r="B905" s="108">
        <v>263.5693</v>
      </c>
      <c r="C905" s="108">
        <v>264.5</v>
      </c>
      <c r="D905" s="108">
        <f t="shared" si="305"/>
        <v>0.93070000000000164</v>
      </c>
      <c r="E905" s="110">
        <f t="shared" si="307"/>
        <v>1.2993037350000045</v>
      </c>
      <c r="F905" s="2">
        <f t="shared" si="306"/>
        <v>6.4965186750000221</v>
      </c>
    </row>
    <row r="906" spans="1:30" ht="14.25" customHeight="1" x14ac:dyDescent="0.45">
      <c r="A906" s="490">
        <v>4</v>
      </c>
      <c r="B906" s="108">
        <v>263.02960000000002</v>
      </c>
      <c r="C906" s="108">
        <v>264.5</v>
      </c>
      <c r="D906" s="108">
        <f t="shared" si="305"/>
        <v>1.4703999999999837</v>
      </c>
      <c r="E906" s="110">
        <f t="shared" si="307"/>
        <v>3.2431142399999286</v>
      </c>
      <c r="F906" s="2">
        <f t="shared" si="306"/>
        <v>16.215571199999644</v>
      </c>
    </row>
    <row r="907" spans="1:30" ht="14.25" customHeight="1" x14ac:dyDescent="0.45">
      <c r="A907" s="490">
        <v>5</v>
      </c>
      <c r="B907" s="108">
        <v>263.07420000000002</v>
      </c>
      <c r="C907" s="108">
        <v>264.5</v>
      </c>
      <c r="D907" s="108">
        <f t="shared" si="305"/>
        <v>1.4257999999999811</v>
      </c>
      <c r="E907" s="110">
        <f t="shared" si="307"/>
        <v>3.0493584599999188</v>
      </c>
      <c r="F907" s="2">
        <f t="shared" si="306"/>
        <v>15.246792299999594</v>
      </c>
    </row>
    <row r="908" spans="1:30" ht="14.25" customHeight="1" x14ac:dyDescent="0.45">
      <c r="A908" s="490">
        <v>6</v>
      </c>
      <c r="B908" s="108">
        <v>262.61239999999998</v>
      </c>
      <c r="C908" s="108">
        <v>264.5</v>
      </c>
      <c r="D908" s="108">
        <f t="shared" si="305"/>
        <v>1.8876000000000204</v>
      </c>
      <c r="E908" s="110">
        <f t="shared" si="307"/>
        <v>5.344550640000115</v>
      </c>
      <c r="F908" s="2">
        <f t="shared" si="306"/>
        <v>26.722753200000575</v>
      </c>
    </row>
    <row r="909" spans="1:30" ht="14.25" customHeight="1" x14ac:dyDescent="0.45">
      <c r="A909" s="490">
        <v>7</v>
      </c>
      <c r="B909" s="108">
        <v>263.12759999999997</v>
      </c>
      <c r="C909" s="108">
        <v>264.5</v>
      </c>
      <c r="D909" s="108">
        <f t="shared" si="305"/>
        <v>1.3724000000000274</v>
      </c>
      <c r="E909" s="110">
        <f t="shared" si="307"/>
        <v>2.8252226400001126</v>
      </c>
      <c r="F909" s="2">
        <f t="shared" si="306"/>
        <v>14.126113200000564</v>
      </c>
    </row>
    <row r="910" spans="1:30" ht="14.25" customHeight="1" x14ac:dyDescent="0.45">
      <c r="A910" s="490">
        <v>8</v>
      </c>
      <c r="B910" s="108">
        <v>263.55399999999997</v>
      </c>
      <c r="C910" s="108">
        <v>264.5</v>
      </c>
      <c r="D910" s="108">
        <f t="shared" si="305"/>
        <v>0.94600000000002638</v>
      </c>
      <c r="E910" s="110">
        <f t="shared" si="307"/>
        <v>1.3423740000000748</v>
      </c>
      <c r="F910" s="2">
        <f t="shared" si="306"/>
        <v>6.7118700000003741</v>
      </c>
    </row>
    <row r="911" spans="1:30" ht="14.25" customHeight="1" x14ac:dyDescent="0.45">
      <c r="A911" s="490">
        <v>9</v>
      </c>
      <c r="B911" s="108">
        <v>263.69279999999998</v>
      </c>
      <c r="C911" s="108">
        <v>264.5</v>
      </c>
      <c r="D911" s="108">
        <f t="shared" si="305"/>
        <v>0.80720000000002301</v>
      </c>
      <c r="E911" s="110">
        <f t="shared" si="307"/>
        <v>0.97735776000005559</v>
      </c>
      <c r="F911" s="2">
        <f t="shared" si="306"/>
        <v>4.8867888000002777</v>
      </c>
    </row>
    <row r="912" spans="1:30" ht="14.25" customHeight="1" x14ac:dyDescent="0.45">
      <c r="A912" s="490">
        <v>10</v>
      </c>
      <c r="B912" s="108">
        <v>263.91289999999998</v>
      </c>
      <c r="C912" s="108">
        <v>264.5</v>
      </c>
      <c r="D912" s="108">
        <f t="shared" si="305"/>
        <v>0.58710000000002083</v>
      </c>
      <c r="E912" s="110">
        <f t="shared" si="307"/>
        <v>0.51702961500003675</v>
      </c>
      <c r="F912" s="2">
        <f t="shared" si="306"/>
        <v>2.5851480750001836</v>
      </c>
    </row>
    <row r="913" spans="1:6" ht="14.25" customHeight="1" x14ac:dyDescent="0.45">
      <c r="A913" s="490">
        <v>11</v>
      </c>
      <c r="B913" s="108">
        <v>263.06380000000001</v>
      </c>
      <c r="C913" s="108">
        <v>264.5</v>
      </c>
      <c r="D913" s="108">
        <f t="shared" si="305"/>
        <v>1.4361999999999853</v>
      </c>
      <c r="E913" s="110">
        <f t="shared" si="307"/>
        <v>3.0940056599999366</v>
      </c>
      <c r="F913" s="2">
        <f t="shared" si="306"/>
        <v>15.470028299999683</v>
      </c>
    </row>
    <row r="914" spans="1:6" ht="14.25" customHeight="1" x14ac:dyDescent="0.45">
      <c r="A914" s="490">
        <v>12</v>
      </c>
      <c r="B914" s="108">
        <v>264.2758</v>
      </c>
      <c r="C914" s="108">
        <v>264.5</v>
      </c>
      <c r="D914" s="108">
        <f t="shared" si="305"/>
        <v>0.22419999999999618</v>
      </c>
      <c r="E914" s="110">
        <f t="shared" si="307"/>
        <v>7.5398459999997433E-2</v>
      </c>
      <c r="F914" s="2">
        <f t="shared" si="306"/>
        <v>0.37699229999998718</v>
      </c>
    </row>
    <row r="915" spans="1:6" ht="14.25" customHeight="1" x14ac:dyDescent="0.45">
      <c r="A915" s="490">
        <v>13</v>
      </c>
      <c r="B915" s="108">
        <v>264.05939999999998</v>
      </c>
      <c r="C915" s="108">
        <v>264.5</v>
      </c>
      <c r="D915" s="108">
        <f t="shared" si="305"/>
        <v>0.44060000000001764</v>
      </c>
      <c r="E915" s="110">
        <f t="shared" si="307"/>
        <v>0.29119254000002331</v>
      </c>
      <c r="F915" s="2">
        <f t="shared" si="306"/>
        <v>1.4559627000001165</v>
      </c>
    </row>
    <row r="916" spans="1:6" ht="14.25" customHeight="1" x14ac:dyDescent="0.45">
      <c r="A916" s="490">
        <v>14</v>
      </c>
      <c r="B916" s="108">
        <v>262.77359999999999</v>
      </c>
      <c r="C916" s="108">
        <v>264.5</v>
      </c>
      <c r="D916" s="108">
        <f t="shared" si="305"/>
        <v>1.7264000000000124</v>
      </c>
      <c r="E916" s="110">
        <f t="shared" si="307"/>
        <v>4.4706854400000644</v>
      </c>
      <c r="F916" s="2">
        <f t="shared" si="306"/>
        <v>22.353427200000322</v>
      </c>
    </row>
    <row r="917" spans="1:6" ht="14.25" customHeight="1" x14ac:dyDescent="0.45">
      <c r="A917" s="490">
        <v>15</v>
      </c>
      <c r="B917" s="108">
        <v>263.44830000000002</v>
      </c>
      <c r="C917" s="108">
        <v>264.5</v>
      </c>
      <c r="D917" s="108">
        <f t="shared" si="305"/>
        <v>1.0516999999999825</v>
      </c>
      <c r="E917" s="110">
        <f t="shared" si="307"/>
        <v>1.6591093349999448</v>
      </c>
      <c r="F917" s="2">
        <f t="shared" si="306"/>
        <v>8.2955466749997235</v>
      </c>
    </row>
    <row r="918" spans="1:6" ht="14.25" customHeight="1" x14ac:dyDescent="0.45">
      <c r="A918" s="490">
        <v>16</v>
      </c>
      <c r="B918" s="108">
        <v>263.18259999999998</v>
      </c>
      <c r="C918" s="108">
        <v>264.5</v>
      </c>
      <c r="D918" s="108">
        <f t="shared" si="305"/>
        <v>1.3174000000000206</v>
      </c>
      <c r="E918" s="110">
        <f t="shared" si="307"/>
        <v>2.603314140000081</v>
      </c>
      <c r="F918" s="2">
        <f t="shared" si="306"/>
        <v>13.016570700000404</v>
      </c>
    </row>
    <row r="919" spans="1:6" ht="14.25" customHeight="1" x14ac:dyDescent="0.45">
      <c r="A919" s="490">
        <v>17</v>
      </c>
      <c r="B919" s="108">
        <v>263.79320000000001</v>
      </c>
      <c r="C919" s="108">
        <v>264.5</v>
      </c>
      <c r="D919" s="108">
        <f t="shared" si="305"/>
        <v>0.70679999999998699</v>
      </c>
      <c r="E919" s="110">
        <f t="shared" si="307"/>
        <v>0.74934935999997243</v>
      </c>
      <c r="F919" s="2">
        <f t="shared" si="306"/>
        <v>3.7467467999998623</v>
      </c>
    </row>
    <row r="920" spans="1:6" ht="14.25" customHeight="1" x14ac:dyDescent="0.45">
      <c r="A920" s="490">
        <v>18</v>
      </c>
      <c r="B920" s="108">
        <v>264.21769999999998</v>
      </c>
      <c r="C920" s="108">
        <v>264.5</v>
      </c>
      <c r="D920" s="108">
        <f t="shared" si="305"/>
        <v>0.28230000000002065</v>
      </c>
      <c r="E920" s="110">
        <f t="shared" si="307"/>
        <v>0.11953993500001749</v>
      </c>
      <c r="F920" s="2">
        <f t="shared" si="306"/>
        <v>0.59769967500008747</v>
      </c>
    </row>
    <row r="921" spans="1:6" ht="14.25" customHeight="1" x14ac:dyDescent="0.45">
      <c r="A921" s="490">
        <v>19</v>
      </c>
      <c r="B921" s="108">
        <v>264.27769999999998</v>
      </c>
      <c r="C921" s="108">
        <v>264.5</v>
      </c>
      <c r="D921" s="108">
        <f t="shared" si="305"/>
        <v>0.22230000000001837</v>
      </c>
      <c r="E921" s="110">
        <f t="shared" si="307"/>
        <v>7.4125935000012258E-2</v>
      </c>
      <c r="F921" s="2">
        <f t="shared" si="306"/>
        <v>0.37062967500006128</v>
      </c>
    </row>
    <row r="922" spans="1:6" ht="14.25" customHeight="1" x14ac:dyDescent="0.45">
      <c r="A922" s="490">
        <v>20</v>
      </c>
      <c r="B922" s="108">
        <v>264.22469999999998</v>
      </c>
      <c r="C922" s="108">
        <v>264.5</v>
      </c>
      <c r="D922" s="108">
        <f t="shared" si="305"/>
        <v>0.27530000000001564</v>
      </c>
      <c r="E922" s="110">
        <f t="shared" si="307"/>
        <v>0.11368513500001291</v>
      </c>
      <c r="F922" s="2">
        <f t="shared" si="306"/>
        <v>0.56842567500006458</v>
      </c>
    </row>
    <row r="923" spans="1:6" ht="14.25" customHeight="1" x14ac:dyDescent="0.45">
      <c r="A923" s="490">
        <v>21</v>
      </c>
      <c r="B923" s="108">
        <v>262.45819999999998</v>
      </c>
      <c r="C923" s="108">
        <v>264.5</v>
      </c>
      <c r="D923" s="108">
        <f t="shared" si="305"/>
        <v>2.0418000000000234</v>
      </c>
      <c r="E923" s="110">
        <f t="shared" si="307"/>
        <v>6.2534208600001433</v>
      </c>
      <c r="F923" s="2">
        <f t="shared" si="306"/>
        <v>31.267104300000717</v>
      </c>
    </row>
    <row r="924" spans="1:6" ht="14.25" customHeight="1" x14ac:dyDescent="0.45">
      <c r="A924" s="490">
        <v>22</v>
      </c>
      <c r="B924" s="108">
        <v>263.73939999999999</v>
      </c>
      <c r="C924" s="108">
        <v>264.5</v>
      </c>
      <c r="D924" s="108">
        <f t="shared" si="305"/>
        <v>0.76060000000001082</v>
      </c>
      <c r="E924" s="110">
        <f t="shared" si="307"/>
        <v>0.86776854000002479</v>
      </c>
      <c r="F924" s="2">
        <f t="shared" si="306"/>
        <v>4.3388427000001242</v>
      </c>
    </row>
    <row r="925" spans="1:6" ht="14.25" customHeight="1" x14ac:dyDescent="0.45">
      <c r="A925" s="490">
        <v>23</v>
      </c>
      <c r="B925" s="108">
        <v>263.52620000000002</v>
      </c>
      <c r="C925" s="108">
        <v>264.5</v>
      </c>
      <c r="D925" s="108">
        <f t="shared" si="305"/>
        <v>0.9737999999999829</v>
      </c>
      <c r="E925" s="110">
        <f t="shared" si="307"/>
        <v>1.42242965999995</v>
      </c>
      <c r="F925" s="2">
        <f t="shared" si="306"/>
        <v>7.1121482999997498</v>
      </c>
    </row>
    <row r="926" spans="1:6" ht="14.25" customHeight="1" x14ac:dyDescent="0.45">
      <c r="A926" s="490">
        <v>24</v>
      </c>
      <c r="B926" s="108">
        <v>263.1155</v>
      </c>
      <c r="C926" s="108">
        <v>264.5</v>
      </c>
      <c r="D926" s="108">
        <f t="shared" si="305"/>
        <v>1.3845000000000027</v>
      </c>
      <c r="E926" s="110">
        <f t="shared" si="307"/>
        <v>2.8752603750000114</v>
      </c>
      <c r="F926" s="2">
        <f t="shared" si="306"/>
        <v>14.376301875000056</v>
      </c>
    </row>
    <row r="927" spans="1:6" ht="14.25" customHeight="1" x14ac:dyDescent="0.45">
      <c r="A927" s="490">
        <v>25</v>
      </c>
      <c r="B927" s="108">
        <v>263.7011</v>
      </c>
      <c r="C927" s="108">
        <v>264.5</v>
      </c>
      <c r="D927" s="108">
        <f t="shared" si="305"/>
        <v>0.79890000000000327</v>
      </c>
      <c r="E927" s="110">
        <f t="shared" si="307"/>
        <v>0.95736181500000783</v>
      </c>
      <c r="F927" s="2">
        <f t="shared" si="306"/>
        <v>4.7868090750000389</v>
      </c>
    </row>
    <row r="928" spans="1:6" ht="14.25" customHeight="1" x14ac:dyDescent="0.45">
      <c r="A928" s="490">
        <v>26</v>
      </c>
      <c r="B928" s="108">
        <v>262.2491</v>
      </c>
      <c r="C928" s="108">
        <v>264.5</v>
      </c>
      <c r="D928" s="108">
        <f t="shared" si="305"/>
        <v>2.2509000000000015</v>
      </c>
      <c r="E928" s="110">
        <f t="shared" si="307"/>
        <v>7.5998262150000109</v>
      </c>
      <c r="F928" s="2">
        <f t="shared" si="306"/>
        <v>37.999131075000051</v>
      </c>
    </row>
    <row r="929" spans="1:6" ht="14.25" customHeight="1" x14ac:dyDescent="0.45">
      <c r="A929" s="490">
        <v>27</v>
      </c>
      <c r="B929" s="108">
        <v>264.65719999999999</v>
      </c>
      <c r="C929" s="108">
        <v>264.5</v>
      </c>
      <c r="D929" s="108">
        <f t="shared" si="305"/>
        <v>-0.1571999999999889</v>
      </c>
      <c r="E929" s="110">
        <f t="shared" si="307"/>
        <v>0.375</v>
      </c>
      <c r="F929" s="2">
        <f t="shared" si="306"/>
        <v>1.875</v>
      </c>
    </row>
    <row r="930" spans="1:6" ht="14.25" customHeight="1" x14ac:dyDescent="0.45">
      <c r="A930" s="490">
        <v>28</v>
      </c>
      <c r="B930" s="108">
        <v>264.90609999999998</v>
      </c>
      <c r="C930" s="108">
        <v>264.5</v>
      </c>
      <c r="D930" s="108">
        <f t="shared" si="305"/>
        <v>-0.40609999999998081</v>
      </c>
      <c r="E930" s="110">
        <f t="shared" si="307"/>
        <v>0.375</v>
      </c>
      <c r="F930" s="2">
        <f t="shared" si="306"/>
        <v>1.875</v>
      </c>
    </row>
    <row r="931" spans="1:6" ht="14.25" customHeight="1" x14ac:dyDescent="0.45">
      <c r="A931" s="490">
        <v>29</v>
      </c>
      <c r="B931" s="108">
        <v>264.16930000000002</v>
      </c>
      <c r="C931" s="108">
        <v>264.5</v>
      </c>
      <c r="D931" s="108">
        <f t="shared" si="305"/>
        <v>0.3306999999999789</v>
      </c>
      <c r="E931" s="110">
        <f t="shared" si="307"/>
        <v>0.16404373499997907</v>
      </c>
      <c r="F931" s="2">
        <f t="shared" si="306"/>
        <v>0.82021867499989531</v>
      </c>
    </row>
    <row r="932" spans="1:6" ht="14.25" customHeight="1" x14ac:dyDescent="0.45">
      <c r="A932" s="490">
        <v>30</v>
      </c>
      <c r="B932" s="108">
        <v>262.73950000000002</v>
      </c>
      <c r="C932" s="108">
        <v>264.5</v>
      </c>
      <c r="D932" s="108">
        <f t="shared" si="305"/>
        <v>1.7604999999999791</v>
      </c>
      <c r="E932" s="110">
        <f t="shared" si="307"/>
        <v>4.6490403749998901</v>
      </c>
      <c r="F932" s="2">
        <f t="shared" si="306"/>
        <v>23.245201874999452</v>
      </c>
    </row>
    <row r="933" spans="1:6" ht="14.25" customHeight="1" x14ac:dyDescent="0.45">
      <c r="A933" s="490">
        <v>31</v>
      </c>
      <c r="B933" s="108">
        <v>263.8929</v>
      </c>
      <c r="C933" s="108">
        <v>264.5</v>
      </c>
      <c r="D933" s="108">
        <f t="shared" si="305"/>
        <v>0.60710000000000264</v>
      </c>
      <c r="E933" s="110">
        <f t="shared" si="307"/>
        <v>0.5528556150000048</v>
      </c>
      <c r="F933" s="2">
        <f t="shared" si="306"/>
        <v>2.764278075000024</v>
      </c>
    </row>
    <row r="934" spans="1:6" ht="14.25" customHeight="1" x14ac:dyDescent="0.45">
      <c r="A934" s="490">
        <v>32</v>
      </c>
      <c r="B934" s="108">
        <v>264.08019999999999</v>
      </c>
      <c r="C934" s="108">
        <v>264.5</v>
      </c>
      <c r="D934" s="108">
        <f t="shared" si="305"/>
        <v>0.41980000000000928</v>
      </c>
      <c r="E934" s="110">
        <f t="shared" si="307"/>
        <v>0.26434806000001165</v>
      </c>
      <c r="F934" s="2">
        <f t="shared" si="306"/>
        <v>1.3217403000000583</v>
      </c>
    </row>
    <row r="935" spans="1:6" ht="14.25" customHeight="1" x14ac:dyDescent="0.45">
      <c r="A935" s="490">
        <v>33</v>
      </c>
      <c r="B935" s="108">
        <v>263.33330000000001</v>
      </c>
      <c r="C935" s="108">
        <v>264.5</v>
      </c>
      <c r="D935" s="108">
        <f t="shared" si="305"/>
        <v>1.1666999999999916</v>
      </c>
      <c r="E935" s="110">
        <f t="shared" si="307"/>
        <v>2.0417833349999706</v>
      </c>
      <c r="F935" s="2">
        <f t="shared" si="306"/>
        <v>10.208916674999852</v>
      </c>
    </row>
    <row r="936" spans="1:6" ht="14.25" customHeight="1" x14ac:dyDescent="0.45">
      <c r="A936" s="490">
        <v>34</v>
      </c>
      <c r="B936" s="108">
        <v>263.31670000000003</v>
      </c>
      <c r="C936" s="108">
        <v>264.5</v>
      </c>
      <c r="D936" s="108">
        <f t="shared" si="305"/>
        <v>1.1832999999999743</v>
      </c>
      <c r="E936" s="110">
        <f t="shared" si="307"/>
        <v>2.1002983349999087</v>
      </c>
      <c r="F936" s="2">
        <f t="shared" si="306"/>
        <v>10.501491674999544</v>
      </c>
    </row>
    <row r="937" spans="1:6" ht="14.25" customHeight="1" x14ac:dyDescent="0.45">
      <c r="A937" s="490">
        <v>35</v>
      </c>
      <c r="B937" s="108">
        <v>263.79090000000002</v>
      </c>
      <c r="C937" s="108">
        <v>264.5</v>
      </c>
      <c r="D937" s="108">
        <f t="shared" si="305"/>
        <v>0.70909999999997808</v>
      </c>
      <c r="E937" s="110">
        <f t="shared" si="307"/>
        <v>0.75423421499995325</v>
      </c>
      <c r="F937" s="2">
        <f t="shared" si="306"/>
        <v>3.7711710749997662</v>
      </c>
    </row>
    <row r="938" spans="1:6" ht="14.25" customHeight="1" x14ac:dyDescent="0.45">
      <c r="A938" s="490">
        <v>36</v>
      </c>
      <c r="B938" s="108">
        <v>264.09969999999998</v>
      </c>
      <c r="C938" s="108">
        <v>264.5</v>
      </c>
      <c r="D938" s="108">
        <f t="shared" si="305"/>
        <v>0.40030000000001564</v>
      </c>
      <c r="E938" s="110">
        <f t="shared" si="307"/>
        <v>0.24036013500001879</v>
      </c>
      <c r="F938" s="2">
        <f t="shared" si="306"/>
        <v>1.201800675000094</v>
      </c>
    </row>
    <row r="939" spans="1:6" ht="14.25" customHeight="1" x14ac:dyDescent="0.45">
      <c r="A939" s="490">
        <v>37</v>
      </c>
      <c r="B939" s="108">
        <v>263.99250000000001</v>
      </c>
      <c r="C939" s="108">
        <v>264.5</v>
      </c>
      <c r="D939" s="108">
        <f t="shared" si="305"/>
        <v>0.50749999999999318</v>
      </c>
      <c r="E939" s="110">
        <f t="shared" si="307"/>
        <v>0.38633437499998968</v>
      </c>
      <c r="F939" s="2">
        <f t="shared" si="306"/>
        <v>1.9316718749999484</v>
      </c>
    </row>
    <row r="940" spans="1:6" ht="14.25" customHeight="1" x14ac:dyDescent="0.45">
      <c r="A940" s="490">
        <v>38</v>
      </c>
      <c r="B940" s="108">
        <v>263.84679999999997</v>
      </c>
      <c r="C940" s="108">
        <v>264.5</v>
      </c>
      <c r="D940" s="108">
        <f t="shared" si="305"/>
        <v>0.65320000000002665</v>
      </c>
      <c r="E940" s="110">
        <f t="shared" si="307"/>
        <v>0.64000536000005226</v>
      </c>
      <c r="F940" s="2">
        <f t="shared" si="306"/>
        <v>3.2000268000002614</v>
      </c>
    </row>
    <row r="941" spans="1:6" ht="14.25" customHeight="1" x14ac:dyDescent="0.45">
      <c r="A941" s="490">
        <v>39</v>
      </c>
      <c r="B941" s="108">
        <v>263.96109999999999</v>
      </c>
      <c r="C941" s="108">
        <v>264.5</v>
      </c>
      <c r="D941" s="108">
        <f t="shared" si="305"/>
        <v>0.53890000000001237</v>
      </c>
      <c r="E941" s="110">
        <f t="shared" si="307"/>
        <v>0.43561981500002001</v>
      </c>
      <c r="F941" s="2">
        <f t="shared" si="306"/>
        <v>2.1780990750000999</v>
      </c>
    </row>
    <row r="942" spans="1:6" ht="14.25" customHeight="1" x14ac:dyDescent="0.45">
      <c r="A942" s="490">
        <v>40</v>
      </c>
      <c r="B942" s="108">
        <v>263.84859999999998</v>
      </c>
      <c r="C942" s="108">
        <v>264.5</v>
      </c>
      <c r="D942" s="108">
        <f t="shared" si="305"/>
        <v>0.65140000000002374</v>
      </c>
      <c r="E942" s="110">
        <f t="shared" si="307"/>
        <v>0.63648294000004635</v>
      </c>
      <c r="F942" s="2">
        <f t="shared" si="306"/>
        <v>3.1824147000002316</v>
      </c>
    </row>
    <row r="943" spans="1:6" ht="14.25" x14ac:dyDescent="0.45">
      <c r="A943" s="490">
        <v>41</v>
      </c>
      <c r="B943" s="108">
        <v>263.76650000000001</v>
      </c>
      <c r="C943" s="108">
        <v>264.5</v>
      </c>
      <c r="D943" s="108">
        <f t="shared" si="305"/>
        <v>0.73349999999999227</v>
      </c>
      <c r="E943" s="110">
        <f t="shared" si="307"/>
        <v>0.80703337499998307</v>
      </c>
      <c r="F943" s="2">
        <f t="shared" si="306"/>
        <v>4.0351668749999154</v>
      </c>
    </row>
    <row r="944" spans="1:6" ht="15" customHeight="1" x14ac:dyDescent="0.45">
      <c r="A944" s="490">
        <v>42</v>
      </c>
      <c r="B944" s="108">
        <v>263.78750000000002</v>
      </c>
      <c r="C944" s="108">
        <v>264.5</v>
      </c>
      <c r="D944" s="108">
        <f t="shared" si="305"/>
        <v>0.71249999999997726</v>
      </c>
      <c r="E944" s="110">
        <f t="shared" si="307"/>
        <v>0.76148437499995136</v>
      </c>
      <c r="F944" s="2">
        <f t="shared" si="306"/>
        <v>3.8074218749997568</v>
      </c>
    </row>
    <row r="945" spans="1:6" ht="15" customHeight="1" x14ac:dyDescent="0.45">
      <c r="A945" s="490">
        <v>43</v>
      </c>
      <c r="B945" s="108">
        <v>264.0686</v>
      </c>
      <c r="C945" s="108">
        <v>264.5</v>
      </c>
      <c r="D945" s="108">
        <f t="shared" si="305"/>
        <v>0.43139999999999645</v>
      </c>
      <c r="E945" s="110">
        <f t="shared" si="307"/>
        <v>0.27915893999999541</v>
      </c>
      <c r="F945" s="2">
        <f t="shared" si="306"/>
        <v>1.3957946999999771</v>
      </c>
    </row>
    <row r="946" spans="1:6" ht="15" customHeight="1" x14ac:dyDescent="0.45">
      <c r="A946" s="490">
        <v>44</v>
      </c>
      <c r="B946" s="108">
        <v>264.79259999999999</v>
      </c>
      <c r="C946" s="108">
        <v>264.5</v>
      </c>
      <c r="D946" s="108">
        <f t="shared" si="305"/>
        <v>-0.29259999999999309</v>
      </c>
      <c r="E946" s="110">
        <f t="shared" si="307"/>
        <v>0.375</v>
      </c>
      <c r="F946" s="2">
        <f t="shared" si="306"/>
        <v>1.875</v>
      </c>
    </row>
    <row r="947" spans="1:6" ht="15" customHeight="1" x14ac:dyDescent="0.45">
      <c r="A947" s="490">
        <v>45</v>
      </c>
      <c r="B947" s="108">
        <v>263.16410000000002</v>
      </c>
      <c r="C947" s="108">
        <v>264.5</v>
      </c>
      <c r="D947" s="108">
        <f t="shared" si="305"/>
        <v>1.335899999999981</v>
      </c>
      <c r="E947" s="110">
        <f t="shared" si="307"/>
        <v>2.6769432149999237</v>
      </c>
      <c r="F947" s="2">
        <f t="shared" si="306"/>
        <v>13.384716074999618</v>
      </c>
    </row>
    <row r="948" spans="1:6" ht="15" customHeight="1" x14ac:dyDescent="0.45">
      <c r="A948" s="490">
        <v>46</v>
      </c>
      <c r="B948" s="108">
        <v>264.3426</v>
      </c>
      <c r="C948" s="108">
        <v>264.5</v>
      </c>
      <c r="D948" s="108">
        <f t="shared" si="305"/>
        <v>0.15739999999999554</v>
      </c>
      <c r="E948" s="110">
        <f t="shared" si="307"/>
        <v>3.7162139999997901E-2</v>
      </c>
      <c r="F948" s="2">
        <f t="shared" si="306"/>
        <v>0.1858106999999895</v>
      </c>
    </row>
    <row r="949" spans="1:6" ht="15" customHeight="1" x14ac:dyDescent="0.45">
      <c r="A949" s="490">
        <v>47</v>
      </c>
      <c r="B949" s="108">
        <v>263.85129999999998</v>
      </c>
      <c r="C949" s="108">
        <v>264.5</v>
      </c>
      <c r="D949" s="108">
        <f t="shared" si="305"/>
        <v>0.64870000000001937</v>
      </c>
      <c r="E949" s="110">
        <f t="shared" si="307"/>
        <v>0.63121753500003763</v>
      </c>
      <c r="F949" s="2">
        <f t="shared" si="306"/>
        <v>3.1560876750001881</v>
      </c>
    </row>
    <row r="950" spans="1:6" ht="15" customHeight="1" x14ac:dyDescent="0.45">
      <c r="A950" s="490">
        <v>48</v>
      </c>
      <c r="B950" s="108">
        <v>264.1343</v>
      </c>
      <c r="C950" s="108">
        <v>264.5</v>
      </c>
      <c r="D950" s="108">
        <f t="shared" si="305"/>
        <v>0.36570000000000391</v>
      </c>
      <c r="E950" s="110">
        <f t="shared" si="307"/>
        <v>0.20060473500000431</v>
      </c>
      <c r="F950" s="2">
        <f t="shared" si="306"/>
        <v>1.0030236750000214</v>
      </c>
    </row>
    <row r="951" spans="1:6" ht="15" customHeight="1" x14ac:dyDescent="0.45">
      <c r="A951" s="490">
        <v>49</v>
      </c>
      <c r="B951" s="108">
        <v>264.13350000000003</v>
      </c>
      <c r="C951" s="108">
        <v>264.5</v>
      </c>
      <c r="D951" s="108">
        <f t="shared" si="305"/>
        <v>0.36649999999997362</v>
      </c>
      <c r="E951" s="110">
        <f t="shared" si="307"/>
        <v>0.20148337499997099</v>
      </c>
      <c r="F951" s="2">
        <f t="shared" si="306"/>
        <v>1.0074168749998549</v>
      </c>
    </row>
    <row r="952" spans="1:6" ht="15" customHeight="1" x14ac:dyDescent="0.45">
      <c r="A952" s="490">
        <v>50</v>
      </c>
      <c r="B952" s="108">
        <v>262.37709999999998</v>
      </c>
      <c r="C952" s="108">
        <v>264.5</v>
      </c>
      <c r="D952" s="108">
        <f t="shared" si="305"/>
        <v>2.1229000000000156</v>
      </c>
      <c r="E952" s="110">
        <f t="shared" si="307"/>
        <v>6.7600566150000994</v>
      </c>
      <c r="F952" s="2">
        <f t="shared" si="306"/>
        <v>33.800283075000493</v>
      </c>
    </row>
    <row r="953" spans="1:6" ht="15" customHeight="1" x14ac:dyDescent="0.45">
      <c r="A953" s="490">
        <v>51</v>
      </c>
      <c r="B953" s="108">
        <v>263.86970000000002</v>
      </c>
      <c r="C953" s="108">
        <v>264.5</v>
      </c>
      <c r="D953" s="108">
        <f t="shared" si="305"/>
        <v>0.63029999999997699</v>
      </c>
      <c r="E953" s="110">
        <f t="shared" si="307"/>
        <v>0.59591713499995647</v>
      </c>
      <c r="F953" s="2">
        <f t="shared" si="306"/>
        <v>2.9795856749997824</v>
      </c>
    </row>
    <row r="954" spans="1:6" ht="15" customHeight="1" x14ac:dyDescent="0.45">
      <c r="A954" s="490">
        <v>52</v>
      </c>
      <c r="B954" s="108">
        <v>264.4169</v>
      </c>
      <c r="C954" s="108">
        <v>264.5</v>
      </c>
      <c r="D954" s="108">
        <f t="shared" si="305"/>
        <v>8.3100000000001728E-2</v>
      </c>
      <c r="E954" s="110">
        <f t="shared" si="307"/>
        <v>1.0358415000000431E-2</v>
      </c>
      <c r="F954" s="2">
        <f t="shared" si="306"/>
        <v>5.1792075000002158E-2</v>
      </c>
    </row>
    <row r="955" spans="1:6" ht="15" customHeight="1" x14ac:dyDescent="0.45">
      <c r="A955" s="490">
        <v>53</v>
      </c>
      <c r="B955" s="108">
        <v>264.25549999999998</v>
      </c>
      <c r="C955" s="108">
        <v>264.5</v>
      </c>
      <c r="D955" s="108">
        <f t="shared" si="305"/>
        <v>0.24450000000001637</v>
      </c>
      <c r="E955" s="110">
        <f t="shared" si="307"/>
        <v>8.9670375000012015E-2</v>
      </c>
      <c r="F955" s="2">
        <f t="shared" si="306"/>
        <v>0.44835187500006007</v>
      </c>
    </row>
    <row r="956" spans="1:6" ht="15" customHeight="1" x14ac:dyDescent="0.45">
      <c r="A956" s="490">
        <v>54</v>
      </c>
      <c r="B956" s="108">
        <v>263.73219999999998</v>
      </c>
      <c r="C956" s="108">
        <v>264.5</v>
      </c>
      <c r="D956" s="108">
        <f t="shared" si="305"/>
        <v>0.76780000000002246</v>
      </c>
      <c r="E956" s="110">
        <f t="shared" si="307"/>
        <v>0.88427526000005163</v>
      </c>
      <c r="F956" s="2">
        <f t="shared" si="306"/>
        <v>4.4213763000002579</v>
      </c>
    </row>
    <row r="957" spans="1:6" ht="15" customHeight="1" x14ac:dyDescent="0.45">
      <c r="A957" s="490">
        <v>55</v>
      </c>
      <c r="B957" s="108">
        <v>264.21859999999998</v>
      </c>
      <c r="C957" s="108">
        <v>264.5</v>
      </c>
      <c r="D957" s="108">
        <f t="shared" si="305"/>
        <v>0.28140000000001919</v>
      </c>
      <c r="E957" s="110">
        <f t="shared" si="307"/>
        <v>0.11877894000001619</v>
      </c>
      <c r="F957" s="2">
        <f t="shared" si="306"/>
        <v>0.59389470000008093</v>
      </c>
    </row>
    <row r="958" spans="1:6" ht="15" customHeight="1" x14ac:dyDescent="0.45">
      <c r="A958" s="490">
        <v>56</v>
      </c>
      <c r="B958" s="108">
        <v>262.77600000000001</v>
      </c>
      <c r="C958" s="108">
        <v>264.5</v>
      </c>
      <c r="D958" s="108">
        <f t="shared" si="305"/>
        <v>1.7239999999999895</v>
      </c>
      <c r="E958" s="110">
        <f t="shared" si="307"/>
        <v>4.4582639999999456</v>
      </c>
      <c r="F958" s="2">
        <f t="shared" si="306"/>
        <v>22.291319999999729</v>
      </c>
    </row>
    <row r="959" spans="1:6" ht="15" customHeight="1" x14ac:dyDescent="0.45">
      <c r="A959" s="490">
        <v>57</v>
      </c>
      <c r="B959" s="108">
        <v>263.88819999999998</v>
      </c>
      <c r="C959" s="108">
        <v>264.5</v>
      </c>
      <c r="D959" s="108">
        <f t="shared" si="305"/>
        <v>0.61180000000001655</v>
      </c>
      <c r="E959" s="110">
        <f t="shared" si="307"/>
        <v>0.56144886000003036</v>
      </c>
      <c r="F959" s="2">
        <f t="shared" si="306"/>
        <v>2.8072443000001517</v>
      </c>
    </row>
    <row r="960" spans="1:6" ht="15" customHeight="1" x14ac:dyDescent="0.45">
      <c r="A960" s="490">
        <v>58</v>
      </c>
      <c r="B960" s="108">
        <v>264.14609999999999</v>
      </c>
      <c r="C960" s="108">
        <v>264.5</v>
      </c>
      <c r="D960" s="108">
        <f t="shared" si="305"/>
        <v>0.3539000000000101</v>
      </c>
      <c r="E960" s="110">
        <f t="shared" si="307"/>
        <v>0.18786781500001073</v>
      </c>
      <c r="F960" s="2">
        <f t="shared" si="306"/>
        <v>0.93933907500005365</v>
      </c>
    </row>
    <row r="961" spans="1:6" ht="15" customHeight="1" x14ac:dyDescent="0.45">
      <c r="A961" s="490">
        <v>59</v>
      </c>
      <c r="B961" s="108">
        <v>264.12569999999999</v>
      </c>
      <c r="C961" s="108">
        <v>264.5</v>
      </c>
      <c r="D961" s="108">
        <f t="shared" si="305"/>
        <v>0.37430000000000518</v>
      </c>
      <c r="E961" s="110">
        <f t="shared" si="307"/>
        <v>0.21015073500000581</v>
      </c>
      <c r="F961" s="2">
        <f t="shared" si="306"/>
        <v>1.050753675000029</v>
      </c>
    </row>
    <row r="962" spans="1:6" ht="15" customHeight="1" x14ac:dyDescent="0.45">
      <c r="A962" s="490">
        <v>60</v>
      </c>
      <c r="B962" s="108">
        <v>263.62</v>
      </c>
      <c r="C962" s="108">
        <v>264.5</v>
      </c>
      <c r="D962" s="108">
        <f t="shared" si="305"/>
        <v>0.87999999999999545</v>
      </c>
      <c r="E962" s="110">
        <f t="shared" si="307"/>
        <v>1.161599999999988</v>
      </c>
      <c r="F962" s="2">
        <f t="shared" si="306"/>
        <v>5.8079999999999394</v>
      </c>
    </row>
    <row r="963" spans="1:6" ht="15" customHeight="1" x14ac:dyDescent="0.45">
      <c r="A963" s="490">
        <v>61</v>
      </c>
      <c r="B963" s="108">
        <v>264.21409999999997</v>
      </c>
      <c r="C963" s="108">
        <v>264.5</v>
      </c>
      <c r="D963" s="108">
        <f t="shared" si="305"/>
        <v>0.28590000000002647</v>
      </c>
      <c r="E963" s="110">
        <f t="shared" si="307"/>
        <v>0.1226082150000227</v>
      </c>
      <c r="F963" s="2">
        <f t="shared" si="306"/>
        <v>0.61304107500011351</v>
      </c>
    </row>
    <row r="964" spans="1:6" ht="15" customHeight="1" x14ac:dyDescent="0.45">
      <c r="A964" s="490">
        <v>62</v>
      </c>
      <c r="B964" s="108">
        <v>263.59030000000001</v>
      </c>
      <c r="C964" s="108">
        <v>264.5</v>
      </c>
      <c r="D964" s="108">
        <f t="shared" si="305"/>
        <v>0.90969999999998663</v>
      </c>
      <c r="E964" s="110">
        <f t="shared" si="307"/>
        <v>1.2413311349999636</v>
      </c>
      <c r="F964" s="2">
        <f t="shared" si="306"/>
        <v>6.2066556749998183</v>
      </c>
    </row>
    <row r="965" spans="1:6" ht="15" customHeight="1" x14ac:dyDescent="0.45">
      <c r="A965" s="490">
        <v>63</v>
      </c>
      <c r="B965" s="108">
        <v>264.24549999999999</v>
      </c>
      <c r="C965" s="108">
        <v>264.5</v>
      </c>
      <c r="D965" s="108">
        <f t="shared" si="305"/>
        <v>0.25450000000000728</v>
      </c>
      <c r="E965" s="110">
        <f t="shared" si="307"/>
        <v>9.7155375000005567E-2</v>
      </c>
      <c r="F965" s="2">
        <f t="shared" si="306"/>
        <v>0.48577687500002786</v>
      </c>
    </row>
    <row r="966" spans="1:6" ht="15" customHeight="1" x14ac:dyDescent="0.45">
      <c r="A966" s="490">
        <v>64</v>
      </c>
      <c r="B966" s="108">
        <v>264.14550000000003</v>
      </c>
      <c r="C966" s="108">
        <v>264.5</v>
      </c>
      <c r="D966" s="108">
        <f t="shared" si="305"/>
        <v>0.35449999999997317</v>
      </c>
      <c r="E966" s="110">
        <f t="shared" si="307"/>
        <v>0.18850537499997144</v>
      </c>
      <c r="F966" s="2">
        <f t="shared" si="306"/>
        <v>0.94252687499985721</v>
      </c>
    </row>
    <row r="967" spans="1:6" ht="15" customHeight="1" x14ac:dyDescent="0.45">
      <c r="A967" s="490">
        <v>65</v>
      </c>
      <c r="B967" s="108">
        <v>264.04989999999998</v>
      </c>
      <c r="C967" s="108">
        <v>264.5</v>
      </c>
      <c r="D967" s="108">
        <f t="shared" ref="D967:D1030" si="308">C967-B967</f>
        <v>0.45010000000002037</v>
      </c>
      <c r="E967" s="110">
        <f t="shared" si="307"/>
        <v>0.30388501500002751</v>
      </c>
      <c r="F967" s="2">
        <f t="shared" ref="F967:F1030" si="309">E967*5</f>
        <v>1.5194250750001377</v>
      </c>
    </row>
    <row r="968" spans="1:6" ht="15" customHeight="1" x14ac:dyDescent="0.45">
      <c r="A968" s="490">
        <v>66</v>
      </c>
      <c r="B968" s="108">
        <v>264.01010000000002</v>
      </c>
      <c r="C968" s="108">
        <v>264.5</v>
      </c>
      <c r="D968" s="108">
        <f t="shared" si="308"/>
        <v>0.48989999999997735</v>
      </c>
      <c r="E968" s="110">
        <f t="shared" ref="E968:E1031" si="310">IF(D968&gt;0,1.5*D968^2,1.5*0.5^2)</f>
        <v>0.36000301499996673</v>
      </c>
      <c r="F968" s="2">
        <f t="shared" si="309"/>
        <v>1.8000150749998336</v>
      </c>
    </row>
    <row r="969" spans="1:6" ht="15" customHeight="1" x14ac:dyDescent="0.45">
      <c r="A969" s="490">
        <v>67</v>
      </c>
      <c r="B969" s="108">
        <v>264.2595</v>
      </c>
      <c r="C969" s="108">
        <v>264.5</v>
      </c>
      <c r="D969" s="108">
        <f t="shared" si="308"/>
        <v>0.24049999999999727</v>
      </c>
      <c r="E969" s="110">
        <f t="shared" si="310"/>
        <v>8.676037499999803E-2</v>
      </c>
      <c r="F969" s="2">
        <f t="shared" si="309"/>
        <v>0.43380187499999012</v>
      </c>
    </row>
    <row r="970" spans="1:6" ht="15" customHeight="1" x14ac:dyDescent="0.45">
      <c r="A970" s="490">
        <v>68</v>
      </c>
      <c r="B970" s="108">
        <v>264.58280000000002</v>
      </c>
      <c r="C970" s="108">
        <v>264.5</v>
      </c>
      <c r="D970" s="108">
        <f t="shared" si="308"/>
        <v>-8.2800000000020191E-2</v>
      </c>
      <c r="E970" s="110">
        <f t="shared" si="310"/>
        <v>0.375</v>
      </c>
      <c r="F970" s="2">
        <f t="shared" si="309"/>
        <v>1.875</v>
      </c>
    </row>
    <row r="971" spans="1:6" ht="15" customHeight="1" x14ac:dyDescent="0.45">
      <c r="A971" s="490">
        <v>69</v>
      </c>
      <c r="B971" s="108">
        <v>264.88780000000003</v>
      </c>
      <c r="C971" s="108">
        <v>264.5</v>
      </c>
      <c r="D971" s="108">
        <f t="shared" si="308"/>
        <v>-0.38780000000002701</v>
      </c>
      <c r="E971" s="110">
        <f t="shared" si="310"/>
        <v>0.375</v>
      </c>
      <c r="F971" s="2">
        <f t="shared" si="309"/>
        <v>1.875</v>
      </c>
    </row>
    <row r="972" spans="1:6" ht="15" customHeight="1" x14ac:dyDescent="0.45">
      <c r="A972" s="490">
        <v>70</v>
      </c>
      <c r="B972" s="108">
        <v>264.63</v>
      </c>
      <c r="C972" s="108">
        <v>264.5</v>
      </c>
      <c r="D972" s="108">
        <f t="shared" si="308"/>
        <v>-0.12999999999999545</v>
      </c>
      <c r="E972" s="110">
        <f t="shared" si="310"/>
        <v>0.375</v>
      </c>
      <c r="F972" s="2">
        <f t="shared" si="309"/>
        <v>1.875</v>
      </c>
    </row>
    <row r="973" spans="1:6" ht="15" customHeight="1" x14ac:dyDescent="0.45">
      <c r="A973" s="490">
        <v>71</v>
      </c>
      <c r="B973" s="108">
        <v>264.53559999999999</v>
      </c>
      <c r="C973" s="108">
        <v>264.5</v>
      </c>
      <c r="D973" s="108">
        <f t="shared" si="308"/>
        <v>-3.5599999999988086E-2</v>
      </c>
      <c r="E973" s="110">
        <f t="shared" si="310"/>
        <v>0.375</v>
      </c>
      <c r="F973" s="2">
        <f t="shared" si="309"/>
        <v>1.875</v>
      </c>
    </row>
    <row r="974" spans="1:6" ht="15" customHeight="1" x14ac:dyDescent="0.45">
      <c r="A974" s="490">
        <v>72</v>
      </c>
      <c r="B974" s="108">
        <v>264.49250000000001</v>
      </c>
      <c r="C974" s="108">
        <v>264.5</v>
      </c>
      <c r="D974" s="108">
        <f t="shared" si="308"/>
        <v>7.4999999999931788E-3</v>
      </c>
      <c r="E974" s="110">
        <f t="shared" si="310"/>
        <v>8.4374999999846522E-5</v>
      </c>
      <c r="F974" s="2">
        <f t="shared" si="309"/>
        <v>4.218749999992326E-4</v>
      </c>
    </row>
    <row r="975" spans="1:6" ht="15" customHeight="1" x14ac:dyDescent="0.45">
      <c r="A975" s="490">
        <v>73</v>
      </c>
      <c r="B975" s="108">
        <v>264.49919999999997</v>
      </c>
      <c r="C975" s="108">
        <v>264.5</v>
      </c>
      <c r="D975" s="108">
        <f t="shared" si="308"/>
        <v>8.0000000002655725E-4</v>
      </c>
      <c r="E975" s="110">
        <f t="shared" si="310"/>
        <v>9.6000000006373745E-7</v>
      </c>
      <c r="F975" s="2">
        <f t="shared" si="309"/>
        <v>4.8000000003186875E-6</v>
      </c>
    </row>
    <row r="976" spans="1:6" ht="15" customHeight="1" x14ac:dyDescent="0.45">
      <c r="A976" s="490">
        <v>74</v>
      </c>
      <c r="B976" s="108">
        <v>263.7355</v>
      </c>
      <c r="C976" s="108">
        <v>264.5</v>
      </c>
      <c r="D976" s="108">
        <f t="shared" si="308"/>
        <v>0.76449999999999818</v>
      </c>
      <c r="E976" s="110">
        <f t="shared" si="310"/>
        <v>0.87669037499999591</v>
      </c>
      <c r="F976" s="2">
        <f t="shared" si="309"/>
        <v>4.3834518749999791</v>
      </c>
    </row>
    <row r="977" spans="1:6" ht="15" customHeight="1" x14ac:dyDescent="0.45">
      <c r="A977" s="490">
        <v>75</v>
      </c>
      <c r="B977" s="108">
        <v>264.07839999999999</v>
      </c>
      <c r="C977" s="108">
        <v>264.5</v>
      </c>
      <c r="D977" s="108">
        <f t="shared" si="308"/>
        <v>0.42160000000001219</v>
      </c>
      <c r="E977" s="110">
        <f t="shared" si="310"/>
        <v>0.26661984000001537</v>
      </c>
      <c r="F977" s="2">
        <f t="shared" si="309"/>
        <v>1.3330992000000768</v>
      </c>
    </row>
    <row r="978" spans="1:6" ht="15" customHeight="1" x14ac:dyDescent="0.45">
      <c r="A978" s="490">
        <v>76</v>
      </c>
      <c r="B978" s="108">
        <v>264.69029999999998</v>
      </c>
      <c r="C978" s="108">
        <v>264.5</v>
      </c>
      <c r="D978" s="108">
        <f t="shared" si="308"/>
        <v>-0.19029999999997926</v>
      </c>
      <c r="E978" s="110">
        <f t="shared" si="310"/>
        <v>0.375</v>
      </c>
      <c r="F978" s="2">
        <f t="shared" si="309"/>
        <v>1.875</v>
      </c>
    </row>
    <row r="979" spans="1:6" ht="15" customHeight="1" x14ac:dyDescent="0.45">
      <c r="A979" s="490">
        <v>77</v>
      </c>
      <c r="B979" s="108">
        <v>264.19009999999997</v>
      </c>
      <c r="C979" s="108">
        <v>264.5</v>
      </c>
      <c r="D979" s="108">
        <f t="shared" si="308"/>
        <v>0.30990000000002738</v>
      </c>
      <c r="E979" s="110">
        <f t="shared" si="310"/>
        <v>0.14405701500002543</v>
      </c>
      <c r="F979" s="2">
        <f t="shared" si="309"/>
        <v>0.72028507500012717</v>
      </c>
    </row>
    <row r="980" spans="1:6" ht="15" customHeight="1" x14ac:dyDescent="0.45">
      <c r="A980" s="490">
        <v>78</v>
      </c>
      <c r="B980" s="108">
        <v>263.79660000000001</v>
      </c>
      <c r="C980" s="108">
        <v>264.5</v>
      </c>
      <c r="D980" s="108">
        <f t="shared" si="308"/>
        <v>0.70339999999998781</v>
      </c>
      <c r="E980" s="110">
        <f t="shared" si="310"/>
        <v>0.74215733999997424</v>
      </c>
      <c r="F980" s="2">
        <f t="shared" si="309"/>
        <v>3.7107866999998711</v>
      </c>
    </row>
    <row r="981" spans="1:6" ht="15" customHeight="1" x14ac:dyDescent="0.45">
      <c r="A981" s="490">
        <v>79</v>
      </c>
      <c r="B981" s="108">
        <v>263.23169999999999</v>
      </c>
      <c r="C981" s="108">
        <v>264.5</v>
      </c>
      <c r="D981" s="108">
        <f t="shared" si="308"/>
        <v>1.2683000000000106</v>
      </c>
      <c r="E981" s="110">
        <f t="shared" si="310"/>
        <v>2.4128773350000405</v>
      </c>
      <c r="F981" s="2">
        <f t="shared" si="309"/>
        <v>12.064386675000202</v>
      </c>
    </row>
    <row r="982" spans="1:6" ht="15" customHeight="1" x14ac:dyDescent="0.45">
      <c r="A982" s="490">
        <v>80</v>
      </c>
      <c r="B982" s="108">
        <v>263.16989999999998</v>
      </c>
      <c r="C982" s="108">
        <v>264.5</v>
      </c>
      <c r="D982" s="108">
        <f t="shared" si="308"/>
        <v>1.3301000000000158</v>
      </c>
      <c r="E982" s="110">
        <f t="shared" si="310"/>
        <v>2.6537490150000633</v>
      </c>
      <c r="F982" s="2">
        <f t="shared" si="309"/>
        <v>13.268745075000316</v>
      </c>
    </row>
    <row r="983" spans="1:6" ht="15" customHeight="1" x14ac:dyDescent="0.45">
      <c r="A983" s="490">
        <v>81</v>
      </c>
      <c r="B983" s="108">
        <v>263.22820000000002</v>
      </c>
      <c r="C983" s="108">
        <v>264.5</v>
      </c>
      <c r="D983" s="108">
        <f t="shared" si="308"/>
        <v>1.2717999999999847</v>
      </c>
      <c r="E983" s="110">
        <f t="shared" si="310"/>
        <v>2.426212859999942</v>
      </c>
      <c r="F983" s="2">
        <f t="shared" si="309"/>
        <v>12.131064299999711</v>
      </c>
    </row>
    <row r="984" spans="1:6" ht="15" customHeight="1" x14ac:dyDescent="0.45">
      <c r="A984" s="490">
        <v>82</v>
      </c>
      <c r="B984" s="108">
        <v>263.65589999999997</v>
      </c>
      <c r="C984" s="108">
        <v>264.5</v>
      </c>
      <c r="D984" s="108">
        <f t="shared" si="308"/>
        <v>0.84410000000002583</v>
      </c>
      <c r="E984" s="110">
        <f t="shared" si="310"/>
        <v>1.0687572150000655</v>
      </c>
      <c r="F984" s="2">
        <f t="shared" si="309"/>
        <v>5.3437860750003274</v>
      </c>
    </row>
    <row r="985" spans="1:6" ht="15" customHeight="1" x14ac:dyDescent="0.45">
      <c r="A985" s="490">
        <v>83</v>
      </c>
      <c r="B985" s="108">
        <v>261.92919999999998</v>
      </c>
      <c r="C985" s="108">
        <v>264.5</v>
      </c>
      <c r="D985" s="108">
        <f t="shared" si="308"/>
        <v>2.5708000000000197</v>
      </c>
      <c r="E985" s="110">
        <f t="shared" si="310"/>
        <v>9.9135189600001521</v>
      </c>
      <c r="F985" s="2">
        <f t="shared" si="309"/>
        <v>49.567594800000762</v>
      </c>
    </row>
    <row r="986" spans="1:6" ht="15" customHeight="1" x14ac:dyDescent="0.45">
      <c r="A986" s="490">
        <v>84</v>
      </c>
      <c r="B986" s="108">
        <v>263.37979999999999</v>
      </c>
      <c r="C986" s="108">
        <v>264.5</v>
      </c>
      <c r="D986" s="108">
        <f t="shared" si="308"/>
        <v>1.1202000000000112</v>
      </c>
      <c r="E986" s="110">
        <f t="shared" si="310"/>
        <v>1.8822720600000376</v>
      </c>
      <c r="F986" s="2">
        <f t="shared" si="309"/>
        <v>9.4113603000001884</v>
      </c>
    </row>
    <row r="987" spans="1:6" ht="15" customHeight="1" x14ac:dyDescent="0.45">
      <c r="A987" s="490">
        <v>85</v>
      </c>
      <c r="B987" s="108">
        <v>264.12279999999998</v>
      </c>
      <c r="C987" s="108">
        <v>264.5</v>
      </c>
      <c r="D987" s="108">
        <f t="shared" si="308"/>
        <v>0.37720000000001619</v>
      </c>
      <c r="E987" s="110">
        <f t="shared" si="310"/>
        <v>0.2134197600000183</v>
      </c>
      <c r="F987" s="2">
        <f t="shared" si="309"/>
        <v>1.0670988000000916</v>
      </c>
    </row>
    <row r="988" spans="1:6" ht="15" customHeight="1" x14ac:dyDescent="0.45">
      <c r="A988" s="490">
        <v>86</v>
      </c>
      <c r="B988" s="108">
        <v>264.46089999999998</v>
      </c>
      <c r="C988" s="108">
        <v>264.5</v>
      </c>
      <c r="D988" s="108">
        <f t="shared" si="308"/>
        <v>3.9100000000019008E-2</v>
      </c>
      <c r="E988" s="110">
        <f t="shared" si="310"/>
        <v>2.2932150000022295E-3</v>
      </c>
      <c r="F988" s="2">
        <f t="shared" si="309"/>
        <v>1.1466075000011147E-2</v>
      </c>
    </row>
    <row r="989" spans="1:6" ht="15" customHeight="1" x14ac:dyDescent="0.45">
      <c r="A989" s="490">
        <v>87</v>
      </c>
      <c r="B989" s="108">
        <v>263.80200000000002</v>
      </c>
      <c r="C989" s="108">
        <v>264.5</v>
      </c>
      <c r="D989" s="108">
        <f t="shared" si="308"/>
        <v>0.69799999999997908</v>
      </c>
      <c r="E989" s="110">
        <f t="shared" si="310"/>
        <v>0.7308059999999561</v>
      </c>
      <c r="F989" s="2">
        <f t="shared" si="309"/>
        <v>3.6540299999997803</v>
      </c>
    </row>
    <row r="990" spans="1:6" ht="15" customHeight="1" x14ac:dyDescent="0.45">
      <c r="A990" s="490">
        <v>88</v>
      </c>
      <c r="B990" s="108">
        <v>262.03019999999998</v>
      </c>
      <c r="C990" s="108">
        <v>264.5</v>
      </c>
      <c r="D990" s="108">
        <f t="shared" si="308"/>
        <v>2.4698000000000206</v>
      </c>
      <c r="E990" s="110">
        <f t="shared" si="310"/>
        <v>9.1498680600001521</v>
      </c>
      <c r="F990" s="2">
        <f t="shared" si="309"/>
        <v>45.74934030000076</v>
      </c>
    </row>
    <row r="991" spans="1:6" ht="15" customHeight="1" x14ac:dyDescent="0.45">
      <c r="A991" s="490">
        <v>89</v>
      </c>
      <c r="B991" s="108">
        <v>262.58859999999999</v>
      </c>
      <c r="C991" s="108">
        <v>264.5</v>
      </c>
      <c r="D991" s="108">
        <f t="shared" si="308"/>
        <v>1.9114000000000146</v>
      </c>
      <c r="E991" s="110">
        <f t="shared" si="310"/>
        <v>5.4801749400000839</v>
      </c>
      <c r="F991" s="2">
        <f t="shared" si="309"/>
        <v>27.400874700000418</v>
      </c>
    </row>
    <row r="992" spans="1:6" ht="15" customHeight="1" x14ac:dyDescent="0.45">
      <c r="A992" s="490">
        <v>90</v>
      </c>
      <c r="B992" s="108">
        <v>264.10570000000001</v>
      </c>
      <c r="C992" s="108">
        <v>264.5</v>
      </c>
      <c r="D992" s="108">
        <f t="shared" si="308"/>
        <v>0.39429999999998699</v>
      </c>
      <c r="E992" s="110">
        <f t="shared" si="310"/>
        <v>0.23320873499998462</v>
      </c>
      <c r="F992" s="2">
        <f t="shared" si="309"/>
        <v>1.1660436749999232</v>
      </c>
    </row>
    <row r="993" spans="1:6" ht="15" customHeight="1" x14ac:dyDescent="0.45">
      <c r="A993" s="490">
        <v>91</v>
      </c>
      <c r="B993" s="108">
        <v>263.78100000000001</v>
      </c>
      <c r="C993" s="108">
        <v>264.5</v>
      </c>
      <c r="D993" s="108">
        <f t="shared" si="308"/>
        <v>0.71899999999999409</v>
      </c>
      <c r="E993" s="110">
        <f t="shared" si="310"/>
        <v>0.77544149999998724</v>
      </c>
      <c r="F993" s="2">
        <f t="shared" si="309"/>
        <v>3.877207499999936</v>
      </c>
    </row>
    <row r="994" spans="1:6" ht="15" customHeight="1" x14ac:dyDescent="0.45">
      <c r="A994" s="490">
        <v>92</v>
      </c>
      <c r="B994" s="108">
        <v>263.74079999999998</v>
      </c>
      <c r="C994" s="108">
        <v>264.5</v>
      </c>
      <c r="D994" s="108">
        <f t="shared" si="308"/>
        <v>0.75920000000002119</v>
      </c>
      <c r="E994" s="110">
        <f t="shared" si="310"/>
        <v>0.86457696000004836</v>
      </c>
      <c r="F994" s="2">
        <f t="shared" si="309"/>
        <v>4.3228848000002422</v>
      </c>
    </row>
    <row r="995" spans="1:6" ht="15" customHeight="1" x14ac:dyDescent="0.45">
      <c r="A995" s="490">
        <v>93</v>
      </c>
      <c r="B995" s="108">
        <v>263.74439999999998</v>
      </c>
      <c r="C995" s="108">
        <v>264.5</v>
      </c>
      <c r="D995" s="108">
        <f t="shared" si="308"/>
        <v>0.75560000000001537</v>
      </c>
      <c r="E995" s="110">
        <f t="shared" si="310"/>
        <v>0.8563970400000348</v>
      </c>
      <c r="F995" s="2">
        <f t="shared" si="309"/>
        <v>4.2819852000001744</v>
      </c>
    </row>
    <row r="996" spans="1:6" ht="15" customHeight="1" x14ac:dyDescent="0.45">
      <c r="A996" s="490">
        <v>94</v>
      </c>
      <c r="B996" s="108">
        <v>263.50400000000002</v>
      </c>
      <c r="C996" s="108">
        <v>264.5</v>
      </c>
      <c r="D996" s="108">
        <f t="shared" si="308"/>
        <v>0.9959999999999809</v>
      </c>
      <c r="E996" s="110">
        <f t="shared" si="310"/>
        <v>1.4880239999999429</v>
      </c>
      <c r="F996" s="2">
        <f t="shared" si="309"/>
        <v>7.4401199999997143</v>
      </c>
    </row>
    <row r="997" spans="1:6" ht="15" customHeight="1" x14ac:dyDescent="0.45">
      <c r="A997" s="490">
        <v>95</v>
      </c>
      <c r="B997" s="108">
        <v>262.80880000000002</v>
      </c>
      <c r="C997" s="108">
        <v>264.5</v>
      </c>
      <c r="D997" s="108">
        <f t="shared" si="308"/>
        <v>1.6911999999999807</v>
      </c>
      <c r="E997" s="110">
        <f t="shared" si="310"/>
        <v>4.2902361599999024</v>
      </c>
      <c r="F997" s="2">
        <f t="shared" si="309"/>
        <v>21.451180799999513</v>
      </c>
    </row>
    <row r="998" spans="1:6" ht="15" customHeight="1" x14ac:dyDescent="0.45">
      <c r="A998" s="490">
        <v>96</v>
      </c>
      <c r="B998" s="108">
        <v>263.43799999999999</v>
      </c>
      <c r="C998" s="108">
        <v>264.5</v>
      </c>
      <c r="D998" s="108">
        <f t="shared" si="308"/>
        <v>1.0620000000000118</v>
      </c>
      <c r="E998" s="110">
        <f t="shared" si="310"/>
        <v>1.6917660000000376</v>
      </c>
      <c r="F998" s="2">
        <f t="shared" si="309"/>
        <v>8.4588300000001873</v>
      </c>
    </row>
    <row r="999" spans="1:6" ht="15" customHeight="1" x14ac:dyDescent="0.45">
      <c r="A999" s="490">
        <v>97</v>
      </c>
      <c r="B999" s="108">
        <v>263.80470000000003</v>
      </c>
      <c r="C999" s="108">
        <v>264.5</v>
      </c>
      <c r="D999" s="108">
        <f t="shared" si="308"/>
        <v>0.69529999999997472</v>
      </c>
      <c r="E999" s="110">
        <f t="shared" si="310"/>
        <v>0.72516313499994722</v>
      </c>
      <c r="F999" s="2">
        <f t="shared" si="309"/>
        <v>3.6258156749997363</v>
      </c>
    </row>
    <row r="1000" spans="1:6" ht="15" customHeight="1" x14ac:dyDescent="0.45">
      <c r="A1000" s="490">
        <v>98</v>
      </c>
      <c r="B1000" s="108">
        <v>263.86770000000001</v>
      </c>
      <c r="C1000" s="108">
        <v>264.5</v>
      </c>
      <c r="D1000" s="108">
        <f t="shared" si="308"/>
        <v>0.63229999999998654</v>
      </c>
      <c r="E1000" s="110">
        <f t="shared" si="310"/>
        <v>0.59970493499997446</v>
      </c>
      <c r="F1000" s="2">
        <f t="shared" si="309"/>
        <v>2.9985246749998722</v>
      </c>
    </row>
    <row r="1001" spans="1:6" ht="15" customHeight="1" x14ac:dyDescent="0.45">
      <c r="A1001" s="490">
        <v>99</v>
      </c>
      <c r="B1001" s="108">
        <v>263.25259999999997</v>
      </c>
      <c r="C1001" s="108">
        <v>264.5</v>
      </c>
      <c r="D1001" s="108">
        <f t="shared" si="308"/>
        <v>1.2474000000000274</v>
      </c>
      <c r="E1001" s="110">
        <f t="shared" si="310"/>
        <v>2.3340101400001023</v>
      </c>
      <c r="F1001" s="2">
        <f t="shared" si="309"/>
        <v>11.670050700000512</v>
      </c>
    </row>
    <row r="1002" spans="1:6" ht="15" customHeight="1" x14ac:dyDescent="0.45">
      <c r="A1002" s="490">
        <v>100</v>
      </c>
      <c r="B1002" s="108">
        <v>264.55099999999999</v>
      </c>
      <c r="C1002" s="108">
        <v>264.5</v>
      </c>
      <c r="D1002" s="108">
        <f t="shared" si="308"/>
        <v>-5.0999999999987722E-2</v>
      </c>
      <c r="E1002" s="110">
        <f t="shared" si="310"/>
        <v>0.375</v>
      </c>
      <c r="F1002" s="2">
        <f t="shared" si="309"/>
        <v>1.875</v>
      </c>
    </row>
    <row r="1003" spans="1:6" ht="15" customHeight="1" x14ac:dyDescent="0.45">
      <c r="A1003" s="490">
        <v>101</v>
      </c>
      <c r="B1003" s="108">
        <v>264.21390000000002</v>
      </c>
      <c r="C1003" s="108">
        <v>264.5</v>
      </c>
      <c r="D1003" s="108">
        <f t="shared" si="308"/>
        <v>0.28609999999997626</v>
      </c>
      <c r="E1003" s="110">
        <f t="shared" si="310"/>
        <v>0.12277981499997964</v>
      </c>
      <c r="F1003" s="2">
        <f t="shared" si="309"/>
        <v>0.61389907499989826</v>
      </c>
    </row>
    <row r="1004" spans="1:6" ht="15" customHeight="1" x14ac:dyDescent="0.45">
      <c r="A1004" s="490">
        <v>102</v>
      </c>
      <c r="B1004" s="108">
        <v>264.45949999999999</v>
      </c>
      <c r="C1004" s="108">
        <v>264.5</v>
      </c>
      <c r="D1004" s="108">
        <f t="shared" si="308"/>
        <v>4.050000000000864E-2</v>
      </c>
      <c r="E1004" s="110">
        <f t="shared" si="310"/>
        <v>2.4603750000010498E-3</v>
      </c>
      <c r="F1004" s="2">
        <f t="shared" si="309"/>
        <v>1.230187500000525E-2</v>
      </c>
    </row>
    <row r="1005" spans="1:6" ht="15" customHeight="1" x14ac:dyDescent="0.45">
      <c r="A1005" s="490">
        <v>103</v>
      </c>
      <c r="B1005" s="108">
        <v>264.3032</v>
      </c>
      <c r="C1005" s="108">
        <v>264.5</v>
      </c>
      <c r="D1005" s="108">
        <f t="shared" si="308"/>
        <v>0.19679999999999609</v>
      </c>
      <c r="E1005" s="110">
        <f t="shared" si="310"/>
        <v>5.8095359999997688E-2</v>
      </c>
      <c r="F1005" s="2">
        <f t="shared" si="309"/>
        <v>0.29047679999998843</v>
      </c>
    </row>
    <row r="1006" spans="1:6" ht="15" customHeight="1" x14ac:dyDescent="0.45">
      <c r="A1006" s="490">
        <v>104</v>
      </c>
      <c r="B1006" s="108">
        <v>263.74059999999997</v>
      </c>
      <c r="C1006" s="108">
        <v>264.5</v>
      </c>
      <c r="D1006" s="108">
        <f t="shared" si="308"/>
        <v>0.75940000000002783</v>
      </c>
      <c r="E1006" s="110">
        <f t="shared" si="310"/>
        <v>0.86503254000006347</v>
      </c>
      <c r="F1006" s="2">
        <f t="shared" si="309"/>
        <v>4.325162700000317</v>
      </c>
    </row>
    <row r="1007" spans="1:6" ht="15" customHeight="1" x14ac:dyDescent="0.45">
      <c r="A1007" s="490">
        <v>105</v>
      </c>
      <c r="B1007" s="108">
        <v>263.73950000000002</v>
      </c>
      <c r="C1007" s="108">
        <v>264.5</v>
      </c>
      <c r="D1007" s="108">
        <f t="shared" si="308"/>
        <v>0.76049999999997908</v>
      </c>
      <c r="E1007" s="110">
        <f t="shared" si="310"/>
        <v>0.86754037499995218</v>
      </c>
      <c r="F1007" s="2">
        <f t="shared" si="309"/>
        <v>4.3377018749997607</v>
      </c>
    </row>
    <row r="1008" spans="1:6" ht="15" customHeight="1" x14ac:dyDescent="0.45">
      <c r="A1008" s="490">
        <v>106</v>
      </c>
      <c r="B1008" s="108">
        <v>263.72379999999998</v>
      </c>
      <c r="C1008" s="108">
        <v>264.5</v>
      </c>
      <c r="D1008" s="108">
        <f t="shared" si="308"/>
        <v>0.7762000000000171</v>
      </c>
      <c r="E1008" s="110">
        <f t="shared" si="310"/>
        <v>0.90372966000003974</v>
      </c>
      <c r="F1008" s="2">
        <f t="shared" si="309"/>
        <v>4.5186483000001987</v>
      </c>
    </row>
    <row r="1009" spans="1:6" ht="15" customHeight="1" x14ac:dyDescent="0.45">
      <c r="A1009" s="490">
        <v>107</v>
      </c>
      <c r="B1009" s="108">
        <v>264.24439999999998</v>
      </c>
      <c r="C1009" s="108">
        <v>264.5</v>
      </c>
      <c r="D1009" s="108">
        <f t="shared" si="308"/>
        <v>0.25560000000001537</v>
      </c>
      <c r="E1009" s="110">
        <f t="shared" si="310"/>
        <v>9.799704000001179E-2</v>
      </c>
      <c r="F1009" s="2">
        <f t="shared" si="309"/>
        <v>0.48998520000005896</v>
      </c>
    </row>
    <row r="1010" spans="1:6" ht="15" customHeight="1" x14ac:dyDescent="0.45">
      <c r="A1010" s="490">
        <v>108</v>
      </c>
      <c r="B1010" s="108">
        <v>264.63749999999999</v>
      </c>
      <c r="C1010" s="108">
        <v>264.5</v>
      </c>
      <c r="D1010" s="108">
        <f t="shared" si="308"/>
        <v>-0.13749999999998863</v>
      </c>
      <c r="E1010" s="110">
        <f t="shared" si="310"/>
        <v>0.375</v>
      </c>
      <c r="F1010" s="2">
        <f t="shared" si="309"/>
        <v>1.875</v>
      </c>
    </row>
    <row r="1011" spans="1:6" ht="15" customHeight="1" x14ac:dyDescent="0.45">
      <c r="A1011" s="490">
        <v>109</v>
      </c>
      <c r="B1011" s="108">
        <v>264.4366</v>
      </c>
      <c r="C1011" s="108">
        <v>264.5</v>
      </c>
      <c r="D1011" s="108">
        <f t="shared" si="308"/>
        <v>6.3400000000001455E-2</v>
      </c>
      <c r="E1011" s="110">
        <f t="shared" si="310"/>
        <v>6.0293400000002769E-3</v>
      </c>
      <c r="F1011" s="2">
        <f t="shared" si="309"/>
        <v>3.0146700000001386E-2</v>
      </c>
    </row>
    <row r="1012" spans="1:6" ht="15" customHeight="1" x14ac:dyDescent="0.45">
      <c r="A1012" s="490">
        <v>110</v>
      </c>
      <c r="B1012" s="108">
        <v>263.43520000000001</v>
      </c>
      <c r="C1012" s="108">
        <v>264.5</v>
      </c>
      <c r="D1012" s="108">
        <f t="shared" si="308"/>
        <v>1.0647999999999911</v>
      </c>
      <c r="E1012" s="110">
        <f t="shared" si="310"/>
        <v>1.7006985599999718</v>
      </c>
      <c r="F1012" s="2">
        <f t="shared" si="309"/>
        <v>8.503492799999858</v>
      </c>
    </row>
    <row r="1013" spans="1:6" ht="15" customHeight="1" x14ac:dyDescent="0.45">
      <c r="A1013" s="490">
        <v>111</v>
      </c>
      <c r="B1013" s="108">
        <v>263.5625</v>
      </c>
      <c r="C1013" s="108">
        <v>264.5</v>
      </c>
      <c r="D1013" s="108">
        <f t="shared" si="308"/>
        <v>0.9375</v>
      </c>
      <c r="E1013" s="110">
        <f t="shared" si="310"/>
        <v>1.318359375</v>
      </c>
      <c r="F1013" s="2">
        <f t="shared" si="309"/>
        <v>6.591796875</v>
      </c>
    </row>
    <row r="1014" spans="1:6" ht="15" customHeight="1" x14ac:dyDescent="0.45">
      <c r="A1014" s="490">
        <v>112</v>
      </c>
      <c r="B1014" s="108">
        <v>264.22070000000002</v>
      </c>
      <c r="C1014" s="108">
        <v>264.5</v>
      </c>
      <c r="D1014" s="108">
        <f t="shared" si="308"/>
        <v>0.2792999999999779</v>
      </c>
      <c r="E1014" s="110">
        <f t="shared" si="310"/>
        <v>0.11701273499998147</v>
      </c>
      <c r="F1014" s="2">
        <f t="shared" si="309"/>
        <v>0.5850636749999073</v>
      </c>
    </row>
    <row r="1015" spans="1:6" ht="15" customHeight="1" x14ac:dyDescent="0.45">
      <c r="A1015" s="490">
        <v>113</v>
      </c>
      <c r="B1015" s="108">
        <v>263.98039999999997</v>
      </c>
      <c r="C1015" s="108">
        <v>264.5</v>
      </c>
      <c r="D1015" s="108">
        <f t="shared" si="308"/>
        <v>0.51960000000002537</v>
      </c>
      <c r="E1015" s="110">
        <f t="shared" si="310"/>
        <v>0.40497624000003962</v>
      </c>
      <c r="F1015" s="2">
        <f t="shared" si="309"/>
        <v>2.0248812000001983</v>
      </c>
    </row>
    <row r="1016" spans="1:6" ht="15" customHeight="1" x14ac:dyDescent="0.45">
      <c r="A1016" s="490">
        <v>114</v>
      </c>
      <c r="B1016" s="108">
        <v>263.9348</v>
      </c>
      <c r="C1016" s="108">
        <v>264.5</v>
      </c>
      <c r="D1016" s="108">
        <f t="shared" si="308"/>
        <v>0.56520000000000437</v>
      </c>
      <c r="E1016" s="110">
        <f t="shared" si="310"/>
        <v>0.47917656000000741</v>
      </c>
      <c r="F1016" s="2">
        <f t="shared" si="309"/>
        <v>2.3958828000000372</v>
      </c>
    </row>
    <row r="1017" spans="1:6" ht="15" customHeight="1" x14ac:dyDescent="0.45">
      <c r="A1017" s="490">
        <v>115</v>
      </c>
      <c r="B1017" s="108">
        <v>264.13380000000001</v>
      </c>
      <c r="C1017" s="108">
        <v>264.5</v>
      </c>
      <c r="D1017" s="108">
        <f t="shared" si="308"/>
        <v>0.36619999999999209</v>
      </c>
      <c r="E1017" s="110">
        <f t="shared" si="310"/>
        <v>0.20115365999999132</v>
      </c>
      <c r="F1017" s="2">
        <f t="shared" si="309"/>
        <v>1.0057682999999566</v>
      </c>
    </row>
    <row r="1018" spans="1:6" ht="15" customHeight="1" x14ac:dyDescent="0.45">
      <c r="A1018" s="490">
        <v>116</v>
      </c>
      <c r="B1018" s="108">
        <v>263.49630000000002</v>
      </c>
      <c r="C1018" s="108">
        <v>264.5</v>
      </c>
      <c r="D1018" s="108">
        <f t="shared" si="308"/>
        <v>1.0036999999999807</v>
      </c>
      <c r="E1018" s="110">
        <f t="shared" si="310"/>
        <v>1.5111205349999419</v>
      </c>
      <c r="F1018" s="2">
        <f t="shared" si="309"/>
        <v>7.5556026749997098</v>
      </c>
    </row>
    <row r="1019" spans="1:6" ht="15" customHeight="1" x14ac:dyDescent="0.45">
      <c r="A1019" s="490">
        <v>117</v>
      </c>
      <c r="B1019" s="108">
        <v>263.56139999999999</v>
      </c>
      <c r="C1019" s="108">
        <v>264.5</v>
      </c>
      <c r="D1019" s="108">
        <f t="shared" si="308"/>
        <v>0.93860000000000809</v>
      </c>
      <c r="E1019" s="110">
        <f t="shared" si="310"/>
        <v>1.3214549400000228</v>
      </c>
      <c r="F1019" s="2">
        <f t="shared" si="309"/>
        <v>6.6072747000001142</v>
      </c>
    </row>
    <row r="1020" spans="1:6" ht="15" customHeight="1" x14ac:dyDescent="0.45">
      <c r="A1020" s="490">
        <v>118</v>
      </c>
      <c r="B1020" s="108">
        <v>263.97859999999997</v>
      </c>
      <c r="C1020" s="108">
        <v>264.5</v>
      </c>
      <c r="D1020" s="108">
        <f t="shared" si="308"/>
        <v>0.52140000000002829</v>
      </c>
      <c r="E1020" s="110">
        <f t="shared" si="310"/>
        <v>0.40778694000004423</v>
      </c>
      <c r="F1020" s="2">
        <f t="shared" si="309"/>
        <v>2.0389347000002211</v>
      </c>
    </row>
    <row r="1021" spans="1:6" ht="15" customHeight="1" x14ac:dyDescent="0.45">
      <c r="A1021" s="490">
        <v>119</v>
      </c>
      <c r="B1021" s="108">
        <v>263.89580000000001</v>
      </c>
      <c r="C1021" s="108">
        <v>264.5</v>
      </c>
      <c r="D1021" s="108">
        <f t="shared" si="308"/>
        <v>0.60419999999999163</v>
      </c>
      <c r="E1021" s="110">
        <f t="shared" si="310"/>
        <v>0.5475864599999849</v>
      </c>
      <c r="F1021" s="2">
        <f t="shared" si="309"/>
        <v>2.7379322999999243</v>
      </c>
    </row>
    <row r="1022" spans="1:6" ht="15" customHeight="1" x14ac:dyDescent="0.45">
      <c r="A1022" s="490">
        <v>120</v>
      </c>
      <c r="B1022" s="108">
        <v>263.7054</v>
      </c>
      <c r="C1022" s="108">
        <v>264.5</v>
      </c>
      <c r="D1022" s="108">
        <f t="shared" si="308"/>
        <v>0.79460000000000264</v>
      </c>
      <c r="E1022" s="110">
        <f t="shared" si="310"/>
        <v>0.94708374000000628</v>
      </c>
      <c r="F1022" s="2">
        <f t="shared" si="309"/>
        <v>4.7354187000000314</v>
      </c>
    </row>
    <row r="1023" spans="1:6" ht="15" customHeight="1" x14ac:dyDescent="0.45">
      <c r="A1023" s="490">
        <v>121</v>
      </c>
      <c r="B1023" s="108">
        <v>264.18270000000001</v>
      </c>
      <c r="C1023" s="108">
        <v>264.5</v>
      </c>
      <c r="D1023" s="108">
        <f t="shared" si="308"/>
        <v>0.31729999999998881</v>
      </c>
      <c r="E1023" s="110">
        <f t="shared" si="310"/>
        <v>0.15101893499998936</v>
      </c>
      <c r="F1023" s="2">
        <f t="shared" si="309"/>
        <v>0.75509467499994676</v>
      </c>
    </row>
    <row r="1024" spans="1:6" ht="15" customHeight="1" x14ac:dyDescent="0.45">
      <c r="A1024" s="490">
        <v>122</v>
      </c>
      <c r="B1024" s="108">
        <v>264.23750000000001</v>
      </c>
      <c r="C1024" s="108">
        <v>264.5</v>
      </c>
      <c r="D1024" s="108">
        <f t="shared" si="308"/>
        <v>0.26249999999998863</v>
      </c>
      <c r="E1024" s="110">
        <f t="shared" si="310"/>
        <v>0.10335937499999105</v>
      </c>
      <c r="F1024" s="2">
        <f t="shared" si="309"/>
        <v>0.5167968749999553</v>
      </c>
    </row>
    <row r="1025" spans="1:6" ht="15" customHeight="1" x14ac:dyDescent="0.45">
      <c r="A1025" s="490">
        <v>123</v>
      </c>
      <c r="B1025" s="108">
        <v>264.7285</v>
      </c>
      <c r="C1025" s="108">
        <v>264.5</v>
      </c>
      <c r="D1025" s="108">
        <f t="shared" si="308"/>
        <v>-0.22849999999999682</v>
      </c>
      <c r="E1025" s="110">
        <f t="shared" si="310"/>
        <v>0.375</v>
      </c>
      <c r="F1025" s="2">
        <f t="shared" si="309"/>
        <v>1.875</v>
      </c>
    </row>
    <row r="1026" spans="1:6" ht="15" customHeight="1" x14ac:dyDescent="0.45">
      <c r="A1026" s="490">
        <v>124</v>
      </c>
      <c r="B1026" s="108">
        <v>263.8845</v>
      </c>
      <c r="C1026" s="108">
        <v>264.5</v>
      </c>
      <c r="D1026" s="108">
        <f t="shared" si="308"/>
        <v>0.61549999999999727</v>
      </c>
      <c r="E1026" s="110">
        <f t="shared" si="310"/>
        <v>0.56826037499999504</v>
      </c>
      <c r="F1026" s="2">
        <f t="shared" si="309"/>
        <v>2.8413018749999752</v>
      </c>
    </row>
    <row r="1027" spans="1:6" ht="15" customHeight="1" x14ac:dyDescent="0.45">
      <c r="A1027" s="490">
        <v>125</v>
      </c>
      <c r="B1027" s="108">
        <v>263.90179999999998</v>
      </c>
      <c r="C1027" s="108">
        <v>264.5</v>
      </c>
      <c r="D1027" s="108">
        <f t="shared" si="308"/>
        <v>0.59820000000001983</v>
      </c>
      <c r="E1027" s="110">
        <f t="shared" si="310"/>
        <v>0.53676486000003554</v>
      </c>
      <c r="F1027" s="2">
        <f t="shared" si="309"/>
        <v>2.6838243000001776</v>
      </c>
    </row>
    <row r="1028" spans="1:6" ht="15" customHeight="1" x14ac:dyDescent="0.45">
      <c r="A1028" s="490">
        <v>126</v>
      </c>
      <c r="B1028" s="108">
        <v>263.35820000000001</v>
      </c>
      <c r="C1028" s="108">
        <v>264.5</v>
      </c>
      <c r="D1028" s="108">
        <f t="shared" si="308"/>
        <v>1.1417999999999893</v>
      </c>
      <c r="E1028" s="110">
        <f t="shared" si="310"/>
        <v>1.955560859999963</v>
      </c>
      <c r="F1028" s="2">
        <f t="shared" si="309"/>
        <v>9.7778042999998149</v>
      </c>
    </row>
    <row r="1029" spans="1:6" ht="15" customHeight="1" x14ac:dyDescent="0.45">
      <c r="A1029" s="490">
        <v>127</v>
      </c>
      <c r="B1029" s="108">
        <v>263.44029999999998</v>
      </c>
      <c r="C1029" s="108">
        <v>264.5</v>
      </c>
      <c r="D1029" s="108">
        <f t="shared" si="308"/>
        <v>1.0597000000000207</v>
      </c>
      <c r="E1029" s="110">
        <f t="shared" si="310"/>
        <v>1.6844461350000659</v>
      </c>
      <c r="F1029" s="2">
        <f t="shared" si="309"/>
        <v>8.4222306750003302</v>
      </c>
    </row>
    <row r="1030" spans="1:6" ht="15" customHeight="1" x14ac:dyDescent="0.45">
      <c r="A1030" s="490">
        <v>128</v>
      </c>
      <c r="B1030" s="108">
        <v>263.27890000000002</v>
      </c>
      <c r="C1030" s="108">
        <v>264.5</v>
      </c>
      <c r="D1030" s="108">
        <f t="shared" si="308"/>
        <v>1.2210999999999785</v>
      </c>
      <c r="E1030" s="110">
        <f t="shared" si="310"/>
        <v>2.2366278149999212</v>
      </c>
      <c r="F1030" s="2">
        <f t="shared" si="309"/>
        <v>11.183139074999605</v>
      </c>
    </row>
    <row r="1031" spans="1:6" ht="15" customHeight="1" x14ac:dyDescent="0.45">
      <c r="A1031" s="490">
        <v>129</v>
      </c>
      <c r="B1031" s="108">
        <v>264.08999999999997</v>
      </c>
      <c r="C1031" s="108">
        <v>264.5</v>
      </c>
      <c r="D1031" s="108">
        <f t="shared" ref="D1031:D1094" si="311">C1031-B1031</f>
        <v>0.41000000000002501</v>
      </c>
      <c r="E1031" s="110">
        <f t="shared" si="310"/>
        <v>0.25215000000003074</v>
      </c>
      <c r="F1031" s="2">
        <f t="shared" ref="F1031:F1094" si="312">E1031*5</f>
        <v>1.2607500000001537</v>
      </c>
    </row>
    <row r="1032" spans="1:6" ht="15" customHeight="1" x14ac:dyDescent="0.45">
      <c r="A1032" s="490">
        <v>130</v>
      </c>
      <c r="B1032" s="108">
        <v>263.97019999999998</v>
      </c>
      <c r="C1032" s="108">
        <v>264.5</v>
      </c>
      <c r="D1032" s="108">
        <f t="shared" si="311"/>
        <v>0.52980000000002292</v>
      </c>
      <c r="E1032" s="110">
        <f t="shared" ref="E1032:E1095" si="313">IF(D1032&gt;0,1.5*D1032^2,1.5*0.5^2)</f>
        <v>0.42103206000003646</v>
      </c>
      <c r="F1032" s="2">
        <f t="shared" si="312"/>
        <v>2.1051603000001822</v>
      </c>
    </row>
    <row r="1033" spans="1:6" ht="15" customHeight="1" x14ac:dyDescent="0.45">
      <c r="A1033" s="490">
        <v>131</v>
      </c>
      <c r="B1033" s="108">
        <v>264.02730000000003</v>
      </c>
      <c r="C1033" s="108">
        <v>264.5</v>
      </c>
      <c r="D1033" s="108">
        <f t="shared" si="311"/>
        <v>0.47269999999997481</v>
      </c>
      <c r="E1033" s="110">
        <f t="shared" si="313"/>
        <v>0.33516793499996428</v>
      </c>
      <c r="F1033" s="2">
        <f t="shared" si="312"/>
        <v>1.6758396749998214</v>
      </c>
    </row>
    <row r="1034" spans="1:6" ht="15" customHeight="1" x14ac:dyDescent="0.45">
      <c r="A1034" s="490">
        <v>132</v>
      </c>
      <c r="B1034" s="108">
        <v>263.96589999999998</v>
      </c>
      <c r="C1034" s="108">
        <v>264.5</v>
      </c>
      <c r="D1034" s="108">
        <f t="shared" si="311"/>
        <v>0.53410000000002356</v>
      </c>
      <c r="E1034" s="110">
        <f t="shared" si="313"/>
        <v>0.42789421500003777</v>
      </c>
      <c r="F1034" s="2">
        <f t="shared" si="312"/>
        <v>2.1394710750001886</v>
      </c>
    </row>
    <row r="1035" spans="1:6" ht="15" customHeight="1" x14ac:dyDescent="0.45">
      <c r="A1035" s="490">
        <v>133</v>
      </c>
      <c r="B1035" s="108">
        <v>263.85660000000001</v>
      </c>
      <c r="C1035" s="108">
        <v>264.5</v>
      </c>
      <c r="D1035" s="108">
        <f t="shared" si="311"/>
        <v>0.64339999999998554</v>
      </c>
      <c r="E1035" s="110">
        <f t="shared" si="313"/>
        <v>0.62094533999997215</v>
      </c>
      <c r="F1035" s="2">
        <f t="shared" si="312"/>
        <v>3.1047266999998606</v>
      </c>
    </row>
    <row r="1036" spans="1:6" ht="15" customHeight="1" x14ac:dyDescent="0.45">
      <c r="A1036" s="490">
        <v>134</v>
      </c>
      <c r="B1036" s="108">
        <v>263.18</v>
      </c>
      <c r="C1036" s="108">
        <v>264.5</v>
      </c>
      <c r="D1036" s="108">
        <f t="shared" si="311"/>
        <v>1.3199999999999932</v>
      </c>
      <c r="E1036" s="110">
        <f t="shared" si="313"/>
        <v>2.6135999999999728</v>
      </c>
      <c r="F1036" s="2">
        <f t="shared" si="312"/>
        <v>13.067999999999865</v>
      </c>
    </row>
    <row r="1037" spans="1:6" ht="15" customHeight="1" x14ac:dyDescent="0.45">
      <c r="A1037" s="490">
        <v>135</v>
      </c>
      <c r="B1037" s="108">
        <v>264.05470000000003</v>
      </c>
      <c r="C1037" s="108">
        <v>264.5</v>
      </c>
      <c r="D1037" s="108">
        <f t="shared" si="311"/>
        <v>0.44529999999997472</v>
      </c>
      <c r="E1037" s="110">
        <f t="shared" si="313"/>
        <v>0.29743813499996624</v>
      </c>
      <c r="F1037" s="2">
        <f t="shared" si="312"/>
        <v>1.4871906749998312</v>
      </c>
    </row>
    <row r="1038" spans="1:6" ht="15" customHeight="1" x14ac:dyDescent="0.45">
      <c r="A1038" s="490">
        <v>136</v>
      </c>
      <c r="B1038" s="108">
        <v>263.41520000000003</v>
      </c>
      <c r="C1038" s="108">
        <v>264.5</v>
      </c>
      <c r="D1038" s="108">
        <f t="shared" si="311"/>
        <v>1.0847999999999729</v>
      </c>
      <c r="E1038" s="110">
        <f t="shared" si="313"/>
        <v>1.7651865599999119</v>
      </c>
      <c r="F1038" s="2">
        <f t="shared" si="312"/>
        <v>8.8259327999995598</v>
      </c>
    </row>
    <row r="1039" spans="1:6" ht="15" customHeight="1" x14ac:dyDescent="0.45">
      <c r="A1039" s="490">
        <v>137</v>
      </c>
      <c r="B1039" s="108">
        <v>263.32859999999999</v>
      </c>
      <c r="C1039" s="108">
        <v>264.5</v>
      </c>
      <c r="D1039" s="108">
        <f t="shared" si="311"/>
        <v>1.1714000000000055</v>
      </c>
      <c r="E1039" s="110">
        <f t="shared" si="313"/>
        <v>2.0582669400000198</v>
      </c>
      <c r="F1039" s="2">
        <f t="shared" si="312"/>
        <v>10.2913347000001</v>
      </c>
    </row>
    <row r="1040" spans="1:6" ht="15" customHeight="1" x14ac:dyDescent="0.45">
      <c r="A1040" s="490">
        <v>138</v>
      </c>
      <c r="B1040" s="108">
        <v>262.83150000000001</v>
      </c>
      <c r="C1040" s="108">
        <v>264.5</v>
      </c>
      <c r="D1040" s="108">
        <f t="shared" si="311"/>
        <v>1.6684999999999945</v>
      </c>
      <c r="E1040" s="110">
        <f t="shared" si="313"/>
        <v>4.175838374999973</v>
      </c>
      <c r="F1040" s="2">
        <f t="shared" si="312"/>
        <v>20.879191874999865</v>
      </c>
    </row>
    <row r="1041" spans="1:6" ht="15" customHeight="1" x14ac:dyDescent="0.45">
      <c r="A1041" s="490">
        <v>139</v>
      </c>
      <c r="B1041" s="108">
        <v>264.02330000000001</v>
      </c>
      <c r="C1041" s="108">
        <v>264.5</v>
      </c>
      <c r="D1041" s="108">
        <f t="shared" si="311"/>
        <v>0.47669999999999391</v>
      </c>
      <c r="E1041" s="110">
        <f t="shared" si="313"/>
        <v>0.3408643349999913</v>
      </c>
      <c r="F1041" s="2">
        <f t="shared" si="312"/>
        <v>1.7043216749999566</v>
      </c>
    </row>
    <row r="1042" spans="1:6" ht="15" customHeight="1" x14ac:dyDescent="0.45">
      <c r="A1042" s="490">
        <v>140</v>
      </c>
      <c r="B1042" s="108">
        <v>263.69760000000002</v>
      </c>
      <c r="C1042" s="108">
        <v>264.5</v>
      </c>
      <c r="D1042" s="108">
        <f t="shared" si="311"/>
        <v>0.80239999999997735</v>
      </c>
      <c r="E1042" s="110">
        <f t="shared" si="313"/>
        <v>0.96576863999994544</v>
      </c>
      <c r="F1042" s="2">
        <f t="shared" si="312"/>
        <v>4.828843199999727</v>
      </c>
    </row>
    <row r="1043" spans="1:6" ht="15" customHeight="1" x14ac:dyDescent="0.45">
      <c r="A1043" s="490">
        <v>141</v>
      </c>
      <c r="B1043" s="108">
        <v>263.95999999999998</v>
      </c>
      <c r="C1043" s="108">
        <v>264.5</v>
      </c>
      <c r="D1043" s="108">
        <f t="shared" si="311"/>
        <v>0.54000000000002046</v>
      </c>
      <c r="E1043" s="110">
        <f t="shared" si="313"/>
        <v>0.43740000000003321</v>
      </c>
      <c r="F1043" s="2">
        <f t="shared" si="312"/>
        <v>2.1870000000001659</v>
      </c>
    </row>
    <row r="1044" spans="1:6" ht="15" customHeight="1" x14ac:dyDescent="0.45">
      <c r="A1044" s="490">
        <v>142</v>
      </c>
      <c r="B1044" s="108">
        <v>263.62189999999998</v>
      </c>
      <c r="C1044" s="108">
        <v>264.5</v>
      </c>
      <c r="D1044" s="108">
        <f t="shared" si="311"/>
        <v>0.87810000000001764</v>
      </c>
      <c r="E1044" s="110">
        <f t="shared" si="313"/>
        <v>1.1565894150000464</v>
      </c>
      <c r="F1044" s="2">
        <f t="shared" si="312"/>
        <v>5.7829470750002319</v>
      </c>
    </row>
    <row r="1045" spans="1:6" ht="15" customHeight="1" x14ac:dyDescent="0.45">
      <c r="A1045" s="490">
        <v>143</v>
      </c>
      <c r="B1045" s="108">
        <v>262.71640000000002</v>
      </c>
      <c r="C1045" s="108">
        <v>264.5</v>
      </c>
      <c r="D1045" s="108">
        <f t="shared" si="311"/>
        <v>1.7835999999999785</v>
      </c>
      <c r="E1045" s="110">
        <f t="shared" si="313"/>
        <v>4.771843439999885</v>
      </c>
      <c r="F1045" s="2">
        <f t="shared" si="312"/>
        <v>23.859217199999424</v>
      </c>
    </row>
    <row r="1046" spans="1:6" ht="15" customHeight="1" x14ac:dyDescent="0.45">
      <c r="A1046" s="490">
        <v>144</v>
      </c>
      <c r="B1046" s="108">
        <v>264.1891</v>
      </c>
      <c r="C1046" s="108">
        <v>264.5</v>
      </c>
      <c r="D1046" s="108">
        <f t="shared" si="311"/>
        <v>0.31090000000000373</v>
      </c>
      <c r="E1046" s="110">
        <f t="shared" si="313"/>
        <v>0.14498821500000347</v>
      </c>
      <c r="F1046" s="2">
        <f t="shared" si="312"/>
        <v>0.72494107500001737</v>
      </c>
    </row>
    <row r="1047" spans="1:6" ht="15" customHeight="1" x14ac:dyDescent="0.45">
      <c r="A1047" s="490">
        <v>145</v>
      </c>
      <c r="B1047" s="108">
        <v>263.94209999999998</v>
      </c>
      <c r="C1047" s="108">
        <v>264.5</v>
      </c>
      <c r="D1047" s="108">
        <f t="shared" si="311"/>
        <v>0.55790000000001783</v>
      </c>
      <c r="E1047" s="110">
        <f t="shared" si="313"/>
        <v>0.46687861500002986</v>
      </c>
      <c r="F1047" s="2">
        <f t="shared" si="312"/>
        <v>2.3343930750001491</v>
      </c>
    </row>
    <row r="1048" spans="1:6" ht="15" customHeight="1" x14ac:dyDescent="0.45">
      <c r="A1048" s="490">
        <v>146</v>
      </c>
      <c r="B1048" s="108">
        <v>263.4436</v>
      </c>
      <c r="C1048" s="108">
        <v>264.5</v>
      </c>
      <c r="D1048" s="108">
        <f t="shared" si="311"/>
        <v>1.0563999999999965</v>
      </c>
      <c r="E1048" s="110">
        <f t="shared" si="313"/>
        <v>1.6739714399999888</v>
      </c>
      <c r="F1048" s="2">
        <f t="shared" si="312"/>
        <v>8.3698571999999434</v>
      </c>
    </row>
    <row r="1049" spans="1:6" ht="15" customHeight="1" x14ac:dyDescent="0.45">
      <c r="A1049" s="490">
        <v>147</v>
      </c>
      <c r="B1049" s="108">
        <v>263.34390000000002</v>
      </c>
      <c r="C1049" s="108">
        <v>264.5</v>
      </c>
      <c r="D1049" s="108">
        <f t="shared" si="311"/>
        <v>1.1560999999999808</v>
      </c>
      <c r="E1049" s="110">
        <f t="shared" si="313"/>
        <v>2.0048508149999336</v>
      </c>
      <c r="F1049" s="2">
        <f t="shared" si="312"/>
        <v>10.024254074999668</v>
      </c>
    </row>
    <row r="1050" spans="1:6" ht="15" customHeight="1" x14ac:dyDescent="0.45">
      <c r="A1050" s="490">
        <v>148</v>
      </c>
      <c r="B1050" s="108">
        <v>262.72329999999999</v>
      </c>
      <c r="C1050" s="108">
        <v>264.5</v>
      </c>
      <c r="D1050" s="108">
        <f t="shared" si="311"/>
        <v>1.7767000000000053</v>
      </c>
      <c r="E1050" s="110">
        <f t="shared" si="313"/>
        <v>4.7349943350000281</v>
      </c>
      <c r="F1050" s="2">
        <f t="shared" si="312"/>
        <v>23.67497167500014</v>
      </c>
    </row>
    <row r="1051" spans="1:6" ht="15" customHeight="1" x14ac:dyDescent="0.45">
      <c r="A1051" s="490">
        <v>149</v>
      </c>
      <c r="B1051" s="108">
        <v>264.20639999999997</v>
      </c>
      <c r="C1051" s="108">
        <v>264.5</v>
      </c>
      <c r="D1051" s="108">
        <f t="shared" si="311"/>
        <v>0.29360000000002628</v>
      </c>
      <c r="E1051" s="110">
        <f t="shared" si="313"/>
        <v>0.12930144000002317</v>
      </c>
      <c r="F1051" s="2">
        <f t="shared" si="312"/>
        <v>0.64650720000011586</v>
      </c>
    </row>
    <row r="1052" spans="1:6" ht="15" customHeight="1" x14ac:dyDescent="0.45">
      <c r="A1052" s="490">
        <v>150</v>
      </c>
      <c r="B1052" s="108">
        <v>262.81130000000002</v>
      </c>
      <c r="C1052" s="108">
        <v>264.5</v>
      </c>
      <c r="D1052" s="108">
        <f t="shared" si="311"/>
        <v>1.688699999999983</v>
      </c>
      <c r="E1052" s="110">
        <f t="shared" si="313"/>
        <v>4.2775615349999141</v>
      </c>
      <c r="F1052" s="2">
        <f t="shared" si="312"/>
        <v>21.387807674999571</v>
      </c>
    </row>
    <row r="1053" spans="1:6" ht="15" customHeight="1" x14ac:dyDescent="0.45">
      <c r="A1053" s="490">
        <v>151</v>
      </c>
      <c r="B1053" s="108">
        <v>263.97899999999998</v>
      </c>
      <c r="C1053" s="108">
        <v>264.5</v>
      </c>
      <c r="D1053" s="108">
        <f t="shared" si="311"/>
        <v>0.52100000000001501</v>
      </c>
      <c r="E1053" s="110">
        <f t="shared" si="313"/>
        <v>0.40716150000002349</v>
      </c>
      <c r="F1053" s="2">
        <f t="shared" si="312"/>
        <v>2.0358075000001175</v>
      </c>
    </row>
    <row r="1054" spans="1:6" ht="15" customHeight="1" x14ac:dyDescent="0.45">
      <c r="A1054" s="490">
        <v>152</v>
      </c>
      <c r="B1054" s="108">
        <v>262.88740000000001</v>
      </c>
      <c r="C1054" s="108">
        <v>264.5</v>
      </c>
      <c r="D1054" s="108">
        <f t="shared" si="311"/>
        <v>1.6125999999999863</v>
      </c>
      <c r="E1054" s="110">
        <f t="shared" si="313"/>
        <v>3.9007181399999338</v>
      </c>
      <c r="F1054" s="2">
        <f t="shared" si="312"/>
        <v>19.50359069999967</v>
      </c>
    </row>
    <row r="1055" spans="1:6" ht="15" customHeight="1" x14ac:dyDescent="0.45">
      <c r="A1055" s="490">
        <v>153</v>
      </c>
      <c r="B1055" s="108">
        <v>263.9751</v>
      </c>
      <c r="C1055" s="108">
        <v>264.5</v>
      </c>
      <c r="D1055" s="108">
        <f t="shared" si="311"/>
        <v>0.52490000000000236</v>
      </c>
      <c r="E1055" s="110">
        <f t="shared" si="313"/>
        <v>0.41328001500000372</v>
      </c>
      <c r="F1055" s="2">
        <f t="shared" si="312"/>
        <v>2.0664000750000184</v>
      </c>
    </row>
    <row r="1056" spans="1:6" ht="15" customHeight="1" x14ac:dyDescent="0.45">
      <c r="A1056" s="490">
        <v>154</v>
      </c>
      <c r="B1056" s="108">
        <v>263.0009</v>
      </c>
      <c r="C1056" s="108">
        <v>264.5</v>
      </c>
      <c r="D1056" s="108">
        <f t="shared" si="311"/>
        <v>1.4990999999999985</v>
      </c>
      <c r="E1056" s="110">
        <f t="shared" si="313"/>
        <v>3.3709512149999936</v>
      </c>
      <c r="F1056" s="2">
        <f t="shared" si="312"/>
        <v>16.854756074999969</v>
      </c>
    </row>
    <row r="1057" spans="1:6" ht="15" customHeight="1" x14ac:dyDescent="0.45">
      <c r="A1057" s="490">
        <v>155</v>
      </c>
      <c r="B1057" s="108">
        <v>264.21050000000002</v>
      </c>
      <c r="C1057" s="108">
        <v>264.5</v>
      </c>
      <c r="D1057" s="108">
        <f t="shared" si="311"/>
        <v>0.28949999999997544</v>
      </c>
      <c r="E1057" s="110">
        <f t="shared" si="313"/>
        <v>0.12571537499997867</v>
      </c>
      <c r="F1057" s="2">
        <f t="shared" si="312"/>
        <v>0.62857687499989334</v>
      </c>
    </row>
    <row r="1058" spans="1:6" ht="15" customHeight="1" x14ac:dyDescent="0.45">
      <c r="A1058" s="490">
        <v>156</v>
      </c>
      <c r="B1058" s="108">
        <v>263.32600000000002</v>
      </c>
      <c r="C1058" s="108">
        <v>264.5</v>
      </c>
      <c r="D1058" s="108">
        <f t="shared" si="311"/>
        <v>1.1739999999999782</v>
      </c>
      <c r="E1058" s="110">
        <f t="shared" si="313"/>
        <v>2.067413999999923</v>
      </c>
      <c r="F1058" s="2">
        <f t="shared" si="312"/>
        <v>10.337069999999615</v>
      </c>
    </row>
    <row r="1059" spans="1:6" ht="15" customHeight="1" x14ac:dyDescent="0.45">
      <c r="A1059" s="490">
        <v>157</v>
      </c>
      <c r="B1059" s="108">
        <v>264.14449999999999</v>
      </c>
      <c r="C1059" s="108">
        <v>264.5</v>
      </c>
      <c r="D1059" s="108">
        <f t="shared" si="311"/>
        <v>0.35550000000000637</v>
      </c>
      <c r="E1059" s="110">
        <f t="shared" si="313"/>
        <v>0.18957037500000679</v>
      </c>
      <c r="F1059" s="2">
        <f t="shared" si="312"/>
        <v>0.94785187500003398</v>
      </c>
    </row>
    <row r="1060" spans="1:6" ht="15" customHeight="1" x14ac:dyDescent="0.45">
      <c r="A1060" s="490">
        <v>158</v>
      </c>
      <c r="B1060" s="108">
        <v>263.32069999999999</v>
      </c>
      <c r="C1060" s="108">
        <v>264.5</v>
      </c>
      <c r="D1060" s="108">
        <f t="shared" si="311"/>
        <v>1.179300000000012</v>
      </c>
      <c r="E1060" s="110">
        <f t="shared" si="313"/>
        <v>2.0861227350000426</v>
      </c>
      <c r="F1060" s="2">
        <f t="shared" si="312"/>
        <v>10.430613675000213</v>
      </c>
    </row>
    <row r="1061" spans="1:6" ht="15" customHeight="1" x14ac:dyDescent="0.45">
      <c r="A1061" s="490">
        <v>159</v>
      </c>
      <c r="B1061" s="108">
        <v>264.13330000000002</v>
      </c>
      <c r="C1061" s="108">
        <v>264.5</v>
      </c>
      <c r="D1061" s="108">
        <f t="shared" si="311"/>
        <v>0.36669999999998026</v>
      </c>
      <c r="E1061" s="110">
        <f t="shared" si="313"/>
        <v>0.20170333499997828</v>
      </c>
      <c r="F1061" s="2">
        <f t="shared" si="312"/>
        <v>1.0085166749998913</v>
      </c>
    </row>
    <row r="1062" spans="1:6" ht="15" customHeight="1" x14ac:dyDescent="0.45">
      <c r="A1062" s="490">
        <v>160</v>
      </c>
      <c r="B1062" s="108">
        <v>263.01549999999997</v>
      </c>
      <c r="C1062" s="108">
        <v>264.5</v>
      </c>
      <c r="D1062" s="108">
        <f t="shared" si="311"/>
        <v>1.4845000000000255</v>
      </c>
      <c r="E1062" s="110">
        <f t="shared" si="313"/>
        <v>3.3056103750001133</v>
      </c>
      <c r="F1062" s="2">
        <f t="shared" si="312"/>
        <v>16.528051875000568</v>
      </c>
    </row>
    <row r="1063" spans="1:6" ht="15" customHeight="1" x14ac:dyDescent="0.45">
      <c r="A1063" s="490">
        <v>161</v>
      </c>
      <c r="B1063" s="108">
        <v>263.89620000000002</v>
      </c>
      <c r="C1063" s="108">
        <v>264.5</v>
      </c>
      <c r="D1063" s="108">
        <f t="shared" si="311"/>
        <v>0.60379999999997835</v>
      </c>
      <c r="E1063" s="110">
        <f t="shared" si="313"/>
        <v>0.54686165999996073</v>
      </c>
      <c r="F1063" s="2">
        <f t="shared" si="312"/>
        <v>2.7343082999998036</v>
      </c>
    </row>
    <row r="1064" spans="1:6" ht="15" customHeight="1" x14ac:dyDescent="0.45">
      <c r="A1064" s="490">
        <v>162</v>
      </c>
      <c r="B1064" s="108">
        <v>262.58109999999999</v>
      </c>
      <c r="C1064" s="108">
        <v>264.5</v>
      </c>
      <c r="D1064" s="108">
        <f t="shared" si="311"/>
        <v>1.9189000000000078</v>
      </c>
      <c r="E1064" s="110">
        <f t="shared" si="313"/>
        <v>5.5232658150000447</v>
      </c>
      <c r="F1064" s="2">
        <f t="shared" si="312"/>
        <v>27.616329075000223</v>
      </c>
    </row>
    <row r="1065" spans="1:6" ht="15" customHeight="1" x14ac:dyDescent="0.45">
      <c r="A1065" s="490">
        <v>163</v>
      </c>
      <c r="B1065" s="108">
        <v>264.38830000000002</v>
      </c>
      <c r="C1065" s="108">
        <v>264.5</v>
      </c>
      <c r="D1065" s="108">
        <f t="shared" si="311"/>
        <v>0.11169999999998481</v>
      </c>
      <c r="E1065" s="110">
        <f t="shared" si="313"/>
        <v>1.871533499999491E-2</v>
      </c>
      <c r="F1065" s="2">
        <f t="shared" si="312"/>
        <v>9.3576674999974546E-2</v>
      </c>
    </row>
    <row r="1066" spans="1:6" ht="15" customHeight="1" x14ac:dyDescent="0.45">
      <c r="A1066" s="490">
        <v>164</v>
      </c>
      <c r="B1066" s="108">
        <v>262.62270000000001</v>
      </c>
      <c r="C1066" s="108">
        <v>264.5</v>
      </c>
      <c r="D1066" s="108">
        <f t="shared" si="311"/>
        <v>1.8772999999999911</v>
      </c>
      <c r="E1066" s="110">
        <f t="shared" si="313"/>
        <v>5.2863829349999492</v>
      </c>
      <c r="F1066" s="2">
        <f t="shared" si="312"/>
        <v>26.431914674999746</v>
      </c>
    </row>
    <row r="1067" spans="1:6" ht="15" customHeight="1" x14ac:dyDescent="0.45">
      <c r="A1067" s="490">
        <v>165</v>
      </c>
      <c r="B1067" s="108">
        <v>263.88810000000001</v>
      </c>
      <c r="C1067" s="108">
        <v>264.5</v>
      </c>
      <c r="D1067" s="108">
        <f t="shared" si="311"/>
        <v>0.61189999999999145</v>
      </c>
      <c r="E1067" s="110">
        <f t="shared" si="313"/>
        <v>0.56163241499998429</v>
      </c>
      <c r="F1067" s="2">
        <f t="shared" si="312"/>
        <v>2.8081620749999212</v>
      </c>
    </row>
    <row r="1068" spans="1:6" ht="15" customHeight="1" x14ac:dyDescent="0.45">
      <c r="A1068" s="490">
        <v>166</v>
      </c>
      <c r="B1068" s="108">
        <v>262.8032</v>
      </c>
      <c r="C1068" s="108">
        <v>264.5</v>
      </c>
      <c r="D1068" s="108">
        <f t="shared" si="311"/>
        <v>1.6967999999999961</v>
      </c>
      <c r="E1068" s="110">
        <f t="shared" si="313"/>
        <v>4.31869535999998</v>
      </c>
      <c r="F1068" s="2">
        <f t="shared" si="312"/>
        <v>21.593476799999898</v>
      </c>
    </row>
    <row r="1069" spans="1:6" ht="15" customHeight="1" x14ac:dyDescent="0.45">
      <c r="A1069" s="490">
        <v>167</v>
      </c>
      <c r="B1069" s="108">
        <v>264.02210000000002</v>
      </c>
      <c r="C1069" s="108">
        <v>264.5</v>
      </c>
      <c r="D1069" s="108">
        <f t="shared" si="311"/>
        <v>0.4778999999999769</v>
      </c>
      <c r="E1069" s="110">
        <f t="shared" si="313"/>
        <v>0.34258261499996689</v>
      </c>
      <c r="F1069" s="2">
        <f t="shared" si="312"/>
        <v>1.7129130749998345</v>
      </c>
    </row>
    <row r="1070" spans="1:6" ht="15" customHeight="1" x14ac:dyDescent="0.45">
      <c r="A1070" s="490">
        <v>168</v>
      </c>
      <c r="B1070" s="108">
        <v>262.66770000000002</v>
      </c>
      <c r="C1070" s="108">
        <v>264.5</v>
      </c>
      <c r="D1070" s="108">
        <f t="shared" si="311"/>
        <v>1.8322999999999752</v>
      </c>
      <c r="E1070" s="110">
        <f t="shared" si="313"/>
        <v>5.0359849349998633</v>
      </c>
      <c r="F1070" s="2">
        <f t="shared" si="312"/>
        <v>25.179924674999317</v>
      </c>
    </row>
    <row r="1071" spans="1:6" ht="15" customHeight="1" x14ac:dyDescent="0.45">
      <c r="A1071" s="490">
        <v>169</v>
      </c>
      <c r="B1071" s="108">
        <v>264.03410000000002</v>
      </c>
      <c r="C1071" s="108">
        <v>264.5</v>
      </c>
      <c r="D1071" s="108">
        <f t="shared" si="311"/>
        <v>0.46589999999997644</v>
      </c>
      <c r="E1071" s="110">
        <f t="shared" si="313"/>
        <v>0.32559421499996705</v>
      </c>
      <c r="F1071" s="2">
        <f t="shared" si="312"/>
        <v>1.6279710749998353</v>
      </c>
    </row>
    <row r="1072" spans="1:6" ht="15" customHeight="1" x14ac:dyDescent="0.45">
      <c r="A1072" s="490">
        <v>170</v>
      </c>
      <c r="B1072" s="108">
        <v>262.66340000000002</v>
      </c>
      <c r="C1072" s="108">
        <v>264.5</v>
      </c>
      <c r="D1072" s="108">
        <f t="shared" si="311"/>
        <v>1.8365999999999758</v>
      </c>
      <c r="E1072" s="110">
        <f t="shared" si="313"/>
        <v>5.0596493399998668</v>
      </c>
      <c r="F1072" s="2">
        <f t="shared" si="312"/>
        <v>25.298246699999332</v>
      </c>
    </row>
    <row r="1073" spans="1:6" ht="15" customHeight="1" x14ac:dyDescent="0.45">
      <c r="A1073" s="490">
        <v>171</v>
      </c>
      <c r="B1073" s="108">
        <v>264.26080000000002</v>
      </c>
      <c r="C1073" s="108">
        <v>264.5</v>
      </c>
      <c r="D1073" s="108">
        <f t="shared" si="311"/>
        <v>0.23919999999998254</v>
      </c>
      <c r="E1073" s="110">
        <f t="shared" si="313"/>
        <v>8.582495999998746E-2</v>
      </c>
      <c r="F1073" s="2">
        <f t="shared" si="312"/>
        <v>0.4291247999999373</v>
      </c>
    </row>
    <row r="1074" spans="1:6" ht="15" customHeight="1" x14ac:dyDescent="0.45">
      <c r="A1074" s="490">
        <v>172</v>
      </c>
      <c r="B1074" s="108">
        <v>264.48680000000002</v>
      </c>
      <c r="C1074" s="108">
        <v>264.5</v>
      </c>
      <c r="D1074" s="108">
        <f t="shared" si="311"/>
        <v>1.3199999999983447E-2</v>
      </c>
      <c r="E1074" s="110">
        <f t="shared" si="313"/>
        <v>2.6135999999934447E-4</v>
      </c>
      <c r="F1074" s="2">
        <f t="shared" si="312"/>
        <v>1.3067999999967223E-3</v>
      </c>
    </row>
    <row r="1075" spans="1:6" ht="15" customHeight="1" x14ac:dyDescent="0.45">
      <c r="A1075" s="490">
        <v>173</v>
      </c>
      <c r="B1075" s="108">
        <v>264.44060000000002</v>
      </c>
      <c r="C1075" s="108">
        <v>264.5</v>
      </c>
      <c r="D1075" s="108">
        <f t="shared" si="311"/>
        <v>5.9399999999982356E-2</v>
      </c>
      <c r="E1075" s="110">
        <f t="shared" si="313"/>
        <v>5.2925399999968559E-3</v>
      </c>
      <c r="F1075" s="2">
        <f t="shared" si="312"/>
        <v>2.6462699999984279E-2</v>
      </c>
    </row>
    <row r="1076" spans="1:6" ht="15" customHeight="1" x14ac:dyDescent="0.45">
      <c r="A1076" s="490">
        <v>174</v>
      </c>
      <c r="B1076" s="108">
        <v>264.40269999999998</v>
      </c>
      <c r="C1076" s="108">
        <v>264.5</v>
      </c>
      <c r="D1076" s="108">
        <f t="shared" si="311"/>
        <v>9.7300000000018372E-2</v>
      </c>
      <c r="E1076" s="110">
        <f t="shared" si="313"/>
        <v>1.4200935000005362E-2</v>
      </c>
      <c r="F1076" s="2">
        <f t="shared" si="312"/>
        <v>7.1004675000026801E-2</v>
      </c>
    </row>
    <row r="1077" spans="1:6" ht="15" customHeight="1" x14ac:dyDescent="0.45">
      <c r="A1077" s="490">
        <v>175</v>
      </c>
      <c r="B1077" s="108">
        <v>264.36529999999999</v>
      </c>
      <c r="C1077" s="108">
        <v>264.5</v>
      </c>
      <c r="D1077" s="108">
        <f t="shared" si="311"/>
        <v>0.13470000000000937</v>
      </c>
      <c r="E1077" s="110">
        <f t="shared" si="313"/>
        <v>2.7216135000003784E-2</v>
      </c>
      <c r="F1077" s="2">
        <f t="shared" si="312"/>
        <v>0.13608067500001891</v>
      </c>
    </row>
    <row r="1078" spans="1:6" ht="15" customHeight="1" x14ac:dyDescent="0.45">
      <c r="A1078" s="490">
        <v>176</v>
      </c>
      <c r="B1078" s="108">
        <v>264.36419999999998</v>
      </c>
      <c r="C1078" s="108">
        <v>264.5</v>
      </c>
      <c r="D1078" s="108">
        <f t="shared" si="311"/>
        <v>0.13580000000001746</v>
      </c>
      <c r="E1078" s="110">
        <f t="shared" si="313"/>
        <v>2.7662460000007112E-2</v>
      </c>
      <c r="F1078" s="2">
        <f t="shared" si="312"/>
        <v>0.13831230000003555</v>
      </c>
    </row>
    <row r="1079" spans="1:6" ht="15" customHeight="1" x14ac:dyDescent="0.45">
      <c r="A1079" s="490">
        <v>177</v>
      </c>
      <c r="B1079" s="108">
        <v>264.2296</v>
      </c>
      <c r="C1079" s="108">
        <v>264.5</v>
      </c>
      <c r="D1079" s="108">
        <f t="shared" si="311"/>
        <v>0.27039999999999509</v>
      </c>
      <c r="E1079" s="110">
        <f t="shared" si="313"/>
        <v>0.10967423999999602</v>
      </c>
      <c r="F1079" s="2">
        <f t="shared" si="312"/>
        <v>0.54837119999998007</v>
      </c>
    </row>
    <row r="1080" spans="1:6" ht="15" customHeight="1" x14ac:dyDescent="0.45">
      <c r="A1080" s="490">
        <v>178</v>
      </c>
      <c r="B1080" s="108">
        <v>263.01479999999998</v>
      </c>
      <c r="C1080" s="108">
        <v>264.5</v>
      </c>
      <c r="D1080" s="108">
        <f t="shared" si="311"/>
        <v>1.4852000000000203</v>
      </c>
      <c r="E1080" s="110">
        <f t="shared" si="313"/>
        <v>3.3087285600000902</v>
      </c>
      <c r="F1080" s="2">
        <f t="shared" si="312"/>
        <v>16.543642800000452</v>
      </c>
    </row>
    <row r="1081" spans="1:6" ht="15" customHeight="1" x14ac:dyDescent="0.45">
      <c r="A1081" s="490">
        <v>179</v>
      </c>
      <c r="B1081" s="108">
        <v>265.46910000000003</v>
      </c>
      <c r="C1081" s="108">
        <v>264.5</v>
      </c>
      <c r="D1081" s="108">
        <f t="shared" si="311"/>
        <v>-0.96910000000002583</v>
      </c>
      <c r="E1081" s="110">
        <f t="shared" si="313"/>
        <v>0.375</v>
      </c>
      <c r="F1081" s="2">
        <f t="shared" si="312"/>
        <v>1.875</v>
      </c>
    </row>
    <row r="1082" spans="1:6" ht="15" customHeight="1" x14ac:dyDescent="0.45">
      <c r="A1082" s="490">
        <v>180</v>
      </c>
      <c r="B1082" s="108">
        <v>264.54989999999998</v>
      </c>
      <c r="C1082" s="108">
        <v>264.5</v>
      </c>
      <c r="D1082" s="108">
        <f t="shared" si="311"/>
        <v>-4.9899999999979627E-2</v>
      </c>
      <c r="E1082" s="110">
        <f t="shared" si="313"/>
        <v>0.375</v>
      </c>
      <c r="F1082" s="2">
        <f t="shared" si="312"/>
        <v>1.875</v>
      </c>
    </row>
    <row r="1083" spans="1:6" ht="15" customHeight="1" x14ac:dyDescent="0.45">
      <c r="A1083" s="490">
        <v>181</v>
      </c>
      <c r="B1083" s="108">
        <v>264.24709999999999</v>
      </c>
      <c r="C1083" s="108">
        <v>264.5</v>
      </c>
      <c r="D1083" s="108">
        <f t="shared" si="311"/>
        <v>0.252900000000011</v>
      </c>
      <c r="E1083" s="110">
        <f t="shared" si="313"/>
        <v>9.5937615000008358E-2</v>
      </c>
      <c r="F1083" s="2">
        <f t="shared" si="312"/>
        <v>0.47968807500004179</v>
      </c>
    </row>
    <row r="1084" spans="1:6" ht="15" customHeight="1" x14ac:dyDescent="0.45">
      <c r="A1084" s="490">
        <v>182</v>
      </c>
      <c r="B1084" s="108">
        <v>264.07220000000001</v>
      </c>
      <c r="C1084" s="108">
        <v>264.5</v>
      </c>
      <c r="D1084" s="108">
        <f t="shared" si="311"/>
        <v>0.42779999999999063</v>
      </c>
      <c r="E1084" s="110">
        <f t="shared" si="313"/>
        <v>0.274519259999988</v>
      </c>
      <c r="F1084" s="2">
        <f t="shared" si="312"/>
        <v>1.3725962999999399</v>
      </c>
    </row>
    <row r="1085" spans="1:6" ht="15" customHeight="1" x14ac:dyDescent="0.45">
      <c r="A1085" s="490">
        <v>183</v>
      </c>
      <c r="B1085" s="108">
        <v>264.04680000000002</v>
      </c>
      <c r="C1085" s="108">
        <v>264.5</v>
      </c>
      <c r="D1085" s="108">
        <f t="shared" si="311"/>
        <v>0.45319999999998117</v>
      </c>
      <c r="E1085" s="110">
        <f t="shared" si="313"/>
        <v>0.30808535999997438</v>
      </c>
      <c r="F1085" s="2">
        <f t="shared" si="312"/>
        <v>1.540426799999872</v>
      </c>
    </row>
    <row r="1086" spans="1:6" ht="15" customHeight="1" x14ac:dyDescent="0.45">
      <c r="A1086" s="490">
        <v>184</v>
      </c>
      <c r="B1086" s="108">
        <v>264.01979999999998</v>
      </c>
      <c r="C1086" s="108">
        <v>264.5</v>
      </c>
      <c r="D1086" s="108">
        <f t="shared" si="311"/>
        <v>0.48020000000002483</v>
      </c>
      <c r="E1086" s="110">
        <f t="shared" si="313"/>
        <v>0.34588806000003575</v>
      </c>
      <c r="F1086" s="2">
        <f t="shared" si="312"/>
        <v>1.7294403000001788</v>
      </c>
    </row>
    <row r="1087" spans="1:6" ht="15" customHeight="1" x14ac:dyDescent="0.45">
      <c r="A1087" s="490">
        <v>185</v>
      </c>
      <c r="B1087" s="108">
        <v>264.03199999999998</v>
      </c>
      <c r="C1087" s="108">
        <v>264.5</v>
      </c>
      <c r="D1087" s="108">
        <f t="shared" si="311"/>
        <v>0.46800000000001774</v>
      </c>
      <c r="E1087" s="110">
        <f t="shared" si="313"/>
        <v>0.32853600000002492</v>
      </c>
      <c r="F1087" s="2">
        <f t="shared" si="312"/>
        <v>1.6426800000001247</v>
      </c>
    </row>
    <row r="1088" spans="1:6" ht="15" customHeight="1" x14ac:dyDescent="0.45">
      <c r="A1088" s="490">
        <v>186</v>
      </c>
      <c r="B1088" s="108">
        <v>262.9409</v>
      </c>
      <c r="C1088" s="108">
        <v>264.5</v>
      </c>
      <c r="D1088" s="108">
        <f t="shared" si="311"/>
        <v>1.5591000000000008</v>
      </c>
      <c r="E1088" s="110">
        <f t="shared" si="313"/>
        <v>3.6461892150000037</v>
      </c>
      <c r="F1088" s="2">
        <f t="shared" si="312"/>
        <v>18.23094607500002</v>
      </c>
    </row>
    <row r="1089" spans="1:6" ht="15" customHeight="1" x14ac:dyDescent="0.45">
      <c r="A1089" s="490">
        <v>187</v>
      </c>
      <c r="B1089" s="108">
        <v>263.78750000000002</v>
      </c>
      <c r="C1089" s="108">
        <v>264.5</v>
      </c>
      <c r="D1089" s="108">
        <f t="shared" si="311"/>
        <v>0.71249999999997726</v>
      </c>
      <c r="E1089" s="110">
        <f t="shared" si="313"/>
        <v>0.76148437499995136</v>
      </c>
      <c r="F1089" s="2">
        <f t="shared" si="312"/>
        <v>3.8074218749997568</v>
      </c>
    </row>
    <row r="1090" spans="1:6" ht="15" customHeight="1" x14ac:dyDescent="0.45">
      <c r="A1090" s="490">
        <v>188</v>
      </c>
      <c r="B1090" s="108">
        <v>264.85680000000002</v>
      </c>
      <c r="C1090" s="108">
        <v>264.5</v>
      </c>
      <c r="D1090" s="108">
        <f t="shared" si="311"/>
        <v>-0.3568000000000211</v>
      </c>
      <c r="E1090" s="110">
        <f t="shared" si="313"/>
        <v>0.375</v>
      </c>
      <c r="F1090" s="2">
        <f t="shared" si="312"/>
        <v>1.875</v>
      </c>
    </row>
    <row r="1091" spans="1:6" ht="15" customHeight="1" x14ac:dyDescent="0.45">
      <c r="A1091" s="490">
        <v>189</v>
      </c>
      <c r="B1091" s="108">
        <v>264.22289999999998</v>
      </c>
      <c r="C1091" s="108">
        <v>264.5</v>
      </c>
      <c r="D1091" s="108">
        <f t="shared" si="311"/>
        <v>0.27710000000001855</v>
      </c>
      <c r="E1091" s="110">
        <f t="shared" si="313"/>
        <v>0.11517661500001541</v>
      </c>
      <c r="F1091" s="2">
        <f t="shared" si="312"/>
        <v>0.57588307500007707</v>
      </c>
    </row>
    <row r="1092" spans="1:6" ht="15" customHeight="1" x14ac:dyDescent="0.45">
      <c r="A1092" s="490">
        <v>190</v>
      </c>
      <c r="B1092" s="108">
        <v>263.97680000000003</v>
      </c>
      <c r="C1092" s="108">
        <v>264.5</v>
      </c>
      <c r="D1092" s="108">
        <f t="shared" si="311"/>
        <v>0.52319999999997435</v>
      </c>
      <c r="E1092" s="110">
        <f t="shared" si="313"/>
        <v>0.41060735999995973</v>
      </c>
      <c r="F1092" s="2">
        <f t="shared" si="312"/>
        <v>2.0530367999997985</v>
      </c>
    </row>
    <row r="1093" spans="1:6" ht="15" customHeight="1" x14ac:dyDescent="0.45">
      <c r="A1093" s="490">
        <v>191</v>
      </c>
      <c r="B1093" s="108">
        <v>264.18599999999998</v>
      </c>
      <c r="C1093" s="108">
        <v>264.5</v>
      </c>
      <c r="D1093" s="108">
        <f t="shared" si="311"/>
        <v>0.31400000000002137</v>
      </c>
      <c r="E1093" s="110">
        <f t="shared" si="313"/>
        <v>0.14789400000002012</v>
      </c>
      <c r="F1093" s="2">
        <f t="shared" si="312"/>
        <v>0.73947000000010066</v>
      </c>
    </row>
    <row r="1094" spans="1:6" ht="15" customHeight="1" x14ac:dyDescent="0.45">
      <c r="A1094" s="490">
        <v>192</v>
      </c>
      <c r="B1094" s="108">
        <v>263.09609999999998</v>
      </c>
      <c r="C1094" s="108">
        <v>264.5</v>
      </c>
      <c r="D1094" s="108">
        <f t="shared" si="311"/>
        <v>1.4039000000000215</v>
      </c>
      <c r="E1094" s="110">
        <f t="shared" si="313"/>
        <v>2.9564028150000903</v>
      </c>
      <c r="F1094" s="2">
        <f t="shared" si="312"/>
        <v>14.782014075000451</v>
      </c>
    </row>
    <row r="1095" spans="1:6" ht="15" customHeight="1" x14ac:dyDescent="0.45">
      <c r="A1095" s="490">
        <v>193</v>
      </c>
      <c r="B1095" s="108">
        <v>264.61</v>
      </c>
      <c r="C1095" s="108">
        <v>264.5</v>
      </c>
      <c r="D1095" s="108">
        <f t="shared" ref="D1095:D1158" si="314">C1095-B1095</f>
        <v>-0.11000000000001364</v>
      </c>
      <c r="E1095" s="110">
        <f t="shared" si="313"/>
        <v>0.375</v>
      </c>
      <c r="F1095" s="2">
        <f t="shared" ref="F1095:F1158" si="315">E1095*5</f>
        <v>1.875</v>
      </c>
    </row>
    <row r="1096" spans="1:6" ht="15" customHeight="1" x14ac:dyDescent="0.45">
      <c r="A1096" s="490">
        <v>194</v>
      </c>
      <c r="B1096" s="108">
        <v>264.7</v>
      </c>
      <c r="C1096" s="108">
        <v>264.5</v>
      </c>
      <c r="D1096" s="108">
        <f t="shared" si="314"/>
        <v>-0.19999999999998863</v>
      </c>
      <c r="E1096" s="110">
        <f t="shared" ref="E1096:E1159" si="316">IF(D1096&gt;0,1.5*D1096^2,1.5*0.5^2)</f>
        <v>0.375</v>
      </c>
      <c r="F1096" s="2">
        <f t="shared" si="315"/>
        <v>1.875</v>
      </c>
    </row>
    <row r="1097" spans="1:6" ht="15" customHeight="1" x14ac:dyDescent="0.45">
      <c r="A1097" s="490">
        <v>195</v>
      </c>
      <c r="B1097" s="108">
        <v>264.1225</v>
      </c>
      <c r="C1097" s="108">
        <v>264.5</v>
      </c>
      <c r="D1097" s="108">
        <f t="shared" si="314"/>
        <v>0.37749999999999773</v>
      </c>
      <c r="E1097" s="110">
        <f t="shared" si="316"/>
        <v>0.21375937499999742</v>
      </c>
      <c r="F1097" s="2">
        <f t="shared" si="315"/>
        <v>1.068796874999987</v>
      </c>
    </row>
    <row r="1098" spans="1:6" ht="15" customHeight="1" x14ac:dyDescent="0.45">
      <c r="A1098" s="490">
        <v>196</v>
      </c>
      <c r="B1098" s="108">
        <v>263.93009999999998</v>
      </c>
      <c r="C1098" s="108">
        <v>264.5</v>
      </c>
      <c r="D1098" s="108">
        <f t="shared" si="314"/>
        <v>0.56990000000001828</v>
      </c>
      <c r="E1098" s="110">
        <f t="shared" si="316"/>
        <v>0.48717901500003125</v>
      </c>
      <c r="F1098" s="2">
        <f t="shared" si="315"/>
        <v>2.4358950750001562</v>
      </c>
    </row>
    <row r="1099" spans="1:6" ht="15" customHeight="1" x14ac:dyDescent="0.45">
      <c r="A1099" s="490">
        <v>197</v>
      </c>
      <c r="B1099" s="108">
        <v>264.24540000000002</v>
      </c>
      <c r="C1099" s="108">
        <v>264.5</v>
      </c>
      <c r="D1099" s="108">
        <f t="shared" si="314"/>
        <v>0.25459999999998217</v>
      </c>
      <c r="E1099" s="110">
        <f t="shared" si="316"/>
        <v>9.7231739999986383E-2</v>
      </c>
      <c r="F1099" s="2">
        <f t="shared" si="315"/>
        <v>0.48615869999993189</v>
      </c>
    </row>
    <row r="1100" spans="1:6" ht="15" customHeight="1" x14ac:dyDescent="0.45">
      <c r="A1100" s="490">
        <v>198</v>
      </c>
      <c r="B1100" s="108">
        <v>263.28469999999999</v>
      </c>
      <c r="C1100" s="108">
        <v>264.5</v>
      </c>
      <c r="D1100" s="108">
        <f t="shared" si="314"/>
        <v>1.2153000000000134</v>
      </c>
      <c r="E1100" s="110">
        <f t="shared" si="316"/>
        <v>2.2154311350000486</v>
      </c>
      <c r="F1100" s="2">
        <f t="shared" si="315"/>
        <v>11.077155675000244</v>
      </c>
    </row>
    <row r="1101" spans="1:6" ht="15" customHeight="1" x14ac:dyDescent="0.45">
      <c r="A1101" s="490">
        <v>199</v>
      </c>
      <c r="B1101" s="108">
        <v>264.5582</v>
      </c>
      <c r="C1101" s="108">
        <v>264.5</v>
      </c>
      <c r="D1101" s="108">
        <f t="shared" si="314"/>
        <v>-5.8199999999999363E-2</v>
      </c>
      <c r="E1101" s="110">
        <f t="shared" si="316"/>
        <v>0.375</v>
      </c>
      <c r="F1101" s="2">
        <f t="shared" si="315"/>
        <v>1.875</v>
      </c>
    </row>
    <row r="1102" spans="1:6" ht="15" customHeight="1" x14ac:dyDescent="0.45">
      <c r="A1102" s="490">
        <v>200</v>
      </c>
      <c r="B1102" s="108">
        <v>264.39030000000002</v>
      </c>
      <c r="C1102" s="108">
        <v>264.5</v>
      </c>
      <c r="D1102" s="108">
        <f t="shared" si="314"/>
        <v>0.10969999999997526</v>
      </c>
      <c r="E1102" s="110">
        <f t="shared" si="316"/>
        <v>1.805113499999186E-2</v>
      </c>
      <c r="F1102" s="2">
        <f t="shared" si="315"/>
        <v>9.0255674999959304E-2</v>
      </c>
    </row>
    <row r="1103" spans="1:6" ht="15" customHeight="1" x14ac:dyDescent="0.45">
      <c r="A1103" s="490">
        <v>201</v>
      </c>
      <c r="B1103" s="108">
        <v>264.19409999999999</v>
      </c>
      <c r="C1103" s="108">
        <v>264.5</v>
      </c>
      <c r="D1103" s="108">
        <f t="shared" si="314"/>
        <v>0.30590000000000828</v>
      </c>
      <c r="E1103" s="110">
        <f t="shared" si="316"/>
        <v>0.14036221500000759</v>
      </c>
      <c r="F1103" s="2">
        <f t="shared" si="315"/>
        <v>0.70181107500003792</v>
      </c>
    </row>
    <row r="1104" spans="1:6" ht="15" customHeight="1" x14ac:dyDescent="0.45">
      <c r="A1104" s="490">
        <v>202</v>
      </c>
      <c r="B1104" s="108">
        <v>264.01350000000002</v>
      </c>
      <c r="C1104" s="108">
        <v>264.5</v>
      </c>
      <c r="D1104" s="108">
        <f t="shared" si="314"/>
        <v>0.48649999999997817</v>
      </c>
      <c r="E1104" s="110">
        <f t="shared" si="316"/>
        <v>0.35502337499996811</v>
      </c>
      <c r="F1104" s="2">
        <f t="shared" si="315"/>
        <v>1.7751168749998405</v>
      </c>
    </row>
    <row r="1105" spans="1:6" ht="15" customHeight="1" x14ac:dyDescent="0.45">
      <c r="A1105" s="490">
        <v>203</v>
      </c>
      <c r="B1105" s="108">
        <v>263.94619999999998</v>
      </c>
      <c r="C1105" s="108">
        <v>264.5</v>
      </c>
      <c r="D1105" s="108">
        <f t="shared" si="314"/>
        <v>0.55380000000002383</v>
      </c>
      <c r="E1105" s="110">
        <f t="shared" si="316"/>
        <v>0.46004166000003954</v>
      </c>
      <c r="F1105" s="2">
        <f t="shared" si="315"/>
        <v>2.3002083000001976</v>
      </c>
    </row>
    <row r="1106" spans="1:6" ht="15" customHeight="1" x14ac:dyDescent="0.45">
      <c r="A1106" s="490">
        <v>204</v>
      </c>
      <c r="B1106" s="108">
        <v>263.2783</v>
      </c>
      <c r="C1106" s="108">
        <v>264.5</v>
      </c>
      <c r="D1106" s="108">
        <f t="shared" si="314"/>
        <v>1.2216999999999985</v>
      </c>
      <c r="E1106" s="110">
        <f t="shared" si="316"/>
        <v>2.2388263349999944</v>
      </c>
      <c r="F1106" s="2">
        <f t="shared" si="315"/>
        <v>11.194131674999973</v>
      </c>
    </row>
    <row r="1107" spans="1:6" ht="15" customHeight="1" x14ac:dyDescent="0.45">
      <c r="A1107" s="490">
        <v>205</v>
      </c>
      <c r="B1107" s="108">
        <v>264.48899999999998</v>
      </c>
      <c r="C1107" s="108">
        <v>264.5</v>
      </c>
      <c r="D1107" s="108">
        <f t="shared" si="314"/>
        <v>1.1000000000024102E-2</v>
      </c>
      <c r="E1107" s="110">
        <f t="shared" si="316"/>
        <v>1.8150000000079534E-4</v>
      </c>
      <c r="F1107" s="2">
        <f t="shared" si="315"/>
        <v>9.0750000000397674E-4</v>
      </c>
    </row>
    <row r="1108" spans="1:6" ht="15" customHeight="1" x14ac:dyDescent="0.45">
      <c r="A1108" s="490">
        <v>206</v>
      </c>
      <c r="B1108" s="108">
        <v>263.8895</v>
      </c>
      <c r="C1108" s="108">
        <v>264.5</v>
      </c>
      <c r="D1108" s="108">
        <f t="shared" si="314"/>
        <v>0.61050000000000182</v>
      </c>
      <c r="E1108" s="110">
        <f t="shared" si="316"/>
        <v>0.55906537500000342</v>
      </c>
      <c r="F1108" s="2">
        <f t="shared" si="315"/>
        <v>2.7953268750000171</v>
      </c>
    </row>
    <row r="1109" spans="1:6" ht="15" customHeight="1" x14ac:dyDescent="0.45">
      <c r="A1109" s="490">
        <v>207</v>
      </c>
      <c r="B1109" s="108">
        <v>263.90899999999999</v>
      </c>
      <c r="C1109" s="108">
        <v>264.5</v>
      </c>
      <c r="D1109" s="108">
        <f t="shared" si="314"/>
        <v>0.59100000000000819</v>
      </c>
      <c r="E1109" s="110">
        <f t="shared" si="316"/>
        <v>0.52392150000001447</v>
      </c>
      <c r="F1109" s="2">
        <f t="shared" si="315"/>
        <v>2.6196075000000723</v>
      </c>
    </row>
    <row r="1110" spans="1:6" ht="15" customHeight="1" x14ac:dyDescent="0.45">
      <c r="A1110" s="490">
        <v>208</v>
      </c>
      <c r="B1110" s="108">
        <v>262.6644</v>
      </c>
      <c r="C1110" s="108">
        <v>264.5</v>
      </c>
      <c r="D1110" s="108">
        <f t="shared" si="314"/>
        <v>1.8355999999999995</v>
      </c>
      <c r="E1110" s="110">
        <f t="shared" si="316"/>
        <v>5.0541410399999975</v>
      </c>
      <c r="F1110" s="2">
        <f t="shared" si="315"/>
        <v>25.270705199999988</v>
      </c>
    </row>
    <row r="1111" spans="1:6" ht="15" customHeight="1" x14ac:dyDescent="0.45">
      <c r="A1111" s="490">
        <v>209</v>
      </c>
      <c r="B1111" s="108">
        <v>264.5301</v>
      </c>
      <c r="C1111" s="108">
        <v>264.5</v>
      </c>
      <c r="D1111" s="108">
        <f t="shared" si="314"/>
        <v>-3.0100000000004457E-2</v>
      </c>
      <c r="E1111" s="110">
        <f t="shared" si="316"/>
        <v>0.375</v>
      </c>
      <c r="F1111" s="2">
        <f t="shared" si="315"/>
        <v>1.875</v>
      </c>
    </row>
    <row r="1112" spans="1:6" ht="15" customHeight="1" x14ac:dyDescent="0.45">
      <c r="A1112" s="490">
        <v>210</v>
      </c>
      <c r="B1112" s="108">
        <v>264.00170000000003</v>
      </c>
      <c r="C1112" s="108">
        <v>264.5</v>
      </c>
      <c r="D1112" s="108">
        <f t="shared" si="314"/>
        <v>0.49829999999997199</v>
      </c>
      <c r="E1112" s="110">
        <f t="shared" si="316"/>
        <v>0.37245433499995811</v>
      </c>
      <c r="F1112" s="2">
        <f t="shared" si="315"/>
        <v>1.8622716749997905</v>
      </c>
    </row>
    <row r="1113" spans="1:6" ht="15" customHeight="1" x14ac:dyDescent="0.45">
      <c r="A1113" s="490">
        <v>211</v>
      </c>
      <c r="B1113" s="108">
        <v>263.8494</v>
      </c>
      <c r="C1113" s="108">
        <v>264.5</v>
      </c>
      <c r="D1113" s="108">
        <f t="shared" si="314"/>
        <v>0.65059999999999718</v>
      </c>
      <c r="E1113" s="110">
        <f t="shared" si="316"/>
        <v>0.63492053999999454</v>
      </c>
      <c r="F1113" s="2">
        <f t="shared" si="315"/>
        <v>3.1746026999999728</v>
      </c>
    </row>
    <row r="1114" spans="1:6" ht="15" customHeight="1" x14ac:dyDescent="0.45">
      <c r="A1114" s="490">
        <v>212</v>
      </c>
      <c r="B1114" s="108">
        <v>262.69670000000002</v>
      </c>
      <c r="C1114" s="108">
        <v>264.5</v>
      </c>
      <c r="D1114" s="108">
        <f t="shared" si="314"/>
        <v>1.8032999999999788</v>
      </c>
      <c r="E1114" s="110">
        <f t="shared" si="316"/>
        <v>4.877836334999885</v>
      </c>
      <c r="F1114" s="2">
        <f t="shared" si="315"/>
        <v>24.389181674999424</v>
      </c>
    </row>
    <row r="1115" spans="1:6" ht="15" customHeight="1" x14ac:dyDescent="0.45">
      <c r="A1115" s="490">
        <v>213</v>
      </c>
      <c r="B1115" s="108">
        <v>264.47480000000002</v>
      </c>
      <c r="C1115" s="108">
        <v>264.5</v>
      </c>
      <c r="D1115" s="108">
        <f t="shared" si="314"/>
        <v>2.5199999999983902E-2</v>
      </c>
      <c r="E1115" s="110">
        <f t="shared" si="316"/>
        <v>9.5255999999878307E-4</v>
      </c>
      <c r="F1115" s="2">
        <f t="shared" si="315"/>
        <v>4.7627999999939157E-3</v>
      </c>
    </row>
    <row r="1116" spans="1:6" ht="15" customHeight="1" x14ac:dyDescent="0.45">
      <c r="A1116" s="490">
        <v>214</v>
      </c>
      <c r="B1116" s="108">
        <v>263.76339999999999</v>
      </c>
      <c r="C1116" s="108">
        <v>264.5</v>
      </c>
      <c r="D1116" s="108">
        <f t="shared" si="314"/>
        <v>0.73660000000000991</v>
      </c>
      <c r="E1116" s="110">
        <f t="shared" si="316"/>
        <v>0.81386934000002187</v>
      </c>
      <c r="F1116" s="2">
        <f t="shared" si="315"/>
        <v>4.0693467000001089</v>
      </c>
    </row>
    <row r="1117" spans="1:6" ht="15" customHeight="1" x14ac:dyDescent="0.45">
      <c r="A1117" s="490">
        <v>215</v>
      </c>
      <c r="B1117" s="108">
        <v>263.71719999999999</v>
      </c>
      <c r="C1117" s="108">
        <v>264.5</v>
      </c>
      <c r="D1117" s="108">
        <f t="shared" si="314"/>
        <v>0.78280000000000882</v>
      </c>
      <c r="E1117" s="110">
        <f t="shared" si="316"/>
        <v>0.91916376000002076</v>
      </c>
      <c r="F1117" s="2">
        <f t="shared" si="315"/>
        <v>4.5958188000001039</v>
      </c>
    </row>
    <row r="1118" spans="1:6" ht="15" customHeight="1" x14ac:dyDescent="0.45">
      <c r="A1118" s="490">
        <v>216</v>
      </c>
      <c r="B1118" s="108">
        <v>262.69839999999999</v>
      </c>
      <c r="C1118" s="108">
        <v>264.5</v>
      </c>
      <c r="D1118" s="108">
        <f t="shared" si="314"/>
        <v>1.8016000000000076</v>
      </c>
      <c r="E1118" s="110">
        <f t="shared" si="316"/>
        <v>4.8686438400000416</v>
      </c>
      <c r="F1118" s="2">
        <f t="shared" si="315"/>
        <v>24.343219200000206</v>
      </c>
    </row>
    <row r="1119" spans="1:6" ht="15" customHeight="1" x14ac:dyDescent="0.45">
      <c r="A1119" s="490">
        <v>217</v>
      </c>
      <c r="B1119" s="108">
        <v>263.96199999999999</v>
      </c>
      <c r="C1119" s="108">
        <v>264.5</v>
      </c>
      <c r="D1119" s="108">
        <f t="shared" si="314"/>
        <v>0.53800000000001091</v>
      </c>
      <c r="E1119" s="110">
        <f t="shared" si="316"/>
        <v>0.43416600000001759</v>
      </c>
      <c r="F1119" s="2">
        <f t="shared" si="315"/>
        <v>2.170830000000088</v>
      </c>
    </row>
    <row r="1120" spans="1:6" ht="15" customHeight="1" x14ac:dyDescent="0.45">
      <c r="A1120" s="490">
        <v>218</v>
      </c>
      <c r="B1120" s="108">
        <v>264.26679999999999</v>
      </c>
      <c r="C1120" s="108">
        <v>264.5</v>
      </c>
      <c r="D1120" s="108">
        <f t="shared" si="314"/>
        <v>0.23320000000001073</v>
      </c>
      <c r="E1120" s="110">
        <f t="shared" si="316"/>
        <v>8.1573360000007505E-2</v>
      </c>
      <c r="F1120" s="2">
        <f t="shared" si="315"/>
        <v>0.4078668000000375</v>
      </c>
    </row>
    <row r="1121" spans="1:6" ht="15" customHeight="1" x14ac:dyDescent="0.45">
      <c r="A1121" s="490">
        <v>219</v>
      </c>
      <c r="B1121" s="108">
        <v>263.71960000000001</v>
      </c>
      <c r="C1121" s="108">
        <v>264.5</v>
      </c>
      <c r="D1121" s="108">
        <f t="shared" si="314"/>
        <v>0.78039999999998599</v>
      </c>
      <c r="E1121" s="110">
        <f t="shared" si="316"/>
        <v>0.91353623999996725</v>
      </c>
      <c r="F1121" s="2">
        <f t="shared" si="315"/>
        <v>4.5676811999998366</v>
      </c>
    </row>
    <row r="1122" spans="1:6" ht="15" customHeight="1" x14ac:dyDescent="0.45">
      <c r="A1122" s="490">
        <v>220</v>
      </c>
      <c r="B1122" s="108">
        <v>262.72239999999999</v>
      </c>
      <c r="C1122" s="108">
        <v>264.5</v>
      </c>
      <c r="D1122" s="108">
        <f t="shared" si="314"/>
        <v>1.7776000000000067</v>
      </c>
      <c r="E1122" s="110">
        <f t="shared" si="316"/>
        <v>4.7397926400000365</v>
      </c>
      <c r="F1122" s="2">
        <f t="shared" si="315"/>
        <v>23.698963200000183</v>
      </c>
    </row>
    <row r="1123" spans="1:6" ht="15" customHeight="1" x14ac:dyDescent="0.45">
      <c r="A1123" s="490">
        <v>221</v>
      </c>
      <c r="B1123" s="108">
        <v>264.07429999999999</v>
      </c>
      <c r="C1123" s="108">
        <v>264.5</v>
      </c>
      <c r="D1123" s="108">
        <f t="shared" si="314"/>
        <v>0.42570000000000618</v>
      </c>
      <c r="E1123" s="110">
        <f t="shared" si="316"/>
        <v>0.27183073500000787</v>
      </c>
      <c r="F1123" s="2">
        <f t="shared" si="315"/>
        <v>1.3591536750000395</v>
      </c>
    </row>
    <row r="1124" spans="1:6" ht="15" customHeight="1" x14ac:dyDescent="0.45">
      <c r="A1124" s="490">
        <v>222</v>
      </c>
      <c r="B1124" s="108">
        <v>264.17529999999999</v>
      </c>
      <c r="C1124" s="108">
        <v>264.5</v>
      </c>
      <c r="D1124" s="108">
        <f t="shared" si="314"/>
        <v>0.32470000000000709</v>
      </c>
      <c r="E1124" s="110">
        <f t="shared" si="316"/>
        <v>0.15814513500000693</v>
      </c>
      <c r="F1124" s="2">
        <f t="shared" si="315"/>
        <v>0.79072567500003466</v>
      </c>
    </row>
    <row r="1125" spans="1:6" ht="15" customHeight="1" x14ac:dyDescent="0.45">
      <c r="A1125" s="490">
        <v>223</v>
      </c>
      <c r="B1125" s="108">
        <v>263.75349999999997</v>
      </c>
      <c r="C1125" s="108">
        <v>264.5</v>
      </c>
      <c r="D1125" s="108">
        <f t="shared" si="314"/>
        <v>0.74650000000002592</v>
      </c>
      <c r="E1125" s="110">
        <f t="shared" si="316"/>
        <v>0.83589337500005811</v>
      </c>
      <c r="F1125" s="2">
        <f t="shared" si="315"/>
        <v>4.1794668750002906</v>
      </c>
    </row>
    <row r="1126" spans="1:6" ht="15" customHeight="1" x14ac:dyDescent="0.45">
      <c r="A1126" s="490">
        <v>224</v>
      </c>
      <c r="B1126" s="108">
        <v>262.73680000000002</v>
      </c>
      <c r="C1126" s="108">
        <v>264.5</v>
      </c>
      <c r="D1126" s="108">
        <f t="shared" si="314"/>
        <v>1.7631999999999834</v>
      </c>
      <c r="E1126" s="110">
        <f t="shared" si="316"/>
        <v>4.6633113599999128</v>
      </c>
      <c r="F1126" s="2">
        <f t="shared" si="315"/>
        <v>23.316556799999564</v>
      </c>
    </row>
    <row r="1127" spans="1:6" ht="15" customHeight="1" x14ac:dyDescent="0.45">
      <c r="A1127" s="490">
        <v>225</v>
      </c>
      <c r="B1127" s="108">
        <v>264.18860000000001</v>
      </c>
      <c r="C1127" s="108">
        <v>264.5</v>
      </c>
      <c r="D1127" s="108">
        <f t="shared" si="314"/>
        <v>0.31139999999999191</v>
      </c>
      <c r="E1127" s="110">
        <f t="shared" si="316"/>
        <v>0.14545493999999243</v>
      </c>
      <c r="F1127" s="2">
        <f t="shared" si="315"/>
        <v>0.72727469999996219</v>
      </c>
    </row>
    <row r="1128" spans="1:6" ht="15" customHeight="1" x14ac:dyDescent="0.45">
      <c r="A1128" s="490">
        <v>226</v>
      </c>
      <c r="B1128" s="108">
        <v>263.94290000000001</v>
      </c>
      <c r="C1128" s="108">
        <v>264.5</v>
      </c>
      <c r="D1128" s="108">
        <f t="shared" si="314"/>
        <v>0.55709999999999127</v>
      </c>
      <c r="E1128" s="110">
        <f t="shared" si="316"/>
        <v>0.46554061499998539</v>
      </c>
      <c r="F1128" s="2">
        <f t="shared" si="315"/>
        <v>2.3277030749999268</v>
      </c>
    </row>
    <row r="1129" spans="1:6" ht="15" customHeight="1" x14ac:dyDescent="0.45">
      <c r="A1129" s="490">
        <v>227</v>
      </c>
      <c r="B1129" s="108">
        <v>264.2432</v>
      </c>
      <c r="C1129" s="108">
        <v>264.5</v>
      </c>
      <c r="D1129" s="108">
        <f t="shared" si="314"/>
        <v>0.25679999999999836</v>
      </c>
      <c r="E1129" s="110">
        <f t="shared" si="316"/>
        <v>9.8919359999998735E-2</v>
      </c>
      <c r="F1129" s="2">
        <f t="shared" si="315"/>
        <v>0.49459679999999367</v>
      </c>
    </row>
    <row r="1130" spans="1:6" ht="15" customHeight="1" x14ac:dyDescent="0.45">
      <c r="A1130" s="490">
        <v>228</v>
      </c>
      <c r="B1130" s="108">
        <v>262.76060000000001</v>
      </c>
      <c r="C1130" s="108">
        <v>264.5</v>
      </c>
      <c r="D1130" s="108">
        <f t="shared" si="314"/>
        <v>1.7393999999999892</v>
      </c>
      <c r="E1130" s="110">
        <f t="shared" si="316"/>
        <v>4.5382685399999438</v>
      </c>
      <c r="F1130" s="2">
        <f t="shared" si="315"/>
        <v>22.691342699999719</v>
      </c>
    </row>
    <row r="1131" spans="1:6" ht="15" customHeight="1" x14ac:dyDescent="0.45">
      <c r="A1131" s="490">
        <v>229</v>
      </c>
      <c r="B1131" s="108">
        <v>264.1687</v>
      </c>
      <c r="C1131" s="108">
        <v>264.5</v>
      </c>
      <c r="D1131" s="108">
        <f t="shared" si="314"/>
        <v>0.33129999999999882</v>
      </c>
      <c r="E1131" s="110">
        <f t="shared" si="316"/>
        <v>0.16463953499999884</v>
      </c>
      <c r="F1131" s="2">
        <f t="shared" si="315"/>
        <v>0.82319767499999419</v>
      </c>
    </row>
    <row r="1132" spans="1:6" ht="15" customHeight="1" x14ac:dyDescent="0.45">
      <c r="A1132" s="490">
        <v>230</v>
      </c>
      <c r="B1132" s="108">
        <v>263.92840000000001</v>
      </c>
      <c r="C1132" s="108">
        <v>264.5</v>
      </c>
      <c r="D1132" s="108">
        <f t="shared" si="314"/>
        <v>0.57159999999998945</v>
      </c>
      <c r="E1132" s="110">
        <f t="shared" si="316"/>
        <v>0.4900898399999819</v>
      </c>
      <c r="F1132" s="2">
        <f t="shared" si="315"/>
        <v>2.4504491999999094</v>
      </c>
    </row>
    <row r="1133" spans="1:6" ht="15" customHeight="1" x14ac:dyDescent="0.45">
      <c r="A1133" s="490">
        <v>231</v>
      </c>
      <c r="B1133" s="108">
        <v>263.97179999999997</v>
      </c>
      <c r="C1133" s="108">
        <v>264.5</v>
      </c>
      <c r="D1133" s="108">
        <f t="shared" si="314"/>
        <v>0.52820000000002665</v>
      </c>
      <c r="E1133" s="110">
        <f t="shared" si="316"/>
        <v>0.41849286000004227</v>
      </c>
      <c r="F1133" s="2">
        <f t="shared" si="315"/>
        <v>2.0924643000002114</v>
      </c>
    </row>
    <row r="1134" spans="1:6" ht="15" customHeight="1" x14ac:dyDescent="0.45">
      <c r="A1134" s="490">
        <v>232</v>
      </c>
      <c r="B1134" s="108">
        <v>263.46260000000001</v>
      </c>
      <c r="C1134" s="108">
        <v>264.5</v>
      </c>
      <c r="D1134" s="108">
        <f t="shared" si="314"/>
        <v>1.037399999999991</v>
      </c>
      <c r="E1134" s="110">
        <f t="shared" si="316"/>
        <v>1.6142981399999721</v>
      </c>
      <c r="F1134" s="2">
        <f t="shared" si="315"/>
        <v>8.0714906999998597</v>
      </c>
    </row>
    <row r="1135" spans="1:6" ht="15" customHeight="1" x14ac:dyDescent="0.45">
      <c r="A1135" s="490">
        <v>233</v>
      </c>
      <c r="B1135" s="108">
        <v>264.2414</v>
      </c>
      <c r="C1135" s="108">
        <v>264.5</v>
      </c>
      <c r="D1135" s="108">
        <f t="shared" si="314"/>
        <v>0.25860000000000127</v>
      </c>
      <c r="E1135" s="110">
        <f t="shared" si="316"/>
        <v>0.10031094000000099</v>
      </c>
      <c r="F1135" s="2">
        <f t="shared" si="315"/>
        <v>0.5015547000000049</v>
      </c>
    </row>
    <row r="1136" spans="1:6" ht="15" customHeight="1" x14ac:dyDescent="0.45">
      <c r="A1136" s="490">
        <v>234</v>
      </c>
      <c r="B1136" s="108">
        <v>262.78949999999998</v>
      </c>
      <c r="C1136" s="108">
        <v>264.5</v>
      </c>
      <c r="D1136" s="108">
        <f t="shared" si="314"/>
        <v>1.7105000000000246</v>
      </c>
      <c r="E1136" s="110">
        <f t="shared" si="316"/>
        <v>4.3887153750001264</v>
      </c>
      <c r="F1136" s="2">
        <f t="shared" si="315"/>
        <v>21.94357687500063</v>
      </c>
    </row>
    <row r="1137" spans="1:6" ht="15" customHeight="1" x14ac:dyDescent="0.45">
      <c r="A1137" s="490">
        <v>235</v>
      </c>
      <c r="B1137" s="108">
        <v>264.20350000000002</v>
      </c>
      <c r="C1137" s="108">
        <v>264.5</v>
      </c>
      <c r="D1137" s="108">
        <f t="shared" si="314"/>
        <v>0.29649999999998045</v>
      </c>
      <c r="E1137" s="110">
        <f t="shared" si="316"/>
        <v>0.13186837499998261</v>
      </c>
      <c r="F1137" s="2">
        <f t="shared" si="315"/>
        <v>0.65934187499991304</v>
      </c>
    </row>
    <row r="1138" spans="1:6" ht="15" customHeight="1" x14ac:dyDescent="0.45">
      <c r="A1138" s="490">
        <v>236</v>
      </c>
      <c r="B1138" s="108">
        <v>264.10789999999997</v>
      </c>
      <c r="C1138" s="108">
        <v>264.5</v>
      </c>
      <c r="D1138" s="108">
        <f t="shared" si="314"/>
        <v>0.39210000000002765</v>
      </c>
      <c r="E1138" s="110">
        <f t="shared" si="316"/>
        <v>0.23061361500003252</v>
      </c>
      <c r="F1138" s="2">
        <f t="shared" si="315"/>
        <v>1.1530680750001627</v>
      </c>
    </row>
    <row r="1139" spans="1:6" ht="15" customHeight="1" x14ac:dyDescent="0.45">
      <c r="A1139" s="490">
        <v>237</v>
      </c>
      <c r="B1139" s="108">
        <v>263.8691</v>
      </c>
      <c r="C1139" s="108">
        <v>264.5</v>
      </c>
      <c r="D1139" s="108">
        <f t="shared" si="314"/>
        <v>0.63089999999999691</v>
      </c>
      <c r="E1139" s="110">
        <f t="shared" si="316"/>
        <v>0.59705221499999417</v>
      </c>
      <c r="F1139" s="2">
        <f t="shared" si="315"/>
        <v>2.9852610749999711</v>
      </c>
    </row>
    <row r="1140" spans="1:6" ht="15" customHeight="1" x14ac:dyDescent="0.45">
      <c r="A1140" s="490">
        <v>238</v>
      </c>
      <c r="B1140" s="108">
        <v>263.80180000000001</v>
      </c>
      <c r="C1140" s="108">
        <v>264.5</v>
      </c>
      <c r="D1140" s="108">
        <f t="shared" si="314"/>
        <v>0.69819999999998572</v>
      </c>
      <c r="E1140" s="110">
        <f t="shared" si="316"/>
        <v>0.73122485999997011</v>
      </c>
      <c r="F1140" s="2">
        <f t="shared" si="315"/>
        <v>3.6561242999998504</v>
      </c>
    </row>
    <row r="1141" spans="1:6" ht="15" customHeight="1" x14ac:dyDescent="0.45">
      <c r="A1141" s="490">
        <v>239</v>
      </c>
      <c r="B1141" s="108">
        <v>262.93790000000001</v>
      </c>
      <c r="C1141" s="108">
        <v>264.5</v>
      </c>
      <c r="D1141" s="108">
        <f t="shared" si="314"/>
        <v>1.5620999999999867</v>
      </c>
      <c r="E1141" s="110">
        <f t="shared" si="316"/>
        <v>3.6602346149999376</v>
      </c>
      <c r="F1141" s="2">
        <f t="shared" si="315"/>
        <v>18.301173074999689</v>
      </c>
    </row>
    <row r="1142" spans="1:6" ht="15" customHeight="1" x14ac:dyDescent="0.45">
      <c r="A1142" s="490">
        <v>240</v>
      </c>
      <c r="B1142" s="108">
        <v>262.77330000000001</v>
      </c>
      <c r="C1142" s="108">
        <v>264.5</v>
      </c>
      <c r="D1142" s="108">
        <f t="shared" si="314"/>
        <v>1.7266999999999939</v>
      </c>
      <c r="E1142" s="110">
        <f t="shared" si="316"/>
        <v>4.4722393349999683</v>
      </c>
      <c r="F1142" s="2">
        <f t="shared" si="315"/>
        <v>22.361196674999842</v>
      </c>
    </row>
    <row r="1143" spans="1:6" ht="15" customHeight="1" x14ac:dyDescent="0.45">
      <c r="A1143" s="490">
        <v>241</v>
      </c>
      <c r="B1143" s="108">
        <v>262.76920000000001</v>
      </c>
      <c r="C1143" s="108">
        <v>264.5</v>
      </c>
      <c r="D1143" s="108">
        <f t="shared" si="314"/>
        <v>1.7307999999999879</v>
      </c>
      <c r="E1143" s="110">
        <f t="shared" si="316"/>
        <v>4.4935029599999368</v>
      </c>
      <c r="F1143" s="2">
        <f t="shared" si="315"/>
        <v>22.467514799999684</v>
      </c>
    </row>
    <row r="1144" spans="1:6" ht="15" customHeight="1" x14ac:dyDescent="0.45">
      <c r="A1144" s="490">
        <v>242</v>
      </c>
      <c r="B1144" s="108">
        <v>262.8689</v>
      </c>
      <c r="C1144" s="108">
        <v>264.5</v>
      </c>
      <c r="D1144" s="108">
        <f t="shared" si="314"/>
        <v>1.6311000000000035</v>
      </c>
      <c r="E1144" s="110">
        <f t="shared" si="316"/>
        <v>3.9907308150000169</v>
      </c>
      <c r="F1144" s="2">
        <f t="shared" si="315"/>
        <v>19.953654075000085</v>
      </c>
    </row>
    <row r="1145" spans="1:6" ht="15" customHeight="1" x14ac:dyDescent="0.45">
      <c r="A1145" s="490">
        <v>243</v>
      </c>
      <c r="B1145" s="108">
        <v>262.8032</v>
      </c>
      <c r="C1145" s="108">
        <v>264.5</v>
      </c>
      <c r="D1145" s="108">
        <f t="shared" si="314"/>
        <v>1.6967999999999961</v>
      </c>
      <c r="E1145" s="110">
        <f t="shared" si="316"/>
        <v>4.31869535999998</v>
      </c>
      <c r="F1145" s="2">
        <f t="shared" si="315"/>
        <v>21.593476799999898</v>
      </c>
    </row>
    <row r="1146" spans="1:6" ht="15" customHeight="1" x14ac:dyDescent="0.45">
      <c r="A1146" s="490">
        <v>244</v>
      </c>
      <c r="B1146" s="108">
        <v>262.83260000000001</v>
      </c>
      <c r="C1146" s="108">
        <v>264.5</v>
      </c>
      <c r="D1146" s="108">
        <f t="shared" si="314"/>
        <v>1.6673999999999864</v>
      </c>
      <c r="E1146" s="110">
        <f t="shared" si="316"/>
        <v>4.1703341399999321</v>
      </c>
      <c r="F1146" s="2">
        <f t="shared" si="315"/>
        <v>20.851670699999659</v>
      </c>
    </row>
    <row r="1147" spans="1:6" ht="15" customHeight="1" x14ac:dyDescent="0.45">
      <c r="A1147" s="490">
        <v>245</v>
      </c>
      <c r="B1147" s="108">
        <v>262.94110000000001</v>
      </c>
      <c r="C1147" s="108">
        <v>264.5</v>
      </c>
      <c r="D1147" s="108">
        <f t="shared" si="314"/>
        <v>1.5588999999999942</v>
      </c>
      <c r="E1147" s="110">
        <f t="shared" si="316"/>
        <v>3.6452538149999727</v>
      </c>
      <c r="F1147" s="2">
        <f t="shared" si="315"/>
        <v>18.226269074999863</v>
      </c>
    </row>
    <row r="1148" spans="1:6" ht="15" customHeight="1" x14ac:dyDescent="0.45">
      <c r="A1148" s="490">
        <v>246</v>
      </c>
      <c r="B1148" s="108">
        <v>264.31169999999997</v>
      </c>
      <c r="C1148" s="108">
        <v>264.5</v>
      </c>
      <c r="D1148" s="108">
        <f t="shared" si="314"/>
        <v>0.18830000000002656</v>
      </c>
      <c r="E1148" s="110">
        <f t="shared" si="316"/>
        <v>5.3185335000015002E-2</v>
      </c>
      <c r="F1148" s="2">
        <f t="shared" si="315"/>
        <v>0.265926675000075</v>
      </c>
    </row>
    <row r="1149" spans="1:6" ht="15" customHeight="1" x14ac:dyDescent="0.45">
      <c r="A1149" s="490">
        <v>247</v>
      </c>
      <c r="B1149" s="108">
        <v>263.9194</v>
      </c>
      <c r="C1149" s="108">
        <v>264.5</v>
      </c>
      <c r="D1149" s="108">
        <f t="shared" si="314"/>
        <v>0.580600000000004</v>
      </c>
      <c r="E1149" s="110">
        <f t="shared" si="316"/>
        <v>0.50564454000000691</v>
      </c>
      <c r="F1149" s="2">
        <f t="shared" si="315"/>
        <v>2.5282227000000344</v>
      </c>
    </row>
    <row r="1150" spans="1:6" ht="15" customHeight="1" x14ac:dyDescent="0.45">
      <c r="A1150" s="490">
        <v>248</v>
      </c>
      <c r="B1150" s="108">
        <v>263.77600000000001</v>
      </c>
      <c r="C1150" s="108">
        <v>264.5</v>
      </c>
      <c r="D1150" s="108">
        <f t="shared" si="314"/>
        <v>0.72399999999998954</v>
      </c>
      <c r="E1150" s="110">
        <f t="shared" si="316"/>
        <v>0.78626399999997731</v>
      </c>
      <c r="F1150" s="2">
        <f t="shared" si="315"/>
        <v>3.9313199999998867</v>
      </c>
    </row>
    <row r="1151" spans="1:6" ht="15" customHeight="1" x14ac:dyDescent="0.45">
      <c r="A1151" s="490">
        <v>249</v>
      </c>
      <c r="B1151" s="108">
        <v>263.07740000000001</v>
      </c>
      <c r="C1151" s="108">
        <v>264.5</v>
      </c>
      <c r="D1151" s="108">
        <f t="shared" si="314"/>
        <v>1.4225999999999885</v>
      </c>
      <c r="E1151" s="110">
        <f t="shared" si="316"/>
        <v>3.0356861399999513</v>
      </c>
      <c r="F1151" s="2">
        <f t="shared" si="315"/>
        <v>15.178430699999756</v>
      </c>
    </row>
    <row r="1152" spans="1:6" ht="15" customHeight="1" x14ac:dyDescent="0.45">
      <c r="A1152" s="490">
        <v>250</v>
      </c>
      <c r="B1152" s="108">
        <v>264.1558</v>
      </c>
      <c r="C1152" s="108">
        <v>264.5</v>
      </c>
      <c r="D1152" s="108">
        <f t="shared" si="314"/>
        <v>0.34420000000000073</v>
      </c>
      <c r="E1152" s="110">
        <f t="shared" si="316"/>
        <v>0.17771046000000076</v>
      </c>
      <c r="F1152" s="2">
        <f t="shared" si="315"/>
        <v>0.88855230000000385</v>
      </c>
    </row>
    <row r="1153" spans="1:6" ht="15" customHeight="1" x14ac:dyDescent="0.45">
      <c r="A1153" s="490">
        <v>251</v>
      </c>
      <c r="B1153" s="108">
        <v>263.88959999999997</v>
      </c>
      <c r="C1153" s="108">
        <v>264.5</v>
      </c>
      <c r="D1153" s="108">
        <f t="shared" si="314"/>
        <v>0.61040000000002692</v>
      </c>
      <c r="E1153" s="110">
        <f t="shared" si="316"/>
        <v>0.55888224000004927</v>
      </c>
      <c r="F1153" s="2">
        <f t="shared" si="315"/>
        <v>2.7944112000002463</v>
      </c>
    </row>
    <row r="1154" spans="1:6" ht="15" customHeight="1" x14ac:dyDescent="0.45">
      <c r="A1154" s="490">
        <v>252</v>
      </c>
      <c r="B1154" s="108">
        <v>263.5172</v>
      </c>
      <c r="C1154" s="108">
        <v>264.5</v>
      </c>
      <c r="D1154" s="108">
        <f t="shared" si="314"/>
        <v>0.98279999999999745</v>
      </c>
      <c r="E1154" s="110">
        <f t="shared" si="316"/>
        <v>1.4488437599999924</v>
      </c>
      <c r="F1154" s="2">
        <f t="shared" si="315"/>
        <v>7.2442187999999614</v>
      </c>
    </row>
    <row r="1155" spans="1:6" ht="15" customHeight="1" x14ac:dyDescent="0.45">
      <c r="A1155" s="490">
        <v>253</v>
      </c>
      <c r="B1155" s="108">
        <v>263.05869999999999</v>
      </c>
      <c r="C1155" s="108">
        <v>264.5</v>
      </c>
      <c r="D1155" s="108">
        <f t="shared" si="314"/>
        <v>1.4413000000000125</v>
      </c>
      <c r="E1155" s="110">
        <f t="shared" si="316"/>
        <v>3.116018535000054</v>
      </c>
      <c r="F1155" s="2">
        <f t="shared" si="315"/>
        <v>15.58009267500027</v>
      </c>
    </row>
    <row r="1156" spans="1:6" ht="15" customHeight="1" x14ac:dyDescent="0.45">
      <c r="A1156" s="490">
        <v>254</v>
      </c>
      <c r="B1156" s="108">
        <v>263.96980000000002</v>
      </c>
      <c r="C1156" s="108">
        <v>264.5</v>
      </c>
      <c r="D1156" s="108">
        <f t="shared" si="314"/>
        <v>0.53019999999997935</v>
      </c>
      <c r="E1156" s="110">
        <f t="shared" si="316"/>
        <v>0.42166805999996715</v>
      </c>
      <c r="F1156" s="2">
        <f t="shared" si="315"/>
        <v>2.1083402999998357</v>
      </c>
    </row>
    <row r="1157" spans="1:6" ht="15" customHeight="1" x14ac:dyDescent="0.45">
      <c r="A1157" s="490">
        <v>255</v>
      </c>
      <c r="B1157" s="108">
        <v>264.11450000000002</v>
      </c>
      <c r="C1157" s="108">
        <v>264.5</v>
      </c>
      <c r="D1157" s="108">
        <f t="shared" si="314"/>
        <v>0.38549999999997908</v>
      </c>
      <c r="E1157" s="110">
        <f t="shared" si="316"/>
        <v>0.22291537499997582</v>
      </c>
      <c r="F1157" s="2">
        <f t="shared" si="315"/>
        <v>1.1145768749998792</v>
      </c>
    </row>
    <row r="1158" spans="1:6" ht="15" customHeight="1" x14ac:dyDescent="0.45">
      <c r="A1158" s="490">
        <v>256</v>
      </c>
      <c r="B1158" s="108">
        <v>263.63319999999999</v>
      </c>
      <c r="C1158" s="108">
        <v>264.5</v>
      </c>
      <c r="D1158" s="108">
        <f t="shared" si="314"/>
        <v>0.86680000000001201</v>
      </c>
      <c r="E1158" s="110">
        <f t="shared" si="316"/>
        <v>1.1270133600000312</v>
      </c>
      <c r="F1158" s="2">
        <f t="shared" si="315"/>
        <v>5.635066800000156</v>
      </c>
    </row>
    <row r="1159" spans="1:6" ht="15" customHeight="1" x14ac:dyDescent="0.45">
      <c r="A1159" s="490">
        <v>257</v>
      </c>
      <c r="B1159" s="108">
        <v>263.08850000000001</v>
      </c>
      <c r="C1159" s="108">
        <v>264.5</v>
      </c>
      <c r="D1159" s="108">
        <f t="shared" ref="D1159:D1166" si="317">C1159-B1159</f>
        <v>1.4114999999999895</v>
      </c>
      <c r="E1159" s="110">
        <f t="shared" si="316"/>
        <v>2.9884983749999559</v>
      </c>
      <c r="F1159" s="2">
        <f t="shared" ref="F1159:F1166" si="318">E1159*5</f>
        <v>14.94249187499978</v>
      </c>
    </row>
    <row r="1160" spans="1:6" ht="15" customHeight="1" x14ac:dyDescent="0.45">
      <c r="A1160" s="490">
        <v>258</v>
      </c>
      <c r="B1160" s="108">
        <v>264.05739999999997</v>
      </c>
      <c r="C1160" s="108">
        <v>264.5</v>
      </c>
      <c r="D1160" s="108">
        <f t="shared" si="317"/>
        <v>0.44260000000002719</v>
      </c>
      <c r="E1160" s="110">
        <f t="shared" ref="E1160:E1223" si="319">IF(D1160&gt;0,1.5*D1160^2,1.5*0.5^2)</f>
        <v>0.29384214000003611</v>
      </c>
      <c r="F1160" s="2">
        <f t="shared" si="318"/>
        <v>1.4692107000001806</v>
      </c>
    </row>
    <row r="1161" spans="1:6" ht="15" customHeight="1" x14ac:dyDescent="0.45">
      <c r="A1161" s="490">
        <v>259</v>
      </c>
      <c r="B1161" s="108">
        <v>263.94959999999998</v>
      </c>
      <c r="C1161" s="108">
        <v>264.5</v>
      </c>
      <c r="D1161" s="108">
        <f t="shared" si="317"/>
        <v>0.55040000000002465</v>
      </c>
      <c r="E1161" s="110">
        <f t="shared" si="319"/>
        <v>0.45441024000004071</v>
      </c>
      <c r="F1161" s="2">
        <f t="shared" si="318"/>
        <v>2.2720512000002033</v>
      </c>
    </row>
    <row r="1162" spans="1:6" ht="15" customHeight="1" x14ac:dyDescent="0.45">
      <c r="A1162" s="490">
        <v>260</v>
      </c>
      <c r="B1162" s="108">
        <v>263.75020000000001</v>
      </c>
      <c r="C1162" s="108">
        <v>264.5</v>
      </c>
      <c r="D1162" s="108">
        <f t="shared" si="317"/>
        <v>0.74979999999999336</v>
      </c>
      <c r="E1162" s="110">
        <f t="shared" si="319"/>
        <v>0.84330005999998503</v>
      </c>
      <c r="F1162" s="2">
        <f t="shared" si="318"/>
        <v>4.2165002999999253</v>
      </c>
    </row>
    <row r="1163" spans="1:6" ht="15" customHeight="1" x14ac:dyDescent="0.45">
      <c r="A1163" s="490">
        <v>261</v>
      </c>
      <c r="B1163" s="108">
        <v>263.19760000000002</v>
      </c>
      <c r="C1163" s="108">
        <v>264.5</v>
      </c>
      <c r="D1163" s="108">
        <f t="shared" si="317"/>
        <v>1.3023999999999774</v>
      </c>
      <c r="E1163" s="110">
        <f t="shared" si="319"/>
        <v>2.5443686399999113</v>
      </c>
      <c r="F1163" s="2">
        <f t="shared" si="318"/>
        <v>12.721843199999556</v>
      </c>
    </row>
    <row r="1164" spans="1:6" ht="15" customHeight="1" x14ac:dyDescent="0.45">
      <c r="A1164" s="490">
        <v>262</v>
      </c>
      <c r="B1164" s="108">
        <v>264.0702</v>
      </c>
      <c r="C1164" s="108">
        <v>264.5</v>
      </c>
      <c r="D1164" s="108">
        <f t="shared" si="317"/>
        <v>0.42980000000000018</v>
      </c>
      <c r="E1164" s="110">
        <f t="shared" si="319"/>
        <v>0.2770920600000002</v>
      </c>
      <c r="F1164" s="2">
        <f t="shared" si="318"/>
        <v>1.385460300000001</v>
      </c>
    </row>
    <row r="1165" spans="1:6" ht="15" customHeight="1" x14ac:dyDescent="0.45">
      <c r="A1165" s="490">
        <v>263</v>
      </c>
      <c r="B1165" s="108">
        <v>263.90350000000001</v>
      </c>
      <c r="C1165" s="108">
        <v>264.5</v>
      </c>
      <c r="D1165" s="108">
        <f t="shared" si="317"/>
        <v>0.59649999999999181</v>
      </c>
      <c r="E1165" s="110">
        <f t="shared" si="319"/>
        <v>0.53371837499998531</v>
      </c>
      <c r="F1165" s="2">
        <f t="shared" si="318"/>
        <v>2.6685918749999264</v>
      </c>
    </row>
    <row r="1166" spans="1:6" ht="15" customHeight="1" x14ac:dyDescent="0.45">
      <c r="A1166" s="490">
        <v>264</v>
      </c>
      <c r="B1166" s="108">
        <v>264.1619</v>
      </c>
      <c r="C1166" s="108">
        <v>264.5</v>
      </c>
      <c r="D1166" s="108">
        <f t="shared" si="317"/>
        <v>0.33809999999999718</v>
      </c>
      <c r="E1166" s="110">
        <f t="shared" si="319"/>
        <v>0.17146741499999713</v>
      </c>
      <c r="F1166" s="2">
        <f t="shared" si="318"/>
        <v>0.85733707499998557</v>
      </c>
    </row>
    <row r="1167" spans="1:6" ht="15" customHeight="1" x14ac:dyDescent="0.45">
      <c r="A1167" s="490">
        <v>265</v>
      </c>
      <c r="B1167" s="108">
        <v>263.99630000000002</v>
      </c>
      <c r="C1167" s="108">
        <v>264.5</v>
      </c>
      <c r="D1167" s="108">
        <f t="shared" ref="D1167:D1198" si="320">C1167-B1167</f>
        <v>0.50369999999998072</v>
      </c>
      <c r="E1167" s="110">
        <f t="shared" si="319"/>
        <v>0.38057053499997084</v>
      </c>
      <c r="F1167" s="2">
        <f t="shared" ref="F1167:F1198" si="321">E1167*5</f>
        <v>1.9028526749998542</v>
      </c>
    </row>
    <row r="1168" spans="1:6" ht="15" customHeight="1" x14ac:dyDescent="0.45">
      <c r="A1168" s="490">
        <v>266</v>
      </c>
      <c r="B1168" s="108">
        <v>263.82799999999997</v>
      </c>
      <c r="C1168" s="108">
        <v>264.5</v>
      </c>
      <c r="D1168" s="108">
        <f t="shared" si="320"/>
        <v>0.67200000000002547</v>
      </c>
      <c r="E1168" s="110">
        <f t="shared" si="319"/>
        <v>0.67737600000005138</v>
      </c>
      <c r="F1168" s="2">
        <f t="shared" si="321"/>
        <v>3.3868800000002568</v>
      </c>
    </row>
    <row r="1169" spans="1:6" ht="15" customHeight="1" x14ac:dyDescent="0.45">
      <c r="A1169" s="490">
        <v>267</v>
      </c>
      <c r="B1169" s="108">
        <v>263.7457</v>
      </c>
      <c r="C1169" s="108">
        <v>264.5</v>
      </c>
      <c r="D1169" s="108">
        <f t="shared" si="320"/>
        <v>0.75430000000000064</v>
      </c>
      <c r="E1169" s="110">
        <f t="shared" si="319"/>
        <v>0.85345273500000141</v>
      </c>
      <c r="F1169" s="2">
        <f t="shared" si="321"/>
        <v>4.2672636750000068</v>
      </c>
    </row>
    <row r="1170" spans="1:6" ht="15" customHeight="1" x14ac:dyDescent="0.45">
      <c r="A1170" s="490">
        <v>268</v>
      </c>
      <c r="B1170" s="108">
        <v>263.71550000000002</v>
      </c>
      <c r="C1170" s="108">
        <v>264.5</v>
      </c>
      <c r="D1170" s="108">
        <f t="shared" si="320"/>
        <v>0.78449999999997999</v>
      </c>
      <c r="E1170" s="110">
        <f t="shared" si="319"/>
        <v>0.92316037499995285</v>
      </c>
      <c r="F1170" s="2">
        <f t="shared" si="321"/>
        <v>4.6158018749997645</v>
      </c>
    </row>
    <row r="1171" spans="1:6" ht="15" customHeight="1" x14ac:dyDescent="0.45">
      <c r="A1171" s="490">
        <v>269</v>
      </c>
      <c r="B1171" s="108">
        <v>263.93490000000003</v>
      </c>
      <c r="C1171" s="108">
        <v>264.5</v>
      </c>
      <c r="D1171" s="108">
        <f t="shared" si="320"/>
        <v>0.56509999999997262</v>
      </c>
      <c r="E1171" s="110">
        <f t="shared" si="319"/>
        <v>0.47900701499995363</v>
      </c>
      <c r="F1171" s="2">
        <f t="shared" si="321"/>
        <v>2.3950350749997682</v>
      </c>
    </row>
    <row r="1172" spans="1:6" ht="15" customHeight="1" x14ac:dyDescent="0.45">
      <c r="A1172" s="490">
        <v>270</v>
      </c>
      <c r="B1172" s="108">
        <v>262.92680000000001</v>
      </c>
      <c r="C1172" s="108">
        <v>264.5</v>
      </c>
      <c r="D1172" s="108">
        <f t="shared" si="320"/>
        <v>1.5731999999999857</v>
      </c>
      <c r="E1172" s="110">
        <f t="shared" si="319"/>
        <v>3.7124373599999325</v>
      </c>
      <c r="F1172" s="2">
        <f t="shared" si="321"/>
        <v>18.562186799999662</v>
      </c>
    </row>
    <row r="1173" spans="1:6" ht="15" customHeight="1" x14ac:dyDescent="0.45">
      <c r="A1173" s="490">
        <v>271</v>
      </c>
      <c r="B1173" s="108">
        <v>262.9631</v>
      </c>
      <c r="C1173" s="108">
        <v>264.5</v>
      </c>
      <c r="D1173" s="108">
        <f t="shared" si="320"/>
        <v>1.5369000000000028</v>
      </c>
      <c r="E1173" s="110">
        <f t="shared" si="319"/>
        <v>3.5430924150000127</v>
      </c>
      <c r="F1173" s="2">
        <f t="shared" si="321"/>
        <v>17.715462075000062</v>
      </c>
    </row>
    <row r="1174" spans="1:6" ht="15" customHeight="1" x14ac:dyDescent="0.45">
      <c r="A1174" s="490">
        <v>272</v>
      </c>
      <c r="B1174" s="108">
        <v>263.13479999999998</v>
      </c>
      <c r="C1174" s="108">
        <v>264.5</v>
      </c>
      <c r="D1174" s="108">
        <f t="shared" si="320"/>
        <v>1.3652000000000157</v>
      </c>
      <c r="E1174" s="110">
        <f t="shared" si="319"/>
        <v>2.7956565600000642</v>
      </c>
      <c r="F1174" s="2">
        <f t="shared" si="321"/>
        <v>13.978282800000322</v>
      </c>
    </row>
    <row r="1175" spans="1:6" ht="15" customHeight="1" x14ac:dyDescent="0.45">
      <c r="A1175" s="490">
        <v>273</v>
      </c>
      <c r="B1175" s="108">
        <v>263.315</v>
      </c>
      <c r="C1175" s="108">
        <v>264.5</v>
      </c>
      <c r="D1175" s="108">
        <f t="shared" si="320"/>
        <v>1.1850000000000023</v>
      </c>
      <c r="E1175" s="110">
        <f t="shared" si="319"/>
        <v>2.106337500000008</v>
      </c>
      <c r="F1175" s="2">
        <f t="shared" si="321"/>
        <v>10.531687500000039</v>
      </c>
    </row>
    <row r="1176" spans="1:6" ht="15" customHeight="1" x14ac:dyDescent="0.45">
      <c r="A1176" s="490">
        <v>274</v>
      </c>
      <c r="B1176" s="108">
        <v>263.24759999999998</v>
      </c>
      <c r="C1176" s="108">
        <v>264.5</v>
      </c>
      <c r="D1176" s="108">
        <f t="shared" si="320"/>
        <v>1.2524000000000228</v>
      </c>
      <c r="E1176" s="110">
        <f t="shared" si="319"/>
        <v>2.3527586400000855</v>
      </c>
      <c r="F1176" s="2">
        <f t="shared" si="321"/>
        <v>11.763793200000428</v>
      </c>
    </row>
    <row r="1177" spans="1:6" ht="15" customHeight="1" x14ac:dyDescent="0.45">
      <c r="A1177" s="490">
        <v>275</v>
      </c>
      <c r="B1177" s="108">
        <v>263.19600000000003</v>
      </c>
      <c r="C1177" s="108">
        <v>264.5</v>
      </c>
      <c r="D1177" s="108">
        <f t="shared" si="320"/>
        <v>1.3039999999999736</v>
      </c>
      <c r="E1177" s="110">
        <f t="shared" si="319"/>
        <v>2.550623999999897</v>
      </c>
      <c r="F1177" s="2">
        <f t="shared" si="321"/>
        <v>12.753119999999484</v>
      </c>
    </row>
    <row r="1178" spans="1:6" ht="15" customHeight="1" x14ac:dyDescent="0.45">
      <c r="A1178" s="490">
        <v>276</v>
      </c>
      <c r="B1178" s="108">
        <v>263.08350000000002</v>
      </c>
      <c r="C1178" s="108">
        <v>264.5</v>
      </c>
      <c r="D1178" s="108">
        <f t="shared" si="320"/>
        <v>1.416499999999985</v>
      </c>
      <c r="E1178" s="110">
        <f t="shared" si="319"/>
        <v>3.0097083749999367</v>
      </c>
      <c r="F1178" s="2">
        <f t="shared" si="321"/>
        <v>15.048541874999684</v>
      </c>
    </row>
    <row r="1179" spans="1:6" ht="15" customHeight="1" x14ac:dyDescent="0.45">
      <c r="A1179" s="490">
        <v>277</v>
      </c>
      <c r="B1179" s="108">
        <v>263.03620000000001</v>
      </c>
      <c r="C1179" s="108">
        <v>264.5</v>
      </c>
      <c r="D1179" s="108">
        <f t="shared" si="320"/>
        <v>1.463799999999992</v>
      </c>
      <c r="E1179" s="110">
        <f t="shared" si="319"/>
        <v>3.2140656599999646</v>
      </c>
      <c r="F1179" s="2">
        <f t="shared" si="321"/>
        <v>16.070328299999822</v>
      </c>
    </row>
    <row r="1180" spans="1:6" ht="15" customHeight="1" x14ac:dyDescent="0.45">
      <c r="A1180" s="490">
        <v>278</v>
      </c>
      <c r="B1180" s="108">
        <v>263.03539999999998</v>
      </c>
      <c r="C1180" s="108">
        <v>264.5</v>
      </c>
      <c r="D1180" s="108">
        <f t="shared" si="320"/>
        <v>1.4646000000000186</v>
      </c>
      <c r="E1180" s="110">
        <f t="shared" si="319"/>
        <v>3.2175797400000814</v>
      </c>
      <c r="F1180" s="2">
        <f t="shared" si="321"/>
        <v>16.087898700000409</v>
      </c>
    </row>
    <row r="1181" spans="1:6" ht="15" customHeight="1" x14ac:dyDescent="0.45">
      <c r="A1181" s="490">
        <v>279</v>
      </c>
      <c r="B1181" s="108">
        <v>263.06529999999998</v>
      </c>
      <c r="C1181" s="108">
        <v>264.5</v>
      </c>
      <c r="D1181" s="108">
        <f t="shared" si="320"/>
        <v>1.4347000000000207</v>
      </c>
      <c r="E1181" s="110">
        <f t="shared" si="319"/>
        <v>3.087546135000089</v>
      </c>
      <c r="F1181" s="2">
        <f t="shared" si="321"/>
        <v>15.437730675000445</v>
      </c>
    </row>
    <row r="1182" spans="1:6" ht="15" customHeight="1" x14ac:dyDescent="0.45">
      <c r="A1182" s="490">
        <v>280</v>
      </c>
      <c r="B1182" s="108">
        <v>263.11930000000001</v>
      </c>
      <c r="C1182" s="108">
        <v>264.5</v>
      </c>
      <c r="D1182" s="108">
        <f t="shared" si="320"/>
        <v>1.3806999999999903</v>
      </c>
      <c r="E1182" s="110">
        <f t="shared" si="319"/>
        <v>2.8594987349999599</v>
      </c>
      <c r="F1182" s="2">
        <f t="shared" si="321"/>
        <v>14.297493674999799</v>
      </c>
    </row>
    <row r="1183" spans="1:6" ht="15" customHeight="1" x14ac:dyDescent="0.45">
      <c r="A1183" s="490">
        <v>281</v>
      </c>
      <c r="B1183" s="108">
        <v>263.21679999999998</v>
      </c>
      <c r="C1183" s="108">
        <v>264.5</v>
      </c>
      <c r="D1183" s="108">
        <f t="shared" si="320"/>
        <v>1.2832000000000221</v>
      </c>
      <c r="E1183" s="110">
        <f t="shared" si="319"/>
        <v>2.4699033600000848</v>
      </c>
      <c r="F1183" s="2">
        <f t="shared" si="321"/>
        <v>12.349516800000425</v>
      </c>
    </row>
    <row r="1184" spans="1:6" ht="15" customHeight="1" x14ac:dyDescent="0.45">
      <c r="A1184" s="490">
        <v>282</v>
      </c>
      <c r="B1184" s="108">
        <v>262.96199999999999</v>
      </c>
      <c r="C1184" s="108">
        <v>264.5</v>
      </c>
      <c r="D1184" s="108">
        <f t="shared" si="320"/>
        <v>1.5380000000000109</v>
      </c>
      <c r="E1184" s="110">
        <f t="shared" si="319"/>
        <v>3.5481660000000499</v>
      </c>
      <c r="F1184" s="2">
        <f t="shared" si="321"/>
        <v>17.740830000000251</v>
      </c>
    </row>
    <row r="1185" spans="1:6" ht="15" customHeight="1" x14ac:dyDescent="0.45">
      <c r="A1185" s="490">
        <v>283</v>
      </c>
      <c r="B1185" s="108">
        <v>264.1721</v>
      </c>
      <c r="C1185" s="108">
        <v>264.5</v>
      </c>
      <c r="D1185" s="108">
        <f t="shared" si="320"/>
        <v>0.32789999999999964</v>
      </c>
      <c r="E1185" s="110">
        <f t="shared" si="319"/>
        <v>0.16127761499999965</v>
      </c>
      <c r="F1185" s="2">
        <f t="shared" si="321"/>
        <v>0.80638807499999832</v>
      </c>
    </row>
    <row r="1186" spans="1:6" ht="15" customHeight="1" x14ac:dyDescent="0.45">
      <c r="A1186" s="490">
        <v>284</v>
      </c>
      <c r="B1186" s="108">
        <v>263.83980000000003</v>
      </c>
      <c r="C1186" s="108">
        <v>264.5</v>
      </c>
      <c r="D1186" s="108">
        <f t="shared" si="320"/>
        <v>0.66019999999997481</v>
      </c>
      <c r="E1186" s="110">
        <f t="shared" si="319"/>
        <v>0.65379605999995016</v>
      </c>
      <c r="F1186" s="2">
        <f t="shared" si="321"/>
        <v>3.2689802999997508</v>
      </c>
    </row>
    <row r="1187" spans="1:6" ht="15" customHeight="1" x14ac:dyDescent="0.45">
      <c r="A1187" s="490">
        <v>285</v>
      </c>
      <c r="B1187" s="108">
        <v>264.12310000000002</v>
      </c>
      <c r="C1187" s="108">
        <v>264.5</v>
      </c>
      <c r="D1187" s="108">
        <f t="shared" si="320"/>
        <v>0.37689999999997781</v>
      </c>
      <c r="E1187" s="110">
        <f t="shared" si="319"/>
        <v>0.21308041499997488</v>
      </c>
      <c r="F1187" s="2">
        <f t="shared" si="321"/>
        <v>1.0654020749998745</v>
      </c>
    </row>
    <row r="1188" spans="1:6" ht="15" customHeight="1" x14ac:dyDescent="0.45">
      <c r="A1188" s="490">
        <v>286</v>
      </c>
      <c r="B1188" s="108">
        <v>264.02429999999998</v>
      </c>
      <c r="C1188" s="108">
        <v>264.5</v>
      </c>
      <c r="D1188" s="108">
        <f t="shared" si="320"/>
        <v>0.47570000000001755</v>
      </c>
      <c r="E1188" s="110">
        <f t="shared" si="319"/>
        <v>0.33943573500002505</v>
      </c>
      <c r="F1188" s="2">
        <f t="shared" si="321"/>
        <v>1.6971786750001252</v>
      </c>
    </row>
    <row r="1189" spans="1:6" ht="15" customHeight="1" x14ac:dyDescent="0.45">
      <c r="A1189" s="490">
        <v>287</v>
      </c>
      <c r="B1189" s="108">
        <v>264.1995</v>
      </c>
      <c r="C1189" s="108">
        <v>264.5</v>
      </c>
      <c r="D1189" s="108">
        <f t="shared" si="320"/>
        <v>0.30049999999999955</v>
      </c>
      <c r="E1189" s="110">
        <f t="shared" si="319"/>
        <v>0.13545037499999957</v>
      </c>
      <c r="F1189" s="2">
        <f t="shared" si="321"/>
        <v>0.67725187499999784</v>
      </c>
    </row>
    <row r="1190" spans="1:6" ht="15" customHeight="1" x14ac:dyDescent="0.45">
      <c r="A1190" s="490">
        <v>288</v>
      </c>
      <c r="B1190" s="108">
        <v>264.11020000000002</v>
      </c>
      <c r="C1190" s="108">
        <v>264.5</v>
      </c>
      <c r="D1190" s="108">
        <f t="shared" si="320"/>
        <v>0.38979999999997972</v>
      </c>
      <c r="E1190" s="110">
        <f t="shared" si="319"/>
        <v>0.22791605999997627</v>
      </c>
      <c r="F1190" s="2">
        <f t="shared" si="321"/>
        <v>1.1395802999998814</v>
      </c>
    </row>
    <row r="1191" spans="1:6" ht="15" customHeight="1" x14ac:dyDescent="0.45">
      <c r="A1191" s="490">
        <v>289</v>
      </c>
      <c r="B1191" s="108">
        <v>264.01069999999999</v>
      </c>
      <c r="C1191" s="108">
        <v>264.5</v>
      </c>
      <c r="D1191" s="108">
        <f t="shared" si="320"/>
        <v>0.48930000000001428</v>
      </c>
      <c r="E1191" s="110">
        <f t="shared" si="319"/>
        <v>0.35912173500002098</v>
      </c>
      <c r="F1191" s="2">
        <f t="shared" si="321"/>
        <v>1.7956086750001048</v>
      </c>
    </row>
    <row r="1192" spans="1:6" ht="15" customHeight="1" x14ac:dyDescent="0.45">
      <c r="A1192" s="490">
        <v>290</v>
      </c>
      <c r="B1192" s="108">
        <v>263.93090000000001</v>
      </c>
      <c r="C1192" s="108">
        <v>264.5</v>
      </c>
      <c r="D1192" s="108">
        <f t="shared" si="320"/>
        <v>0.56909999999999172</v>
      </c>
      <c r="E1192" s="110">
        <f t="shared" si="319"/>
        <v>0.48581221499998584</v>
      </c>
      <c r="F1192" s="2">
        <f t="shared" si="321"/>
        <v>2.4290610749999293</v>
      </c>
    </row>
    <row r="1193" spans="1:6" ht="15" customHeight="1" x14ac:dyDescent="0.45">
      <c r="A1193" s="490">
        <v>291</v>
      </c>
      <c r="B1193" s="108">
        <v>263.28870000000001</v>
      </c>
      <c r="C1193" s="108">
        <v>264.5</v>
      </c>
      <c r="D1193" s="108">
        <f t="shared" si="320"/>
        <v>1.2112999999999943</v>
      </c>
      <c r="E1193" s="110">
        <f t="shared" si="319"/>
        <v>2.2008715349999792</v>
      </c>
      <c r="F1193" s="2">
        <f t="shared" si="321"/>
        <v>11.004357674999897</v>
      </c>
    </row>
    <row r="1194" spans="1:6" ht="15" customHeight="1" x14ac:dyDescent="0.45">
      <c r="A1194" s="490">
        <v>292</v>
      </c>
      <c r="B1194" s="108">
        <v>263.08330000000001</v>
      </c>
      <c r="C1194" s="108">
        <v>264.5</v>
      </c>
      <c r="D1194" s="108">
        <f t="shared" si="320"/>
        <v>1.4166999999999916</v>
      </c>
      <c r="E1194" s="110">
        <f t="shared" si="319"/>
        <v>3.0105583349999647</v>
      </c>
      <c r="F1194" s="2">
        <f t="shared" si="321"/>
        <v>15.052791674999824</v>
      </c>
    </row>
    <row r="1195" spans="1:6" ht="15" customHeight="1" x14ac:dyDescent="0.45">
      <c r="A1195" s="490">
        <v>293</v>
      </c>
      <c r="B1195" s="108">
        <v>263.02010000000001</v>
      </c>
      <c r="C1195" s="108">
        <v>264.5</v>
      </c>
      <c r="D1195" s="108">
        <f t="shared" si="320"/>
        <v>1.4798999999999864</v>
      </c>
      <c r="E1195" s="110">
        <f t="shared" si="319"/>
        <v>3.2851560149999397</v>
      </c>
      <c r="F1195" s="2">
        <f t="shared" si="321"/>
        <v>16.4257800749997</v>
      </c>
    </row>
    <row r="1196" spans="1:6" ht="15" customHeight="1" x14ac:dyDescent="0.45">
      <c r="A1196" s="490">
        <v>294</v>
      </c>
      <c r="B1196" s="108">
        <v>262.96730000000002</v>
      </c>
      <c r="C1196" s="108">
        <v>264.5</v>
      </c>
      <c r="D1196" s="108">
        <f t="shared" si="320"/>
        <v>1.5326999999999771</v>
      </c>
      <c r="E1196" s="110">
        <f t="shared" si="319"/>
        <v>3.5237539349998945</v>
      </c>
      <c r="F1196" s="2">
        <f t="shared" si="321"/>
        <v>17.618769674999474</v>
      </c>
    </row>
    <row r="1197" spans="1:6" ht="15" customHeight="1" x14ac:dyDescent="0.45">
      <c r="A1197" s="490">
        <v>295</v>
      </c>
      <c r="B1197" s="108">
        <v>264.19139999999999</v>
      </c>
      <c r="C1197" s="108">
        <v>264.5</v>
      </c>
      <c r="D1197" s="108">
        <f t="shared" si="320"/>
        <v>0.30860000000001264</v>
      </c>
      <c r="E1197" s="110">
        <f t="shared" si="319"/>
        <v>0.14285094000001169</v>
      </c>
      <c r="F1197" s="2">
        <f t="shared" si="321"/>
        <v>0.71425470000005853</v>
      </c>
    </row>
    <row r="1198" spans="1:6" ht="15" customHeight="1" x14ac:dyDescent="0.45">
      <c r="A1198" s="490">
        <v>296</v>
      </c>
      <c r="B1198" s="108">
        <v>264.02179999999998</v>
      </c>
      <c r="C1198" s="108">
        <v>264.5</v>
      </c>
      <c r="D1198" s="108">
        <f t="shared" si="320"/>
        <v>0.47820000000001528</v>
      </c>
      <c r="E1198" s="110">
        <f t="shared" si="319"/>
        <v>0.3430128600000219</v>
      </c>
      <c r="F1198" s="2">
        <f t="shared" si="321"/>
        <v>1.7150643000001096</v>
      </c>
    </row>
    <row r="1199" spans="1:6" ht="15" customHeight="1" x14ac:dyDescent="0.45">
      <c r="A1199" s="490">
        <v>297</v>
      </c>
      <c r="B1199" s="108">
        <v>263.87909999999999</v>
      </c>
      <c r="C1199" s="108">
        <v>264.5</v>
      </c>
      <c r="D1199" s="108">
        <f t="shared" ref="D1199:D1222" si="322">C1199-B1199</f>
        <v>0.620900000000006</v>
      </c>
      <c r="E1199" s="110">
        <f t="shared" si="319"/>
        <v>0.57827521500001122</v>
      </c>
      <c r="F1199" s="2">
        <f t="shared" ref="F1199:F1222" si="323">E1199*5</f>
        <v>2.8913760750000561</v>
      </c>
    </row>
    <row r="1200" spans="1:6" ht="15" customHeight="1" x14ac:dyDescent="0.45">
      <c r="A1200" s="490">
        <v>298</v>
      </c>
      <c r="B1200" s="108">
        <v>263.77519999999998</v>
      </c>
      <c r="C1200" s="108">
        <v>264.5</v>
      </c>
      <c r="D1200" s="108">
        <f t="shared" si="322"/>
        <v>0.7248000000000161</v>
      </c>
      <c r="E1200" s="110">
        <f t="shared" si="319"/>
        <v>0.78800256000003488</v>
      </c>
      <c r="F1200" s="2">
        <f t="shared" si="323"/>
        <v>3.9400128000001744</v>
      </c>
    </row>
    <row r="1201" spans="1:6" ht="15" customHeight="1" x14ac:dyDescent="0.45">
      <c r="A1201" s="490">
        <v>299</v>
      </c>
      <c r="B1201" s="108">
        <v>263.79590000000002</v>
      </c>
      <c r="C1201" s="108">
        <v>264.5</v>
      </c>
      <c r="D1201" s="108">
        <f t="shared" si="322"/>
        <v>0.70409999999998263</v>
      </c>
      <c r="E1201" s="110">
        <f t="shared" si="319"/>
        <v>0.74363521499996321</v>
      </c>
      <c r="F1201" s="2">
        <f t="shared" si="323"/>
        <v>3.7181760749998158</v>
      </c>
    </row>
    <row r="1202" spans="1:6" ht="15" customHeight="1" x14ac:dyDescent="0.45">
      <c r="A1202" s="490">
        <v>300</v>
      </c>
      <c r="B1202" s="108">
        <v>263.83710000000002</v>
      </c>
      <c r="C1202" s="108">
        <v>264.5</v>
      </c>
      <c r="D1202" s="108">
        <f t="shared" si="322"/>
        <v>0.66289999999997917</v>
      </c>
      <c r="E1202" s="110">
        <f t="shared" si="319"/>
        <v>0.65915461499995864</v>
      </c>
      <c r="F1202" s="2">
        <f t="shared" si="323"/>
        <v>3.2957730749997931</v>
      </c>
    </row>
    <row r="1203" spans="1:6" ht="15" customHeight="1" x14ac:dyDescent="0.45">
      <c r="A1203" s="490">
        <v>301</v>
      </c>
      <c r="B1203" s="108">
        <v>263.83519999999999</v>
      </c>
      <c r="C1203" s="108">
        <v>264.5</v>
      </c>
      <c r="D1203" s="108">
        <f t="shared" si="322"/>
        <v>0.66480000000001382</v>
      </c>
      <c r="E1203" s="110">
        <f t="shared" si="319"/>
        <v>0.6629385600000276</v>
      </c>
      <c r="F1203" s="2">
        <f t="shared" si="323"/>
        <v>3.3146928000001381</v>
      </c>
    </row>
    <row r="1204" spans="1:6" ht="15" customHeight="1" x14ac:dyDescent="0.45">
      <c r="A1204" s="490">
        <v>302</v>
      </c>
      <c r="B1204" s="108">
        <v>263.84350000000001</v>
      </c>
      <c r="C1204" s="108">
        <v>264.5</v>
      </c>
      <c r="D1204" s="108">
        <f t="shared" si="322"/>
        <v>0.65649999999999409</v>
      </c>
      <c r="E1204" s="110">
        <f t="shared" si="319"/>
        <v>0.64648837499998835</v>
      </c>
      <c r="F1204" s="2">
        <f t="shared" si="323"/>
        <v>3.2324418749999415</v>
      </c>
    </row>
    <row r="1205" spans="1:6" ht="15" customHeight="1" x14ac:dyDescent="0.45">
      <c r="A1205" s="490">
        <v>303</v>
      </c>
      <c r="B1205" s="108">
        <v>263.8381</v>
      </c>
      <c r="C1205" s="108">
        <v>264.5</v>
      </c>
      <c r="D1205" s="108">
        <f t="shared" si="322"/>
        <v>0.66190000000000282</v>
      </c>
      <c r="E1205" s="110">
        <f t="shared" si="319"/>
        <v>0.65716741500000564</v>
      </c>
      <c r="F1205" s="2">
        <f t="shared" si="323"/>
        <v>3.2858370750000283</v>
      </c>
    </row>
    <row r="1206" spans="1:6" ht="15" customHeight="1" x14ac:dyDescent="0.45">
      <c r="A1206" s="490">
        <v>304</v>
      </c>
      <c r="B1206" s="108">
        <v>263.85250000000002</v>
      </c>
      <c r="C1206" s="108">
        <v>264.5</v>
      </c>
      <c r="D1206" s="108">
        <f t="shared" si="322"/>
        <v>0.64749999999997954</v>
      </c>
      <c r="E1206" s="110">
        <f t="shared" si="319"/>
        <v>0.6288843749999603</v>
      </c>
      <c r="F1206" s="2">
        <f t="shared" si="323"/>
        <v>3.1444218749998014</v>
      </c>
    </row>
    <row r="1207" spans="1:6" ht="15" customHeight="1" x14ac:dyDescent="0.45">
      <c r="A1207" s="490">
        <v>305</v>
      </c>
      <c r="B1207" s="108">
        <v>263.82</v>
      </c>
      <c r="C1207" s="108">
        <v>264.5</v>
      </c>
      <c r="D1207" s="108">
        <f t="shared" si="322"/>
        <v>0.68000000000000682</v>
      </c>
      <c r="E1207" s="110">
        <f t="shared" si="319"/>
        <v>0.69360000000001398</v>
      </c>
      <c r="F1207" s="2">
        <f t="shared" si="323"/>
        <v>3.4680000000000701</v>
      </c>
    </row>
    <row r="1208" spans="1:6" ht="15" customHeight="1" x14ac:dyDescent="0.45">
      <c r="A1208" s="490">
        <v>306</v>
      </c>
      <c r="B1208" s="108">
        <v>263.74059999999997</v>
      </c>
      <c r="C1208" s="108">
        <v>264.5</v>
      </c>
      <c r="D1208" s="108">
        <f t="shared" si="322"/>
        <v>0.75940000000002783</v>
      </c>
      <c r="E1208" s="110">
        <f t="shared" si="319"/>
        <v>0.86503254000006347</v>
      </c>
      <c r="F1208" s="2">
        <f t="shared" si="323"/>
        <v>4.325162700000317</v>
      </c>
    </row>
    <row r="1209" spans="1:6" ht="15" customHeight="1" x14ac:dyDescent="0.45">
      <c r="A1209" s="490">
        <v>307</v>
      </c>
      <c r="B1209" s="108">
        <v>263.70690000000002</v>
      </c>
      <c r="C1209" s="108">
        <v>264.5</v>
      </c>
      <c r="D1209" s="108">
        <f t="shared" si="322"/>
        <v>0.79309999999998126</v>
      </c>
      <c r="E1209" s="110">
        <f t="shared" si="319"/>
        <v>0.9435114149999555</v>
      </c>
      <c r="F1209" s="2">
        <f t="shared" si="323"/>
        <v>4.7175570749997773</v>
      </c>
    </row>
    <row r="1210" spans="1:6" ht="15" customHeight="1" x14ac:dyDescent="0.45">
      <c r="A1210" s="490">
        <v>308</v>
      </c>
      <c r="B1210" s="108">
        <v>263.69279999999998</v>
      </c>
      <c r="C1210" s="108">
        <v>264.5</v>
      </c>
      <c r="D1210" s="108">
        <f t="shared" si="322"/>
        <v>0.80720000000002301</v>
      </c>
      <c r="E1210" s="110">
        <f t="shared" si="319"/>
        <v>0.97735776000005559</v>
      </c>
      <c r="F1210" s="2">
        <f t="shared" si="323"/>
        <v>4.8867888000002777</v>
      </c>
    </row>
    <row r="1211" spans="1:6" ht="15" customHeight="1" x14ac:dyDescent="0.45">
      <c r="A1211" s="490">
        <v>309</v>
      </c>
      <c r="B1211" s="108">
        <v>263.66050000000001</v>
      </c>
      <c r="C1211" s="108">
        <v>264.5</v>
      </c>
      <c r="D1211" s="108">
        <f t="shared" si="322"/>
        <v>0.83949999999998681</v>
      </c>
      <c r="E1211" s="110">
        <f t="shared" si="319"/>
        <v>1.0571403749999668</v>
      </c>
      <c r="F1211" s="2">
        <f t="shared" si="323"/>
        <v>5.2857018749998339</v>
      </c>
    </row>
    <row r="1212" spans="1:6" ht="15" customHeight="1" x14ac:dyDescent="0.45">
      <c r="A1212" s="490">
        <v>310</v>
      </c>
      <c r="B1212" s="108">
        <v>263.66340000000002</v>
      </c>
      <c r="C1212" s="108">
        <v>264.5</v>
      </c>
      <c r="D1212" s="108">
        <f t="shared" si="322"/>
        <v>0.83659999999997581</v>
      </c>
      <c r="E1212" s="110">
        <f t="shared" si="319"/>
        <v>1.0498493399999393</v>
      </c>
      <c r="F1212" s="2">
        <f t="shared" si="323"/>
        <v>5.2492466999996967</v>
      </c>
    </row>
    <row r="1213" spans="1:6" ht="15" customHeight="1" x14ac:dyDescent="0.45">
      <c r="A1213" s="490">
        <v>311</v>
      </c>
      <c r="B1213" s="108">
        <v>263.875</v>
      </c>
      <c r="C1213" s="108">
        <v>264.5</v>
      </c>
      <c r="D1213" s="108">
        <f t="shared" si="322"/>
        <v>0.625</v>
      </c>
      <c r="E1213" s="110">
        <f t="shared" si="319"/>
        <v>0.5859375</v>
      </c>
      <c r="F1213" s="2">
        <f t="shared" si="323"/>
        <v>2.9296875</v>
      </c>
    </row>
    <row r="1214" spans="1:6" ht="15" customHeight="1" x14ac:dyDescent="0.45">
      <c r="A1214" s="490">
        <v>312</v>
      </c>
      <c r="B1214" s="108">
        <v>264.12180000000001</v>
      </c>
      <c r="C1214" s="108">
        <v>264.5</v>
      </c>
      <c r="D1214" s="108">
        <f t="shared" si="322"/>
        <v>0.37819999999999254</v>
      </c>
      <c r="E1214" s="110">
        <f t="shared" si="319"/>
        <v>0.21455285999999152</v>
      </c>
      <c r="F1214" s="2">
        <f t="shared" si="323"/>
        <v>1.0727642999999576</v>
      </c>
    </row>
    <row r="1215" spans="1:6" ht="15" customHeight="1" x14ac:dyDescent="0.45">
      <c r="A1215" s="490">
        <v>313</v>
      </c>
      <c r="B1215" s="108">
        <v>263.36329999999998</v>
      </c>
      <c r="C1215" s="108">
        <v>264.5</v>
      </c>
      <c r="D1215" s="108">
        <f t="shared" si="322"/>
        <v>1.1367000000000189</v>
      </c>
      <c r="E1215" s="110">
        <f t="shared" si="319"/>
        <v>1.9381303350000647</v>
      </c>
      <c r="F1215" s="2">
        <f t="shared" si="323"/>
        <v>9.6906516750003231</v>
      </c>
    </row>
    <row r="1216" spans="1:6" ht="15" customHeight="1" x14ac:dyDescent="0.45">
      <c r="A1216" s="490">
        <v>314</v>
      </c>
      <c r="B1216" s="108">
        <v>263.69600000000003</v>
      </c>
      <c r="C1216" s="108">
        <v>264.5</v>
      </c>
      <c r="D1216" s="108">
        <f t="shared" si="322"/>
        <v>0.80399999999997362</v>
      </c>
      <c r="E1216" s="110">
        <f t="shared" si="319"/>
        <v>0.96962399999993631</v>
      </c>
      <c r="F1216" s="2">
        <f t="shared" si="323"/>
        <v>4.8481199999996818</v>
      </c>
    </row>
    <row r="1217" spans="1:6" ht="15" customHeight="1" x14ac:dyDescent="0.45">
      <c r="A1217" s="490">
        <v>315</v>
      </c>
      <c r="B1217" s="108">
        <v>263.29899999999998</v>
      </c>
      <c r="C1217" s="108">
        <v>264.5</v>
      </c>
      <c r="D1217" s="108">
        <f t="shared" si="322"/>
        <v>1.2010000000000218</v>
      </c>
      <c r="E1217" s="110">
        <f t="shared" si="319"/>
        <v>2.1636015000000786</v>
      </c>
      <c r="F1217" s="2">
        <f t="shared" si="323"/>
        <v>10.818007500000393</v>
      </c>
    </row>
    <row r="1218" spans="1:6" ht="15" customHeight="1" x14ac:dyDescent="0.45">
      <c r="A1218" s="490">
        <v>316</v>
      </c>
      <c r="B1218" s="108">
        <v>263.87939999999998</v>
      </c>
      <c r="C1218" s="108">
        <v>264.5</v>
      </c>
      <c r="D1218" s="108">
        <f t="shared" si="322"/>
        <v>0.62060000000002447</v>
      </c>
      <c r="E1218" s="110">
        <f t="shared" si="319"/>
        <v>0.57771654000004558</v>
      </c>
      <c r="F1218" s="2">
        <f t="shared" si="323"/>
        <v>2.888582700000228</v>
      </c>
    </row>
    <row r="1219" spans="1:6" ht="15" customHeight="1" x14ac:dyDescent="0.45">
      <c r="A1219" s="490">
        <v>317</v>
      </c>
      <c r="B1219" s="108">
        <v>263.23289999999997</v>
      </c>
      <c r="C1219" s="108">
        <v>264.5</v>
      </c>
      <c r="D1219" s="108">
        <f t="shared" si="322"/>
        <v>1.2671000000000276</v>
      </c>
      <c r="E1219" s="110">
        <f t="shared" si="319"/>
        <v>2.4083136150001052</v>
      </c>
      <c r="F1219" s="2">
        <f t="shared" si="323"/>
        <v>12.041568075000527</v>
      </c>
    </row>
    <row r="1220" spans="1:6" ht="15" customHeight="1" x14ac:dyDescent="0.45">
      <c r="A1220" s="490">
        <v>318</v>
      </c>
      <c r="B1220" s="108">
        <v>263.95030000000003</v>
      </c>
      <c r="C1220" s="108">
        <v>264.5</v>
      </c>
      <c r="D1220" s="108">
        <f t="shared" si="322"/>
        <v>0.54969999999997299</v>
      </c>
      <c r="E1220" s="110">
        <f t="shared" si="319"/>
        <v>0.45325513499995546</v>
      </c>
      <c r="F1220" s="2">
        <f t="shared" si="323"/>
        <v>2.2662756749997772</v>
      </c>
    </row>
    <row r="1221" spans="1:6" ht="15" customHeight="1" x14ac:dyDescent="0.45">
      <c r="A1221" s="490">
        <v>319</v>
      </c>
      <c r="B1221" s="108">
        <v>263.45339999999999</v>
      </c>
      <c r="C1221" s="108">
        <v>264.5</v>
      </c>
      <c r="D1221" s="108">
        <f t="shared" si="322"/>
        <v>1.0466000000000122</v>
      </c>
      <c r="E1221" s="110">
        <f t="shared" si="319"/>
        <v>1.6430573400000383</v>
      </c>
      <c r="F1221" s="2">
        <f t="shared" si="323"/>
        <v>8.2152867000001919</v>
      </c>
    </row>
    <row r="1222" spans="1:6" ht="15" customHeight="1" x14ac:dyDescent="0.45">
      <c r="A1222" s="490">
        <v>320</v>
      </c>
      <c r="B1222" s="108">
        <v>263.89510000000001</v>
      </c>
      <c r="C1222" s="108">
        <v>264.5</v>
      </c>
      <c r="D1222" s="108">
        <f t="shared" si="322"/>
        <v>0.60489999999998645</v>
      </c>
      <c r="E1222" s="110">
        <f t="shared" si="319"/>
        <v>0.54885601499997549</v>
      </c>
      <c r="F1222" s="2">
        <f t="shared" si="323"/>
        <v>2.7442800749998773</v>
      </c>
    </row>
    <row r="1223" spans="1:6" ht="15" customHeight="1" x14ac:dyDescent="0.45">
      <c r="A1223" s="490">
        <v>321</v>
      </c>
      <c r="B1223" s="108">
        <v>263.4015</v>
      </c>
      <c r="C1223" s="108">
        <v>264.5</v>
      </c>
      <c r="D1223" s="108">
        <f t="shared" ref="D1223:D1286" si="324">C1223-B1223</f>
        <v>1.0985000000000014</v>
      </c>
      <c r="E1223" s="110">
        <f t="shared" si="319"/>
        <v>1.8100533750000047</v>
      </c>
      <c r="F1223" s="2">
        <f t="shared" ref="F1223:F1286" si="325">E1223*5</f>
        <v>9.0502668750000232</v>
      </c>
    </row>
    <row r="1224" spans="1:6" ht="15" customHeight="1" x14ac:dyDescent="0.45">
      <c r="A1224" s="490">
        <v>322</v>
      </c>
      <c r="B1224" s="108">
        <v>263.9624</v>
      </c>
      <c r="C1224" s="108">
        <v>264.5</v>
      </c>
      <c r="D1224" s="108">
        <f t="shared" si="324"/>
        <v>0.53759999999999764</v>
      </c>
      <c r="E1224" s="110">
        <f t="shared" ref="E1224:E1287" si="326">IF(D1224&gt;0,1.5*D1224^2,1.5*0.5^2)</f>
        <v>0.43352063999999618</v>
      </c>
      <c r="F1224" s="2">
        <f t="shared" si="325"/>
        <v>2.1676031999999807</v>
      </c>
    </row>
    <row r="1225" spans="1:6" ht="15" customHeight="1" x14ac:dyDescent="0.45">
      <c r="A1225" s="490">
        <v>323</v>
      </c>
      <c r="B1225" s="108">
        <v>263.40269999999998</v>
      </c>
      <c r="C1225" s="108">
        <v>264.5</v>
      </c>
      <c r="D1225" s="108">
        <f t="shared" si="324"/>
        <v>1.0973000000000184</v>
      </c>
      <c r="E1225" s="110">
        <f t="shared" si="326"/>
        <v>1.8061009350000607</v>
      </c>
      <c r="F1225" s="2">
        <f t="shared" si="325"/>
        <v>9.0305046750003033</v>
      </c>
    </row>
    <row r="1226" spans="1:6" ht="15" customHeight="1" x14ac:dyDescent="0.45">
      <c r="A1226" s="490">
        <v>324</v>
      </c>
      <c r="B1226" s="108">
        <v>264.20510000000002</v>
      </c>
      <c r="C1226" s="108">
        <v>264.5</v>
      </c>
      <c r="D1226" s="108">
        <f t="shared" si="324"/>
        <v>0.29489999999998417</v>
      </c>
      <c r="E1226" s="110">
        <f t="shared" si="326"/>
        <v>0.13044901499998601</v>
      </c>
      <c r="F1226" s="2">
        <f t="shared" si="325"/>
        <v>0.65224507499993001</v>
      </c>
    </row>
    <row r="1227" spans="1:6" ht="15" customHeight="1" x14ac:dyDescent="0.45">
      <c r="A1227" s="490">
        <v>325</v>
      </c>
      <c r="B1227" s="108">
        <v>263.54270000000002</v>
      </c>
      <c r="C1227" s="108">
        <v>264.5</v>
      </c>
      <c r="D1227" s="108">
        <f t="shared" si="324"/>
        <v>0.95729999999997517</v>
      </c>
      <c r="E1227" s="110">
        <f t="shared" si="326"/>
        <v>1.3746349349999287</v>
      </c>
      <c r="F1227" s="2">
        <f t="shared" si="325"/>
        <v>6.8731746749996434</v>
      </c>
    </row>
    <row r="1228" spans="1:6" ht="15" customHeight="1" x14ac:dyDescent="0.45">
      <c r="A1228" s="490">
        <v>326</v>
      </c>
      <c r="B1228" s="108">
        <v>264.23669999999998</v>
      </c>
      <c r="C1228" s="108">
        <v>264.5</v>
      </c>
      <c r="D1228" s="108">
        <f t="shared" si="324"/>
        <v>0.26330000000001519</v>
      </c>
      <c r="E1228" s="110">
        <f t="shared" si="326"/>
        <v>0.10399033500001199</v>
      </c>
      <c r="F1228" s="2">
        <f t="shared" si="325"/>
        <v>0.51995167500006001</v>
      </c>
    </row>
    <row r="1229" spans="1:6" ht="15" customHeight="1" x14ac:dyDescent="0.45">
      <c r="A1229" s="490">
        <v>327</v>
      </c>
      <c r="B1229" s="108">
        <v>263.4427</v>
      </c>
      <c r="C1229" s="108">
        <v>264.5</v>
      </c>
      <c r="D1229" s="108">
        <f t="shared" si="324"/>
        <v>1.0572999999999979</v>
      </c>
      <c r="E1229" s="110">
        <f t="shared" si="326"/>
        <v>1.6768249349999933</v>
      </c>
      <c r="F1229" s="2">
        <f t="shared" si="325"/>
        <v>8.3841246749999669</v>
      </c>
    </row>
    <row r="1230" spans="1:6" ht="15" customHeight="1" x14ac:dyDescent="0.45">
      <c r="A1230" s="490">
        <v>328</v>
      </c>
      <c r="B1230" s="108">
        <v>264.29430000000002</v>
      </c>
      <c r="C1230" s="108">
        <v>264.5</v>
      </c>
      <c r="D1230" s="108">
        <f t="shared" si="324"/>
        <v>0.2056999999999789</v>
      </c>
      <c r="E1230" s="110">
        <f t="shared" si="326"/>
        <v>6.3468734999986981E-2</v>
      </c>
      <c r="F1230" s="2">
        <f t="shared" si="325"/>
        <v>0.31734367499993488</v>
      </c>
    </row>
    <row r="1231" spans="1:6" ht="15" customHeight="1" x14ac:dyDescent="0.45">
      <c r="A1231" s="490">
        <v>329</v>
      </c>
      <c r="B1231" s="108">
        <v>263.40100000000001</v>
      </c>
      <c r="C1231" s="108">
        <v>264.5</v>
      </c>
      <c r="D1231" s="108">
        <f t="shared" si="324"/>
        <v>1.0989999999999895</v>
      </c>
      <c r="E1231" s="110">
        <f t="shared" si="326"/>
        <v>1.8117014999999657</v>
      </c>
      <c r="F1231" s="2">
        <f t="shared" si="325"/>
        <v>9.0585074999998287</v>
      </c>
    </row>
    <row r="1232" spans="1:6" ht="15" customHeight="1" x14ac:dyDescent="0.45">
      <c r="A1232" s="490">
        <v>330</v>
      </c>
      <c r="B1232" s="108">
        <v>264.3098</v>
      </c>
      <c r="C1232" s="108">
        <v>264.5</v>
      </c>
      <c r="D1232" s="108">
        <f t="shared" si="324"/>
        <v>0.19020000000000437</v>
      </c>
      <c r="E1232" s="110">
        <f t="shared" si="326"/>
        <v>5.4264060000002487E-2</v>
      </c>
      <c r="F1232" s="2">
        <f t="shared" si="325"/>
        <v>0.27132030000001245</v>
      </c>
    </row>
    <row r="1233" spans="1:6" ht="15" customHeight="1" x14ac:dyDescent="0.45">
      <c r="A1233" s="490">
        <v>331</v>
      </c>
      <c r="B1233" s="108">
        <v>263.59660000000002</v>
      </c>
      <c r="C1233" s="108">
        <v>264.5</v>
      </c>
      <c r="D1233" s="108">
        <f t="shared" si="324"/>
        <v>0.90339999999997644</v>
      </c>
      <c r="E1233" s="110">
        <f t="shared" si="326"/>
        <v>1.2241973399999362</v>
      </c>
      <c r="F1233" s="2">
        <f t="shared" si="325"/>
        <v>6.1209866999996807</v>
      </c>
    </row>
    <row r="1234" spans="1:6" ht="15" customHeight="1" x14ac:dyDescent="0.45">
      <c r="A1234" s="490">
        <v>332</v>
      </c>
      <c r="B1234" s="108">
        <v>264.33980000000003</v>
      </c>
      <c r="C1234" s="108">
        <v>264.5</v>
      </c>
      <c r="D1234" s="108">
        <f t="shared" si="324"/>
        <v>0.16019999999997481</v>
      </c>
      <c r="E1234" s="110">
        <f t="shared" si="326"/>
        <v>3.8496059999987897E-2</v>
      </c>
      <c r="F1234" s="2">
        <f t="shared" si="325"/>
        <v>0.19248029999993949</v>
      </c>
    </row>
    <row r="1235" spans="1:6" ht="15" customHeight="1" x14ac:dyDescent="0.45">
      <c r="A1235" s="490">
        <v>333</v>
      </c>
      <c r="B1235" s="108">
        <v>263.7439</v>
      </c>
      <c r="C1235" s="108">
        <v>264.5</v>
      </c>
      <c r="D1235" s="108">
        <f t="shared" si="324"/>
        <v>0.75610000000000355</v>
      </c>
      <c r="E1235" s="110">
        <f t="shared" si="326"/>
        <v>0.85753081500000805</v>
      </c>
      <c r="F1235" s="2">
        <f t="shared" si="325"/>
        <v>4.2876540750000398</v>
      </c>
    </row>
    <row r="1236" spans="1:6" ht="15" customHeight="1" x14ac:dyDescent="0.45">
      <c r="A1236" s="490">
        <v>334</v>
      </c>
      <c r="B1236" s="108">
        <v>264.29750000000001</v>
      </c>
      <c r="C1236" s="108">
        <v>264.5</v>
      </c>
      <c r="D1236" s="108">
        <f t="shared" si="324"/>
        <v>0.20249999999998636</v>
      </c>
      <c r="E1236" s="110">
        <f t="shared" si="326"/>
        <v>6.150937499999172E-2</v>
      </c>
      <c r="F1236" s="2">
        <f t="shared" si="325"/>
        <v>0.30754687499995859</v>
      </c>
    </row>
    <row r="1237" spans="1:6" ht="15" customHeight="1" x14ac:dyDescent="0.45">
      <c r="A1237" s="490">
        <v>335</v>
      </c>
      <c r="B1237" s="108">
        <v>263.44499999999999</v>
      </c>
      <c r="C1237" s="108">
        <v>264.5</v>
      </c>
      <c r="D1237" s="108">
        <f t="shared" si="324"/>
        <v>1.0550000000000068</v>
      </c>
      <c r="E1237" s="110">
        <f t="shared" si="326"/>
        <v>1.6695375000000214</v>
      </c>
      <c r="F1237" s="2">
        <f t="shared" si="325"/>
        <v>8.3476875000001076</v>
      </c>
    </row>
    <row r="1238" spans="1:6" ht="15" customHeight="1" x14ac:dyDescent="0.45">
      <c r="A1238" s="490">
        <v>336</v>
      </c>
      <c r="B1238" s="108">
        <v>264.08330000000001</v>
      </c>
      <c r="C1238" s="108">
        <v>264.5</v>
      </c>
      <c r="D1238" s="108">
        <f t="shared" si="324"/>
        <v>0.41669999999999163</v>
      </c>
      <c r="E1238" s="110">
        <f t="shared" si="326"/>
        <v>0.26045833499998955</v>
      </c>
      <c r="F1238" s="2">
        <f t="shared" si="325"/>
        <v>1.3022916749999478</v>
      </c>
    </row>
    <row r="1239" spans="1:6" ht="15" customHeight="1" x14ac:dyDescent="0.45">
      <c r="A1239" s="490">
        <v>337</v>
      </c>
      <c r="B1239" s="108">
        <v>263.21469999999999</v>
      </c>
      <c r="C1239" s="108">
        <v>264.5</v>
      </c>
      <c r="D1239" s="108">
        <f t="shared" si="324"/>
        <v>1.2853000000000065</v>
      </c>
      <c r="E1239" s="110">
        <f t="shared" si="326"/>
        <v>2.4779941350000252</v>
      </c>
      <c r="F1239" s="2">
        <f t="shared" si="325"/>
        <v>12.389970675000125</v>
      </c>
    </row>
    <row r="1240" spans="1:6" ht="15" customHeight="1" x14ac:dyDescent="0.45">
      <c r="A1240" s="490">
        <v>338</v>
      </c>
      <c r="B1240" s="108">
        <v>264.18520000000001</v>
      </c>
      <c r="C1240" s="108">
        <v>264.5</v>
      </c>
      <c r="D1240" s="108">
        <f t="shared" si="324"/>
        <v>0.31479999999999109</v>
      </c>
      <c r="E1240" s="110">
        <f t="shared" si="326"/>
        <v>0.1486485599999916</v>
      </c>
      <c r="F1240" s="2">
        <f t="shared" si="325"/>
        <v>0.74324279999995801</v>
      </c>
    </row>
    <row r="1241" spans="1:6" ht="15" customHeight="1" x14ac:dyDescent="0.45">
      <c r="A1241" s="490">
        <v>339</v>
      </c>
      <c r="B1241" s="108">
        <v>263.44959999999998</v>
      </c>
      <c r="C1241" s="108">
        <v>264.5</v>
      </c>
      <c r="D1241" s="108">
        <f t="shared" si="324"/>
        <v>1.0504000000000246</v>
      </c>
      <c r="E1241" s="110">
        <f t="shared" si="326"/>
        <v>1.6550102400000779</v>
      </c>
      <c r="F1241" s="2">
        <f t="shared" si="325"/>
        <v>8.2750512000003891</v>
      </c>
    </row>
    <row r="1242" spans="1:6" ht="15" customHeight="1" x14ac:dyDescent="0.45">
      <c r="A1242" s="490">
        <v>340</v>
      </c>
      <c r="B1242" s="108">
        <v>263.87310000000002</v>
      </c>
      <c r="C1242" s="108">
        <v>264.5</v>
      </c>
      <c r="D1242" s="108">
        <f t="shared" si="324"/>
        <v>0.62689999999997781</v>
      </c>
      <c r="E1242" s="110">
        <f t="shared" si="326"/>
        <v>0.58950541499995834</v>
      </c>
      <c r="F1242" s="2">
        <f t="shared" si="325"/>
        <v>2.9475270749997917</v>
      </c>
    </row>
    <row r="1243" spans="1:6" ht="15" customHeight="1" x14ac:dyDescent="0.45">
      <c r="A1243" s="490">
        <v>341</v>
      </c>
      <c r="B1243" s="108">
        <v>263.6671</v>
      </c>
      <c r="C1243" s="108">
        <v>264.5</v>
      </c>
      <c r="D1243" s="108">
        <f t="shared" si="324"/>
        <v>0.83289999999999509</v>
      </c>
      <c r="E1243" s="110">
        <f t="shared" si="326"/>
        <v>1.0405836149999876</v>
      </c>
      <c r="F1243" s="2">
        <f t="shared" si="325"/>
        <v>5.2029180749999382</v>
      </c>
    </row>
    <row r="1244" spans="1:6" ht="15" customHeight="1" x14ac:dyDescent="0.45">
      <c r="A1244" s="490">
        <v>342</v>
      </c>
      <c r="B1244" s="108">
        <v>263.87450000000001</v>
      </c>
      <c r="C1244" s="108">
        <v>264.5</v>
      </c>
      <c r="D1244" s="108">
        <f t="shared" si="324"/>
        <v>0.62549999999998818</v>
      </c>
      <c r="E1244" s="110">
        <f t="shared" si="326"/>
        <v>0.58687537499997777</v>
      </c>
      <c r="F1244" s="2">
        <f t="shared" si="325"/>
        <v>2.9343768749998889</v>
      </c>
    </row>
    <row r="1245" spans="1:6" ht="15" customHeight="1" x14ac:dyDescent="0.45">
      <c r="A1245" s="490">
        <v>343</v>
      </c>
      <c r="B1245" s="108">
        <v>263.20979999999997</v>
      </c>
      <c r="C1245" s="108">
        <v>264.5</v>
      </c>
      <c r="D1245" s="108">
        <f t="shared" si="324"/>
        <v>1.2902000000000271</v>
      </c>
      <c r="E1245" s="110">
        <f t="shared" si="326"/>
        <v>2.4969240600001052</v>
      </c>
      <c r="F1245" s="2">
        <f t="shared" si="325"/>
        <v>12.484620300000525</v>
      </c>
    </row>
    <row r="1246" spans="1:6" ht="15" customHeight="1" x14ac:dyDescent="0.45">
      <c r="A1246" s="490">
        <v>344</v>
      </c>
      <c r="B1246" s="108">
        <v>263.73579999999998</v>
      </c>
      <c r="C1246" s="108">
        <v>264.5</v>
      </c>
      <c r="D1246" s="108">
        <f t="shared" si="324"/>
        <v>0.76420000000001664</v>
      </c>
      <c r="E1246" s="110">
        <f t="shared" si="326"/>
        <v>0.87600246000003812</v>
      </c>
      <c r="F1246" s="2">
        <f t="shared" si="325"/>
        <v>4.3800123000001907</v>
      </c>
    </row>
    <row r="1247" spans="1:6" ht="15" customHeight="1" x14ac:dyDescent="0.45">
      <c r="A1247" s="490">
        <v>345</v>
      </c>
      <c r="B1247" s="108">
        <v>263.95710000000003</v>
      </c>
      <c r="C1247" s="108">
        <v>264.5</v>
      </c>
      <c r="D1247" s="108">
        <f t="shared" si="324"/>
        <v>0.54289999999997463</v>
      </c>
      <c r="E1247" s="110">
        <f t="shared" si="326"/>
        <v>0.44211061499995874</v>
      </c>
      <c r="F1247" s="2">
        <f t="shared" si="325"/>
        <v>2.2105530749997939</v>
      </c>
    </row>
    <row r="1248" spans="1:6" ht="15" customHeight="1" x14ac:dyDescent="0.45">
      <c r="A1248" s="490">
        <v>346</v>
      </c>
      <c r="B1248" s="108">
        <v>263.8596</v>
      </c>
      <c r="C1248" s="108">
        <v>264.5</v>
      </c>
      <c r="D1248" s="108">
        <f t="shared" si="324"/>
        <v>0.64039999999999964</v>
      </c>
      <c r="E1248" s="110">
        <f t="shared" si="326"/>
        <v>0.61516823999999937</v>
      </c>
      <c r="F1248" s="2">
        <f t="shared" si="325"/>
        <v>3.0758411999999966</v>
      </c>
    </row>
    <row r="1249" spans="1:6" ht="15" customHeight="1" x14ac:dyDescent="0.45">
      <c r="A1249" s="490">
        <v>347</v>
      </c>
      <c r="B1249" s="108">
        <v>263.7801</v>
      </c>
      <c r="C1249" s="108">
        <v>264.5</v>
      </c>
      <c r="D1249" s="108">
        <f t="shared" si="324"/>
        <v>0.71989999999999554</v>
      </c>
      <c r="E1249" s="110">
        <f t="shared" si="326"/>
        <v>0.77738401499999032</v>
      </c>
      <c r="F1249" s="2">
        <f t="shared" si="325"/>
        <v>3.8869200749999515</v>
      </c>
    </row>
    <row r="1250" spans="1:6" ht="15" customHeight="1" x14ac:dyDescent="0.45">
      <c r="A1250" s="490">
        <v>348</v>
      </c>
      <c r="B1250" s="108">
        <v>263.76440000000002</v>
      </c>
      <c r="C1250" s="108">
        <v>264.5</v>
      </c>
      <c r="D1250" s="108">
        <f t="shared" si="324"/>
        <v>0.73559999999997672</v>
      </c>
      <c r="E1250" s="110">
        <f t="shared" si="326"/>
        <v>0.81166103999994865</v>
      </c>
      <c r="F1250" s="2">
        <f t="shared" si="325"/>
        <v>4.0583051999997437</v>
      </c>
    </row>
    <row r="1251" spans="1:6" ht="15" customHeight="1" x14ac:dyDescent="0.45">
      <c r="A1251" s="490">
        <v>349</v>
      </c>
      <c r="B1251" s="108">
        <v>263.95499999999998</v>
      </c>
      <c r="C1251" s="108">
        <v>264.5</v>
      </c>
      <c r="D1251" s="108">
        <f t="shared" si="324"/>
        <v>0.54500000000001592</v>
      </c>
      <c r="E1251" s="110">
        <f t="shared" si="326"/>
        <v>0.44553750000002601</v>
      </c>
      <c r="F1251" s="2">
        <f t="shared" si="325"/>
        <v>2.2276875000001302</v>
      </c>
    </row>
    <row r="1252" spans="1:6" ht="15" customHeight="1" x14ac:dyDescent="0.45">
      <c r="A1252" s="490">
        <v>350</v>
      </c>
      <c r="B1252" s="108">
        <v>263.67169999999999</v>
      </c>
      <c r="C1252" s="108">
        <v>264.5</v>
      </c>
      <c r="D1252" s="108">
        <f t="shared" si="324"/>
        <v>0.82830000000001291</v>
      </c>
      <c r="E1252" s="110">
        <f t="shared" si="326"/>
        <v>1.0291213350000321</v>
      </c>
      <c r="F1252" s="2">
        <f t="shared" si="325"/>
        <v>5.1456066750001606</v>
      </c>
    </row>
    <row r="1253" spans="1:6" ht="15" customHeight="1" x14ac:dyDescent="0.45">
      <c r="A1253" s="490">
        <v>351</v>
      </c>
      <c r="B1253" s="108">
        <v>263.77969999999999</v>
      </c>
      <c r="C1253" s="108">
        <v>264.5</v>
      </c>
      <c r="D1253" s="108">
        <f t="shared" si="324"/>
        <v>0.72030000000000882</v>
      </c>
      <c r="E1253" s="110">
        <f t="shared" si="326"/>
        <v>0.7782481350000191</v>
      </c>
      <c r="F1253" s="2">
        <f t="shared" si="325"/>
        <v>3.8912406750000956</v>
      </c>
    </row>
    <row r="1254" spans="1:6" ht="15" customHeight="1" x14ac:dyDescent="0.45">
      <c r="A1254" s="490">
        <v>352</v>
      </c>
      <c r="B1254" s="108">
        <v>263.82670000000002</v>
      </c>
      <c r="C1254" s="108">
        <v>264.5</v>
      </c>
      <c r="D1254" s="108">
        <f t="shared" si="324"/>
        <v>0.67329999999998336</v>
      </c>
      <c r="E1254" s="110">
        <f t="shared" si="326"/>
        <v>0.67999933499996634</v>
      </c>
      <c r="F1254" s="2">
        <f t="shared" si="325"/>
        <v>3.3999966749998318</v>
      </c>
    </row>
    <row r="1255" spans="1:6" ht="15" customHeight="1" x14ac:dyDescent="0.45">
      <c r="A1255" s="490">
        <v>353</v>
      </c>
      <c r="B1255" s="108">
        <v>263.94450000000001</v>
      </c>
      <c r="C1255" s="108">
        <v>264.5</v>
      </c>
      <c r="D1255" s="108">
        <f t="shared" si="324"/>
        <v>0.555499999999995</v>
      </c>
      <c r="E1255" s="110">
        <f t="shared" si="326"/>
        <v>0.46287037499999167</v>
      </c>
      <c r="F1255" s="2">
        <f t="shared" si="325"/>
        <v>2.3143518749999585</v>
      </c>
    </row>
    <row r="1256" spans="1:6" ht="15" customHeight="1" x14ac:dyDescent="0.45">
      <c r="A1256" s="490">
        <v>354</v>
      </c>
      <c r="B1256" s="108">
        <v>264.07299999999998</v>
      </c>
      <c r="C1256" s="108">
        <v>264.5</v>
      </c>
      <c r="D1256" s="108">
        <f t="shared" si="324"/>
        <v>0.42700000000002092</v>
      </c>
      <c r="E1256" s="110">
        <f t="shared" si="326"/>
        <v>0.27349350000002681</v>
      </c>
      <c r="F1256" s="2">
        <f t="shared" si="325"/>
        <v>1.3674675000001342</v>
      </c>
    </row>
    <row r="1257" spans="1:6" ht="15" customHeight="1" x14ac:dyDescent="0.45">
      <c r="A1257" s="490">
        <v>355</v>
      </c>
      <c r="B1257" s="108">
        <v>263.92410000000001</v>
      </c>
      <c r="C1257" s="108">
        <v>264.5</v>
      </c>
      <c r="D1257" s="108">
        <f t="shared" si="324"/>
        <v>0.57589999999999009</v>
      </c>
      <c r="E1257" s="110">
        <f t="shared" si="326"/>
        <v>0.49749121499998289</v>
      </c>
      <c r="F1257" s="2">
        <f t="shared" si="325"/>
        <v>2.4874560749999146</v>
      </c>
    </row>
    <row r="1258" spans="1:6" ht="15" customHeight="1" x14ac:dyDescent="0.45">
      <c r="A1258" s="490">
        <v>356</v>
      </c>
      <c r="B1258" s="108">
        <v>263.85599999999999</v>
      </c>
      <c r="C1258" s="108">
        <v>264.5</v>
      </c>
      <c r="D1258" s="108">
        <f t="shared" si="324"/>
        <v>0.64400000000000546</v>
      </c>
      <c r="E1258" s="110">
        <f t="shared" si="326"/>
        <v>0.62210400000001054</v>
      </c>
      <c r="F1258" s="2">
        <f t="shared" si="325"/>
        <v>3.1105200000000526</v>
      </c>
    </row>
    <row r="1259" spans="1:6" ht="15" customHeight="1" x14ac:dyDescent="0.45">
      <c r="A1259" s="490">
        <v>357</v>
      </c>
      <c r="B1259" s="108">
        <v>263.38310000000001</v>
      </c>
      <c r="C1259" s="108">
        <v>264.5</v>
      </c>
      <c r="D1259" s="108">
        <f t="shared" si="324"/>
        <v>1.1168999999999869</v>
      </c>
      <c r="E1259" s="110">
        <f t="shared" si="326"/>
        <v>1.8711984149999563</v>
      </c>
      <c r="F1259" s="2">
        <f t="shared" si="325"/>
        <v>9.3559920749997811</v>
      </c>
    </row>
    <row r="1260" spans="1:6" ht="15" customHeight="1" x14ac:dyDescent="0.45">
      <c r="A1260" s="490">
        <v>358</v>
      </c>
      <c r="B1260" s="108">
        <v>263.40280000000001</v>
      </c>
      <c r="C1260" s="108">
        <v>264.5</v>
      </c>
      <c r="D1260" s="108">
        <f t="shared" si="324"/>
        <v>1.0971999999999866</v>
      </c>
      <c r="E1260" s="110">
        <f t="shared" si="326"/>
        <v>1.8057717599999559</v>
      </c>
      <c r="F1260" s="2">
        <f t="shared" si="325"/>
        <v>9.0288587999997798</v>
      </c>
    </row>
    <row r="1261" spans="1:6" ht="15" customHeight="1" x14ac:dyDescent="0.45">
      <c r="A1261" s="490">
        <v>359</v>
      </c>
      <c r="B1261" s="108">
        <v>263.46910000000003</v>
      </c>
      <c r="C1261" s="108">
        <v>264.5</v>
      </c>
      <c r="D1261" s="108">
        <f t="shared" si="324"/>
        <v>1.0308999999999742</v>
      </c>
      <c r="E1261" s="110">
        <f t="shared" si="326"/>
        <v>1.59413221499992</v>
      </c>
      <c r="F1261" s="2">
        <f t="shared" si="325"/>
        <v>7.9706610749996001</v>
      </c>
    </row>
    <row r="1262" spans="1:6" ht="15" customHeight="1" x14ac:dyDescent="0.45">
      <c r="A1262" s="490">
        <v>360</v>
      </c>
      <c r="B1262" s="108">
        <v>263.49029999999999</v>
      </c>
      <c r="C1262" s="108">
        <v>264.5</v>
      </c>
      <c r="D1262" s="108">
        <f t="shared" si="324"/>
        <v>1.0097000000000094</v>
      </c>
      <c r="E1262" s="110">
        <f t="shared" si="326"/>
        <v>1.5292411350000283</v>
      </c>
      <c r="F1262" s="2">
        <f t="shared" si="325"/>
        <v>7.6462056750001413</v>
      </c>
    </row>
    <row r="1263" spans="1:6" ht="15" customHeight="1" x14ac:dyDescent="0.45">
      <c r="A1263" s="490">
        <v>361</v>
      </c>
      <c r="B1263" s="108">
        <v>263.56119999999999</v>
      </c>
      <c r="C1263" s="108">
        <v>264.5</v>
      </c>
      <c r="D1263" s="108">
        <f t="shared" si="324"/>
        <v>0.93880000000001473</v>
      </c>
      <c r="E1263" s="110">
        <f t="shared" si="326"/>
        <v>1.3220181600000416</v>
      </c>
      <c r="F1263" s="2">
        <f t="shared" si="325"/>
        <v>6.6100908000002079</v>
      </c>
    </row>
    <row r="1264" spans="1:6" ht="15" customHeight="1" x14ac:dyDescent="0.45">
      <c r="A1264" s="490">
        <v>362</v>
      </c>
      <c r="B1264" s="108">
        <v>263.57049999999998</v>
      </c>
      <c r="C1264" s="108">
        <v>264.5</v>
      </c>
      <c r="D1264" s="108">
        <f t="shared" si="324"/>
        <v>0.92950000000001864</v>
      </c>
      <c r="E1264" s="110">
        <f t="shared" si="326"/>
        <v>1.2959553750000521</v>
      </c>
      <c r="F1264" s="2">
        <f t="shared" si="325"/>
        <v>6.47977687500026</v>
      </c>
    </row>
    <row r="1265" spans="1:6" ht="15" customHeight="1" x14ac:dyDescent="0.45">
      <c r="A1265" s="490">
        <v>363</v>
      </c>
      <c r="B1265" s="108">
        <v>263.60109999999997</v>
      </c>
      <c r="C1265" s="108">
        <v>264.5</v>
      </c>
      <c r="D1265" s="108">
        <f t="shared" si="324"/>
        <v>0.89890000000002601</v>
      </c>
      <c r="E1265" s="110">
        <f t="shared" si="326"/>
        <v>1.2120318150000702</v>
      </c>
      <c r="F1265" s="2">
        <f t="shared" si="325"/>
        <v>6.0601590750003513</v>
      </c>
    </row>
    <row r="1266" spans="1:6" ht="15" customHeight="1" x14ac:dyDescent="0.45">
      <c r="A1266" s="490">
        <v>364</v>
      </c>
      <c r="B1266" s="108">
        <v>263.51679999999999</v>
      </c>
      <c r="C1266" s="108">
        <v>264.5</v>
      </c>
      <c r="D1266" s="108">
        <f t="shared" si="324"/>
        <v>0.98320000000001073</v>
      </c>
      <c r="E1266" s="110">
        <f t="shared" si="326"/>
        <v>1.4500233600000316</v>
      </c>
      <c r="F1266" s="2">
        <f t="shared" si="325"/>
        <v>7.2501168000001579</v>
      </c>
    </row>
    <row r="1267" spans="1:6" ht="15" customHeight="1" x14ac:dyDescent="0.45">
      <c r="A1267" s="490">
        <v>365</v>
      </c>
      <c r="B1267" s="108">
        <v>263.67880000000002</v>
      </c>
      <c r="C1267" s="108">
        <v>264.5</v>
      </c>
      <c r="D1267" s="108">
        <f t="shared" si="324"/>
        <v>0.82119999999997617</v>
      </c>
      <c r="E1267" s="110">
        <f t="shared" si="326"/>
        <v>1.0115541599999414</v>
      </c>
      <c r="F1267" s="2">
        <f t="shared" si="325"/>
        <v>5.057770799999707</v>
      </c>
    </row>
    <row r="1268" spans="1:6" ht="15" customHeight="1" x14ac:dyDescent="0.45">
      <c r="A1268" s="490">
        <v>366</v>
      </c>
      <c r="B1268" s="108">
        <v>263.68340000000001</v>
      </c>
      <c r="C1268" s="108">
        <v>264.5</v>
      </c>
      <c r="D1268" s="108">
        <f t="shared" si="324"/>
        <v>0.816599999999994</v>
      </c>
      <c r="E1268" s="110">
        <f t="shared" si="326"/>
        <v>1.0002533399999853</v>
      </c>
      <c r="F1268" s="2">
        <f t="shared" si="325"/>
        <v>5.0012666999999267</v>
      </c>
    </row>
    <row r="1269" spans="1:6" ht="15" customHeight="1" x14ac:dyDescent="0.45">
      <c r="A1269" s="490">
        <v>367</v>
      </c>
      <c r="B1269" s="108">
        <v>263.95119999999997</v>
      </c>
      <c r="C1269" s="108">
        <v>264.5</v>
      </c>
      <c r="D1269" s="108">
        <f t="shared" si="324"/>
        <v>0.54880000000002838</v>
      </c>
      <c r="E1269" s="110">
        <f t="shared" si="326"/>
        <v>0.45177216000004672</v>
      </c>
      <c r="F1269" s="2">
        <f t="shared" si="325"/>
        <v>2.2588608000002335</v>
      </c>
    </row>
    <row r="1270" spans="1:6" ht="15" customHeight="1" x14ac:dyDescent="0.45">
      <c r="A1270" s="490">
        <v>368</v>
      </c>
      <c r="B1270" s="108">
        <v>264.03930000000003</v>
      </c>
      <c r="C1270" s="108">
        <v>264.5</v>
      </c>
      <c r="D1270" s="108">
        <f t="shared" si="324"/>
        <v>0.46069999999997435</v>
      </c>
      <c r="E1270" s="110">
        <f t="shared" si="326"/>
        <v>0.31836673499996454</v>
      </c>
      <c r="F1270" s="2">
        <f t="shared" si="325"/>
        <v>1.5918336749998228</v>
      </c>
    </row>
    <row r="1271" spans="1:6" ht="15" customHeight="1" x14ac:dyDescent="0.45">
      <c r="A1271" s="490">
        <v>369</v>
      </c>
      <c r="B1271" s="108">
        <v>264.18610000000001</v>
      </c>
      <c r="C1271" s="108">
        <v>264.5</v>
      </c>
      <c r="D1271" s="108">
        <f t="shared" si="324"/>
        <v>0.31389999999998963</v>
      </c>
      <c r="E1271" s="110">
        <f t="shared" si="326"/>
        <v>0.14779981499999023</v>
      </c>
      <c r="F1271" s="2">
        <f t="shared" si="325"/>
        <v>0.7389990749999511</v>
      </c>
    </row>
    <row r="1272" spans="1:6" ht="15" customHeight="1" x14ac:dyDescent="0.45">
      <c r="A1272" s="490">
        <v>370</v>
      </c>
      <c r="B1272" s="108">
        <v>264.1191</v>
      </c>
      <c r="C1272" s="108">
        <v>264.5</v>
      </c>
      <c r="D1272" s="108">
        <f t="shared" si="324"/>
        <v>0.38089999999999691</v>
      </c>
      <c r="E1272" s="110">
        <f t="shared" si="326"/>
        <v>0.21762721499999649</v>
      </c>
      <c r="F1272" s="2">
        <f t="shared" si="325"/>
        <v>1.0881360749999824</v>
      </c>
    </row>
    <row r="1273" spans="1:6" ht="15" customHeight="1" x14ac:dyDescent="0.45">
      <c r="A1273" s="490">
        <v>371</v>
      </c>
      <c r="B1273" s="108">
        <v>264.00639999999999</v>
      </c>
      <c r="C1273" s="108">
        <v>264.5</v>
      </c>
      <c r="D1273" s="108">
        <f t="shared" si="324"/>
        <v>0.49360000000001492</v>
      </c>
      <c r="E1273" s="110">
        <f t="shared" si="326"/>
        <v>0.36546144000002212</v>
      </c>
      <c r="F1273" s="2">
        <f t="shared" si="325"/>
        <v>1.8273072000001105</v>
      </c>
    </row>
    <row r="1274" spans="1:6" ht="15" customHeight="1" x14ac:dyDescent="0.45">
      <c r="A1274" s="490">
        <v>372</v>
      </c>
      <c r="B1274" s="108">
        <v>263.8852</v>
      </c>
      <c r="C1274" s="108">
        <v>264.5</v>
      </c>
      <c r="D1274" s="108">
        <f t="shared" si="324"/>
        <v>0.61480000000000246</v>
      </c>
      <c r="E1274" s="110">
        <f t="shared" si="326"/>
        <v>0.56696856000000451</v>
      </c>
      <c r="F1274" s="2">
        <f t="shared" si="325"/>
        <v>2.8348428000000228</v>
      </c>
    </row>
    <row r="1275" spans="1:6" ht="15" customHeight="1" x14ac:dyDescent="0.45">
      <c r="A1275" s="490">
        <v>373</v>
      </c>
      <c r="B1275" s="108">
        <v>263.91579999999999</v>
      </c>
      <c r="C1275" s="108">
        <v>264.5</v>
      </c>
      <c r="D1275" s="108">
        <f t="shared" si="324"/>
        <v>0.58420000000000982</v>
      </c>
      <c r="E1275" s="110">
        <f t="shared" si="326"/>
        <v>0.5119344600000173</v>
      </c>
      <c r="F1275" s="2">
        <f t="shared" si="325"/>
        <v>2.5596723000000865</v>
      </c>
    </row>
    <row r="1276" spans="1:6" ht="15" customHeight="1" x14ac:dyDescent="0.45">
      <c r="A1276" s="490">
        <v>374</v>
      </c>
      <c r="B1276" s="108">
        <v>263.83929999999998</v>
      </c>
      <c r="C1276" s="108">
        <v>264.5</v>
      </c>
      <c r="D1276" s="108">
        <f t="shared" si="324"/>
        <v>0.66070000000001983</v>
      </c>
      <c r="E1276" s="110">
        <f t="shared" si="326"/>
        <v>0.65478673500003926</v>
      </c>
      <c r="F1276" s="2">
        <f t="shared" si="325"/>
        <v>3.2739336750001962</v>
      </c>
    </row>
    <row r="1277" spans="1:6" ht="15" customHeight="1" x14ac:dyDescent="0.45">
      <c r="A1277" s="490">
        <v>375</v>
      </c>
      <c r="B1277" s="108">
        <v>263.66919999999999</v>
      </c>
      <c r="C1277" s="108">
        <v>264.5</v>
      </c>
      <c r="D1277" s="108">
        <f t="shared" si="324"/>
        <v>0.83080000000001064</v>
      </c>
      <c r="E1277" s="110">
        <f t="shared" si="326"/>
        <v>1.0353429600000266</v>
      </c>
      <c r="F1277" s="2">
        <f t="shared" si="325"/>
        <v>5.1767148000001324</v>
      </c>
    </row>
    <row r="1278" spans="1:6" ht="15" customHeight="1" x14ac:dyDescent="0.45">
      <c r="A1278" s="490">
        <v>376</v>
      </c>
      <c r="B1278" s="108">
        <v>263.70659999999998</v>
      </c>
      <c r="C1278" s="108">
        <v>264.5</v>
      </c>
      <c r="D1278" s="108">
        <f t="shared" si="324"/>
        <v>0.79340000000001965</v>
      </c>
      <c r="E1278" s="110">
        <f t="shared" si="326"/>
        <v>0.94422534000004665</v>
      </c>
      <c r="F1278" s="2">
        <f t="shared" si="325"/>
        <v>4.7211267000002337</v>
      </c>
    </row>
    <row r="1279" spans="1:6" ht="15" customHeight="1" x14ac:dyDescent="0.45">
      <c r="A1279" s="490">
        <v>377</v>
      </c>
      <c r="B1279" s="108">
        <v>263.87470000000002</v>
      </c>
      <c r="C1279" s="108">
        <v>264.5</v>
      </c>
      <c r="D1279" s="108">
        <f t="shared" si="324"/>
        <v>0.62529999999998154</v>
      </c>
      <c r="E1279" s="110">
        <f t="shared" si="326"/>
        <v>0.58650013499996545</v>
      </c>
      <c r="F1279" s="2">
        <f t="shared" si="325"/>
        <v>2.9325006749998273</v>
      </c>
    </row>
    <row r="1280" spans="1:6" ht="15" customHeight="1" x14ac:dyDescent="0.45">
      <c r="A1280" s="490">
        <v>378</v>
      </c>
      <c r="B1280" s="108">
        <v>263.70010000000002</v>
      </c>
      <c r="C1280" s="108">
        <v>264.5</v>
      </c>
      <c r="D1280" s="108">
        <f t="shared" si="324"/>
        <v>0.79989999999997963</v>
      </c>
      <c r="E1280" s="110">
        <f t="shared" si="326"/>
        <v>0.95976001499995101</v>
      </c>
      <c r="F1280" s="2">
        <f t="shared" si="325"/>
        <v>4.7988000749997548</v>
      </c>
    </row>
    <row r="1281" spans="1:6" ht="15" customHeight="1" x14ac:dyDescent="0.45">
      <c r="A1281" s="490">
        <v>379</v>
      </c>
      <c r="B1281" s="108">
        <v>263.80590000000001</v>
      </c>
      <c r="C1281" s="108">
        <v>264.5</v>
      </c>
      <c r="D1281" s="108">
        <f t="shared" si="324"/>
        <v>0.69409999999999172</v>
      </c>
      <c r="E1281" s="110">
        <f t="shared" si="326"/>
        <v>0.72266221499998273</v>
      </c>
      <c r="F1281" s="2">
        <f t="shared" si="325"/>
        <v>3.6133110749999138</v>
      </c>
    </row>
    <row r="1282" spans="1:6" ht="15" customHeight="1" x14ac:dyDescent="0.45">
      <c r="A1282" s="490">
        <v>380</v>
      </c>
      <c r="B1282" s="108">
        <v>264.1352</v>
      </c>
      <c r="C1282" s="108">
        <v>264.5</v>
      </c>
      <c r="D1282" s="108">
        <f t="shared" si="324"/>
        <v>0.36480000000000246</v>
      </c>
      <c r="E1282" s="110">
        <f t="shared" si="326"/>
        <v>0.19961856000000266</v>
      </c>
      <c r="F1282" s="2">
        <f t="shared" si="325"/>
        <v>0.99809280000001332</v>
      </c>
    </row>
    <row r="1283" spans="1:6" ht="15" customHeight="1" x14ac:dyDescent="0.45">
      <c r="A1283" s="490">
        <v>381</v>
      </c>
      <c r="B1283" s="108">
        <v>263.94369999999998</v>
      </c>
      <c r="C1283" s="108">
        <v>264.5</v>
      </c>
      <c r="D1283" s="108">
        <f t="shared" si="324"/>
        <v>0.55630000000002156</v>
      </c>
      <c r="E1283" s="110">
        <f t="shared" si="326"/>
        <v>0.464204535000036</v>
      </c>
      <c r="F1283" s="2">
        <f t="shared" si="325"/>
        <v>2.3210226750001799</v>
      </c>
    </row>
    <row r="1284" spans="1:6" ht="15" customHeight="1" x14ac:dyDescent="0.45">
      <c r="A1284" s="490">
        <v>382</v>
      </c>
      <c r="B1284" s="108">
        <v>263.87220000000002</v>
      </c>
      <c r="C1284" s="108">
        <v>264.5</v>
      </c>
      <c r="D1284" s="108">
        <f t="shared" si="324"/>
        <v>0.62779999999997926</v>
      </c>
      <c r="E1284" s="110">
        <f t="shared" si="326"/>
        <v>0.59119925999996092</v>
      </c>
      <c r="F1284" s="2">
        <f t="shared" si="325"/>
        <v>2.9559962999998044</v>
      </c>
    </row>
    <row r="1285" spans="1:6" ht="15" customHeight="1" x14ac:dyDescent="0.45">
      <c r="A1285" s="490">
        <v>383</v>
      </c>
      <c r="B1285" s="108">
        <v>263.9631</v>
      </c>
      <c r="C1285" s="108">
        <v>264.5</v>
      </c>
      <c r="D1285" s="108">
        <f t="shared" si="324"/>
        <v>0.53690000000000282</v>
      </c>
      <c r="E1285" s="110">
        <f t="shared" si="326"/>
        <v>0.43239241500000458</v>
      </c>
      <c r="F1285" s="2">
        <f t="shared" si="325"/>
        <v>2.161962075000023</v>
      </c>
    </row>
    <row r="1286" spans="1:6" ht="15" customHeight="1" x14ac:dyDescent="0.45">
      <c r="A1286" s="490">
        <v>384</v>
      </c>
      <c r="B1286" s="108">
        <v>263.5206</v>
      </c>
      <c r="C1286" s="108">
        <v>264.5</v>
      </c>
      <c r="D1286" s="108">
        <f t="shared" si="324"/>
        <v>0.97939999999999827</v>
      </c>
      <c r="E1286" s="110">
        <f t="shared" si="326"/>
        <v>1.4388365399999949</v>
      </c>
      <c r="F1286" s="2">
        <f t="shared" si="325"/>
        <v>7.194182699999975</v>
      </c>
    </row>
    <row r="1287" spans="1:6" ht="15" customHeight="1" x14ac:dyDescent="0.45">
      <c r="A1287" s="490">
        <v>385</v>
      </c>
      <c r="B1287" s="108">
        <v>264.04070000000002</v>
      </c>
      <c r="C1287" s="108">
        <v>264.5</v>
      </c>
      <c r="D1287" s="108">
        <f t="shared" ref="D1287:D1350" si="327">C1287-B1287</f>
        <v>0.45929999999998472</v>
      </c>
      <c r="E1287" s="110">
        <f t="shared" si="326"/>
        <v>0.31643473499997893</v>
      </c>
      <c r="F1287" s="2">
        <f t="shared" ref="F1287:F1350" si="328">E1287*5</f>
        <v>1.5821736749998947</v>
      </c>
    </row>
    <row r="1288" spans="1:6" ht="15" customHeight="1" x14ac:dyDescent="0.45">
      <c r="A1288" s="490">
        <v>386</v>
      </c>
      <c r="B1288" s="108">
        <v>264.81369999999998</v>
      </c>
      <c r="C1288" s="108">
        <v>264.5</v>
      </c>
      <c r="D1288" s="108">
        <f t="shared" si="327"/>
        <v>-0.31369999999998299</v>
      </c>
      <c r="E1288" s="110">
        <f t="shared" ref="E1288:E1351" si="329">IF(D1288&gt;0,1.5*D1288^2,1.5*0.5^2)</f>
        <v>0.375</v>
      </c>
      <c r="F1288" s="2">
        <f t="shared" si="328"/>
        <v>1.875</v>
      </c>
    </row>
    <row r="1289" spans="1:6" ht="15" customHeight="1" x14ac:dyDescent="0.45">
      <c r="A1289" s="490">
        <v>387</v>
      </c>
      <c r="B1289" s="108">
        <v>264.10140000000001</v>
      </c>
      <c r="C1289" s="108">
        <v>264.5</v>
      </c>
      <c r="D1289" s="108">
        <f t="shared" si="327"/>
        <v>0.39859999999998763</v>
      </c>
      <c r="E1289" s="110">
        <f t="shared" si="329"/>
        <v>0.23832293999998522</v>
      </c>
      <c r="F1289" s="2">
        <f t="shared" si="328"/>
        <v>1.191614699999926</v>
      </c>
    </row>
    <row r="1290" spans="1:6" ht="15" customHeight="1" x14ac:dyDescent="0.45">
      <c r="A1290" s="490">
        <v>388</v>
      </c>
      <c r="B1290" s="108">
        <v>263.81040000000002</v>
      </c>
      <c r="C1290" s="108">
        <v>264.5</v>
      </c>
      <c r="D1290" s="108">
        <f t="shared" si="327"/>
        <v>0.68959999999998445</v>
      </c>
      <c r="E1290" s="110">
        <f t="shared" si="329"/>
        <v>0.71332223999996791</v>
      </c>
      <c r="F1290" s="2">
        <f t="shared" si="328"/>
        <v>3.5666111999998398</v>
      </c>
    </row>
    <row r="1291" spans="1:6" ht="15" customHeight="1" x14ac:dyDescent="0.45">
      <c r="A1291" s="490">
        <v>389</v>
      </c>
      <c r="B1291" s="108">
        <v>263.9264</v>
      </c>
      <c r="C1291" s="108">
        <v>264.5</v>
      </c>
      <c r="D1291" s="108">
        <f t="shared" si="327"/>
        <v>0.573599999999999</v>
      </c>
      <c r="E1291" s="110">
        <f t="shared" si="329"/>
        <v>0.49352543999999832</v>
      </c>
      <c r="F1291" s="2">
        <f t="shared" si="328"/>
        <v>2.4676271999999915</v>
      </c>
    </row>
    <row r="1292" spans="1:6" ht="15" customHeight="1" x14ac:dyDescent="0.45">
      <c r="A1292" s="490">
        <v>390</v>
      </c>
      <c r="B1292" s="108">
        <v>263.83710000000002</v>
      </c>
      <c r="C1292" s="108">
        <v>264.5</v>
      </c>
      <c r="D1292" s="108">
        <f t="shared" si="327"/>
        <v>0.66289999999997917</v>
      </c>
      <c r="E1292" s="110">
        <f t="shared" si="329"/>
        <v>0.65915461499995864</v>
      </c>
      <c r="F1292" s="2">
        <f t="shared" si="328"/>
        <v>3.2957730749997931</v>
      </c>
    </row>
    <row r="1293" spans="1:6" ht="15" customHeight="1" x14ac:dyDescent="0.45">
      <c r="A1293" s="490">
        <v>391</v>
      </c>
      <c r="B1293" s="108">
        <v>263.70479999999998</v>
      </c>
      <c r="C1293" s="108">
        <v>264.5</v>
      </c>
      <c r="D1293" s="108">
        <f t="shared" si="327"/>
        <v>0.79520000000002256</v>
      </c>
      <c r="E1293" s="110">
        <f t="shared" si="329"/>
        <v>0.94851456000005374</v>
      </c>
      <c r="F1293" s="2">
        <f t="shared" si="328"/>
        <v>4.7425728000002687</v>
      </c>
    </row>
    <row r="1294" spans="1:6" ht="15" customHeight="1" x14ac:dyDescent="0.45">
      <c r="A1294" s="490">
        <v>392</v>
      </c>
      <c r="B1294" s="108">
        <v>263.66269999999997</v>
      </c>
      <c r="C1294" s="108">
        <v>264.5</v>
      </c>
      <c r="D1294" s="108">
        <f t="shared" si="327"/>
        <v>0.83730000000002747</v>
      </c>
      <c r="E1294" s="110">
        <f t="shared" si="329"/>
        <v>1.051606935000069</v>
      </c>
      <c r="F1294" s="2">
        <f t="shared" si="328"/>
        <v>5.2580346750003448</v>
      </c>
    </row>
    <row r="1295" spans="1:6" ht="15" customHeight="1" x14ac:dyDescent="0.45">
      <c r="A1295" s="490">
        <v>393</v>
      </c>
      <c r="B1295" s="108">
        <v>264.12599999999998</v>
      </c>
      <c r="C1295" s="108">
        <v>264.5</v>
      </c>
      <c r="D1295" s="108">
        <f t="shared" si="327"/>
        <v>0.37400000000002365</v>
      </c>
      <c r="E1295" s="110">
        <f t="shared" si="329"/>
        <v>0.20981400000002653</v>
      </c>
      <c r="F1295" s="2">
        <f t="shared" si="328"/>
        <v>1.0490700000001327</v>
      </c>
    </row>
    <row r="1296" spans="1:6" ht="15" customHeight="1" x14ac:dyDescent="0.45">
      <c r="A1296" s="490">
        <v>394</v>
      </c>
      <c r="B1296" s="108">
        <v>263.6678</v>
      </c>
      <c r="C1296" s="108">
        <v>264.5</v>
      </c>
      <c r="D1296" s="108">
        <f t="shared" si="327"/>
        <v>0.83220000000000027</v>
      </c>
      <c r="E1296" s="110">
        <f t="shared" si="329"/>
        <v>1.0388352600000008</v>
      </c>
      <c r="F1296" s="2">
        <f t="shared" si="328"/>
        <v>5.1941763000000041</v>
      </c>
    </row>
    <row r="1297" spans="1:6" ht="15" customHeight="1" x14ac:dyDescent="0.45">
      <c r="A1297" s="490">
        <v>395</v>
      </c>
      <c r="B1297" s="108">
        <v>263.62180000000001</v>
      </c>
      <c r="C1297" s="108">
        <v>264.5</v>
      </c>
      <c r="D1297" s="108">
        <f t="shared" si="327"/>
        <v>0.87819999999999254</v>
      </c>
      <c r="E1297" s="110">
        <f t="shared" si="329"/>
        <v>1.1568528599999803</v>
      </c>
      <c r="F1297" s="2">
        <f t="shared" si="328"/>
        <v>5.7842642999999017</v>
      </c>
    </row>
    <row r="1298" spans="1:6" ht="15" customHeight="1" x14ac:dyDescent="0.45">
      <c r="A1298" s="490">
        <v>396</v>
      </c>
      <c r="B1298" s="108">
        <v>263.68770000000001</v>
      </c>
      <c r="C1298" s="108">
        <v>264.5</v>
      </c>
      <c r="D1298" s="108">
        <f t="shared" si="327"/>
        <v>0.81229999999999336</v>
      </c>
      <c r="E1298" s="110">
        <f t="shared" si="329"/>
        <v>0.98974693499998379</v>
      </c>
      <c r="F1298" s="2">
        <f t="shared" si="328"/>
        <v>4.948734674999919</v>
      </c>
    </row>
    <row r="1299" spans="1:6" ht="15" customHeight="1" x14ac:dyDescent="0.45">
      <c r="A1299" s="490">
        <v>397</v>
      </c>
      <c r="B1299" s="108">
        <v>263.62869999999998</v>
      </c>
      <c r="C1299" s="108">
        <v>264.5</v>
      </c>
      <c r="D1299" s="108">
        <f t="shared" si="327"/>
        <v>0.87130000000001928</v>
      </c>
      <c r="E1299" s="110">
        <f t="shared" si="329"/>
        <v>1.1387455350000504</v>
      </c>
      <c r="F1299" s="2">
        <f t="shared" si="328"/>
        <v>5.6937276750002521</v>
      </c>
    </row>
    <row r="1300" spans="1:6" ht="15" customHeight="1" x14ac:dyDescent="0.45">
      <c r="A1300" s="490">
        <v>398</v>
      </c>
      <c r="B1300" s="108">
        <v>263.62970000000001</v>
      </c>
      <c r="C1300" s="108">
        <v>264.5</v>
      </c>
      <c r="D1300" s="108">
        <f t="shared" si="327"/>
        <v>0.87029999999998608</v>
      </c>
      <c r="E1300" s="110">
        <f t="shared" si="329"/>
        <v>1.1361331349999637</v>
      </c>
      <c r="F1300" s="2">
        <f t="shared" si="328"/>
        <v>5.680665674999819</v>
      </c>
    </row>
    <row r="1301" spans="1:6" ht="15" customHeight="1" x14ac:dyDescent="0.45">
      <c r="A1301" s="490">
        <v>399</v>
      </c>
      <c r="B1301" s="108">
        <v>263.73559999999998</v>
      </c>
      <c r="C1301" s="108">
        <v>264.5</v>
      </c>
      <c r="D1301" s="108">
        <f t="shared" si="327"/>
        <v>0.76440000000002328</v>
      </c>
      <c r="E1301" s="110">
        <f t="shared" si="329"/>
        <v>0.87646104000005343</v>
      </c>
      <c r="F1301" s="2">
        <f t="shared" si="328"/>
        <v>4.3823052000002676</v>
      </c>
    </row>
    <row r="1302" spans="1:6" ht="15" customHeight="1" x14ac:dyDescent="0.45">
      <c r="A1302" s="490">
        <v>400</v>
      </c>
      <c r="B1302" s="108">
        <v>264.04509999999999</v>
      </c>
      <c r="C1302" s="108">
        <v>264.5</v>
      </c>
      <c r="D1302" s="108">
        <f t="shared" si="327"/>
        <v>0.45490000000000919</v>
      </c>
      <c r="E1302" s="110">
        <f t="shared" si="329"/>
        <v>0.31040101500001255</v>
      </c>
      <c r="F1302" s="2">
        <f t="shared" si="328"/>
        <v>1.5520050750000627</v>
      </c>
    </row>
    <row r="1303" spans="1:6" ht="15" customHeight="1" x14ac:dyDescent="0.45">
      <c r="A1303" s="490">
        <v>401</v>
      </c>
      <c r="B1303" s="108">
        <v>263.67790000000002</v>
      </c>
      <c r="C1303" s="108">
        <v>264.5</v>
      </c>
      <c r="D1303" s="108">
        <f t="shared" si="327"/>
        <v>0.82209999999997763</v>
      </c>
      <c r="E1303" s="110">
        <f t="shared" si="329"/>
        <v>1.0137726149999449</v>
      </c>
      <c r="F1303" s="2">
        <f t="shared" si="328"/>
        <v>5.0688630749997241</v>
      </c>
    </row>
    <row r="1304" spans="1:6" ht="15" customHeight="1" x14ac:dyDescent="0.45">
      <c r="A1304" s="490">
        <v>402</v>
      </c>
      <c r="B1304" s="108">
        <v>263.84649999999999</v>
      </c>
      <c r="C1304" s="108">
        <v>264.5</v>
      </c>
      <c r="D1304" s="108">
        <f t="shared" si="327"/>
        <v>0.65350000000000819</v>
      </c>
      <c r="E1304" s="110">
        <f t="shared" si="329"/>
        <v>0.64059337500001601</v>
      </c>
      <c r="F1304" s="2">
        <f t="shared" si="328"/>
        <v>3.2029668750000799</v>
      </c>
    </row>
    <row r="1305" spans="1:6" ht="15" customHeight="1" x14ac:dyDescent="0.45">
      <c r="A1305" s="490">
        <v>403</v>
      </c>
      <c r="B1305" s="108">
        <v>263.9991</v>
      </c>
      <c r="C1305" s="108">
        <v>264.5</v>
      </c>
      <c r="D1305" s="108">
        <f t="shared" si="327"/>
        <v>0.50090000000000146</v>
      </c>
      <c r="E1305" s="110">
        <f t="shared" si="329"/>
        <v>0.37635121500000224</v>
      </c>
      <c r="F1305" s="2">
        <f t="shared" si="328"/>
        <v>1.8817560750000113</v>
      </c>
    </row>
    <row r="1306" spans="1:6" ht="15" customHeight="1" x14ac:dyDescent="0.45">
      <c r="A1306" s="490">
        <v>404</v>
      </c>
      <c r="B1306" s="108">
        <v>264.27859999999998</v>
      </c>
      <c r="C1306" s="108">
        <v>264.5</v>
      </c>
      <c r="D1306" s="108">
        <f t="shared" si="327"/>
        <v>0.22140000000001692</v>
      </c>
      <c r="E1306" s="110">
        <f t="shared" si="329"/>
        <v>7.352694000001124E-2</v>
      </c>
      <c r="F1306" s="2">
        <f t="shared" si="328"/>
        <v>0.36763470000005621</v>
      </c>
    </row>
    <row r="1307" spans="1:6" ht="15" customHeight="1" x14ac:dyDescent="0.45">
      <c r="A1307" s="490">
        <v>405</v>
      </c>
      <c r="B1307" s="108">
        <v>263.81909999999999</v>
      </c>
      <c r="C1307" s="108">
        <v>264.5</v>
      </c>
      <c r="D1307" s="108">
        <f t="shared" si="327"/>
        <v>0.68090000000000828</v>
      </c>
      <c r="E1307" s="110">
        <f t="shared" si="329"/>
        <v>0.69543721500001687</v>
      </c>
      <c r="F1307" s="2">
        <f t="shared" si="328"/>
        <v>3.4771860750000845</v>
      </c>
    </row>
    <row r="1308" spans="1:6" ht="15" customHeight="1" x14ac:dyDescent="0.45">
      <c r="A1308" s="490">
        <v>406</v>
      </c>
      <c r="B1308" s="108">
        <v>263.94600000000003</v>
      </c>
      <c r="C1308" s="108">
        <v>264.5</v>
      </c>
      <c r="D1308" s="108">
        <f t="shared" si="327"/>
        <v>0.55399999999997362</v>
      </c>
      <c r="E1308" s="110">
        <f t="shared" si="329"/>
        <v>0.46037399999995615</v>
      </c>
      <c r="F1308" s="2">
        <f t="shared" si="328"/>
        <v>2.3018699999997807</v>
      </c>
    </row>
    <row r="1309" spans="1:6" ht="15" customHeight="1" x14ac:dyDescent="0.45">
      <c r="A1309" s="490">
        <v>407</v>
      </c>
      <c r="B1309" s="108">
        <v>263.8646</v>
      </c>
      <c r="C1309" s="108">
        <v>264.5</v>
      </c>
      <c r="D1309" s="108">
        <f t="shared" si="327"/>
        <v>0.63540000000000418</v>
      </c>
      <c r="E1309" s="110">
        <f t="shared" si="329"/>
        <v>0.60559974000000794</v>
      </c>
      <c r="F1309" s="2">
        <f t="shared" si="328"/>
        <v>3.0279987000000395</v>
      </c>
    </row>
    <row r="1310" spans="1:6" ht="15" customHeight="1" x14ac:dyDescent="0.45">
      <c r="A1310" s="490">
        <v>408</v>
      </c>
      <c r="B1310" s="108">
        <v>263.83319999999998</v>
      </c>
      <c r="C1310" s="108">
        <v>264.5</v>
      </c>
      <c r="D1310" s="108">
        <f t="shared" si="327"/>
        <v>0.66680000000002337</v>
      </c>
      <c r="E1310" s="110">
        <f t="shared" si="329"/>
        <v>0.66693336000004677</v>
      </c>
      <c r="F1310" s="2">
        <f t="shared" si="328"/>
        <v>3.334666800000234</v>
      </c>
    </row>
    <row r="1311" spans="1:6" ht="15" customHeight="1" x14ac:dyDescent="0.45">
      <c r="A1311" s="490">
        <v>409</v>
      </c>
      <c r="B1311" s="108">
        <v>263.90519999999998</v>
      </c>
      <c r="C1311" s="108">
        <v>264.5</v>
      </c>
      <c r="D1311" s="108">
        <f t="shared" si="327"/>
        <v>0.59480000000002065</v>
      </c>
      <c r="E1311" s="110">
        <f t="shared" si="329"/>
        <v>0.53068056000003683</v>
      </c>
      <c r="F1311" s="2">
        <f t="shared" si="328"/>
        <v>2.6534028000001841</v>
      </c>
    </row>
    <row r="1312" spans="1:6" ht="15" customHeight="1" x14ac:dyDescent="0.45">
      <c r="A1312" s="490">
        <v>410</v>
      </c>
      <c r="B1312" s="108">
        <v>263.8854</v>
      </c>
      <c r="C1312" s="108">
        <v>264.5</v>
      </c>
      <c r="D1312" s="108">
        <f t="shared" si="327"/>
        <v>0.61459999999999582</v>
      </c>
      <c r="E1312" s="110">
        <f t="shared" si="329"/>
        <v>0.56659973999999225</v>
      </c>
      <c r="F1312" s="2">
        <f t="shared" si="328"/>
        <v>2.832998699999961</v>
      </c>
    </row>
    <row r="1313" spans="1:6" ht="15" customHeight="1" x14ac:dyDescent="0.45">
      <c r="A1313" s="490">
        <v>411</v>
      </c>
      <c r="B1313" s="108">
        <v>263.91050000000001</v>
      </c>
      <c r="C1313" s="108">
        <v>264.5</v>
      </c>
      <c r="D1313" s="108">
        <f t="shared" si="327"/>
        <v>0.58949999999998681</v>
      </c>
      <c r="E1313" s="110">
        <f t="shared" si="329"/>
        <v>0.52126537499997672</v>
      </c>
      <c r="F1313" s="2">
        <f t="shared" si="328"/>
        <v>2.6063268749998834</v>
      </c>
    </row>
    <row r="1314" spans="1:6" ht="15" customHeight="1" x14ac:dyDescent="0.45">
      <c r="A1314" s="490">
        <v>412</v>
      </c>
      <c r="B1314" s="108">
        <v>263.9135</v>
      </c>
      <c r="C1314" s="108">
        <v>264.5</v>
      </c>
      <c r="D1314" s="108">
        <f t="shared" si="327"/>
        <v>0.58650000000000091</v>
      </c>
      <c r="E1314" s="110">
        <f t="shared" si="329"/>
        <v>0.51597337500000151</v>
      </c>
      <c r="F1314" s="2">
        <f t="shared" si="328"/>
        <v>2.5798668750000076</v>
      </c>
    </row>
    <row r="1315" spans="1:6" ht="15" customHeight="1" x14ac:dyDescent="0.45">
      <c r="A1315" s="490">
        <v>413</v>
      </c>
      <c r="B1315" s="108">
        <v>263.98880000000003</v>
      </c>
      <c r="C1315" s="108">
        <v>264.5</v>
      </c>
      <c r="D1315" s="108">
        <f t="shared" si="327"/>
        <v>0.5111999999999739</v>
      </c>
      <c r="E1315" s="110">
        <f t="shared" si="329"/>
        <v>0.39198815999995995</v>
      </c>
      <c r="F1315" s="2">
        <f t="shared" si="328"/>
        <v>1.9599407999997998</v>
      </c>
    </row>
    <row r="1316" spans="1:6" ht="15" customHeight="1" x14ac:dyDescent="0.45">
      <c r="A1316" s="490">
        <v>414</v>
      </c>
      <c r="B1316" s="108">
        <v>263.92950000000002</v>
      </c>
      <c r="C1316" s="108">
        <v>264.5</v>
      </c>
      <c r="D1316" s="108">
        <f t="shared" si="327"/>
        <v>0.57049999999998136</v>
      </c>
      <c r="E1316" s="110">
        <f t="shared" si="329"/>
        <v>0.48820537499996808</v>
      </c>
      <c r="F1316" s="2">
        <f t="shared" si="328"/>
        <v>2.4410268749998405</v>
      </c>
    </row>
    <row r="1317" spans="1:6" ht="15" customHeight="1" x14ac:dyDescent="0.45">
      <c r="A1317" s="490">
        <v>415</v>
      </c>
      <c r="B1317" s="108">
        <v>263.91460000000001</v>
      </c>
      <c r="C1317" s="108">
        <v>264.5</v>
      </c>
      <c r="D1317" s="108">
        <f t="shared" si="327"/>
        <v>0.58539999999999281</v>
      </c>
      <c r="E1317" s="110">
        <f t="shared" si="329"/>
        <v>0.51403973999998742</v>
      </c>
      <c r="F1317" s="2">
        <f t="shared" si="328"/>
        <v>2.5701986999999371</v>
      </c>
    </row>
    <row r="1318" spans="1:6" ht="15" customHeight="1" x14ac:dyDescent="0.45">
      <c r="A1318" s="490">
        <v>416</v>
      </c>
      <c r="B1318" s="108">
        <v>264.1422</v>
      </c>
      <c r="C1318" s="108">
        <v>264.5</v>
      </c>
      <c r="D1318" s="108">
        <f t="shared" si="327"/>
        <v>0.35779999999999745</v>
      </c>
      <c r="E1318" s="110">
        <f t="shared" si="329"/>
        <v>0.19203125999999726</v>
      </c>
      <c r="F1318" s="2">
        <f t="shared" si="328"/>
        <v>0.96015629999998631</v>
      </c>
    </row>
    <row r="1319" spans="1:6" ht="15" customHeight="1" x14ac:dyDescent="0.45">
      <c r="A1319" s="490">
        <v>417</v>
      </c>
      <c r="B1319" s="108">
        <v>264.03160000000003</v>
      </c>
      <c r="C1319" s="108">
        <v>264.5</v>
      </c>
      <c r="D1319" s="108">
        <f t="shared" si="327"/>
        <v>0.46839999999997417</v>
      </c>
      <c r="E1319" s="110">
        <f t="shared" si="329"/>
        <v>0.32909783999996367</v>
      </c>
      <c r="F1319" s="2">
        <f t="shared" si="328"/>
        <v>1.6454891999998185</v>
      </c>
    </row>
    <row r="1320" spans="1:6" ht="15" customHeight="1" x14ac:dyDescent="0.45">
      <c r="A1320" s="490">
        <v>418</v>
      </c>
      <c r="B1320" s="108">
        <v>264.04109999999997</v>
      </c>
      <c r="C1320" s="108">
        <v>264.5</v>
      </c>
      <c r="D1320" s="108">
        <f t="shared" si="327"/>
        <v>0.45890000000002829</v>
      </c>
      <c r="E1320" s="110">
        <f t="shared" si="329"/>
        <v>0.31588381500003893</v>
      </c>
      <c r="F1320" s="2">
        <f t="shared" si="328"/>
        <v>1.5794190750001946</v>
      </c>
    </row>
    <row r="1321" spans="1:6" ht="15" customHeight="1" x14ac:dyDescent="0.45">
      <c r="A1321" s="490">
        <v>419</v>
      </c>
      <c r="B1321" s="108">
        <v>264.0489</v>
      </c>
      <c r="C1321" s="108">
        <v>264.5</v>
      </c>
      <c r="D1321" s="108">
        <f t="shared" si="327"/>
        <v>0.45109999999999673</v>
      </c>
      <c r="E1321" s="110">
        <f t="shared" si="329"/>
        <v>0.30523681499999555</v>
      </c>
      <c r="F1321" s="2">
        <f t="shared" si="328"/>
        <v>1.5261840749999778</v>
      </c>
    </row>
    <row r="1322" spans="1:6" ht="15" customHeight="1" x14ac:dyDescent="0.45">
      <c r="A1322" s="490">
        <v>420</v>
      </c>
      <c r="B1322" s="108">
        <v>264.03039999999999</v>
      </c>
      <c r="C1322" s="108">
        <v>264.5</v>
      </c>
      <c r="D1322" s="108">
        <f t="shared" si="327"/>
        <v>0.46960000000001401</v>
      </c>
      <c r="E1322" s="110">
        <f t="shared" si="329"/>
        <v>0.33078624000001972</v>
      </c>
      <c r="F1322" s="2">
        <f t="shared" si="328"/>
        <v>1.6539312000000985</v>
      </c>
    </row>
    <row r="1323" spans="1:6" ht="15" customHeight="1" x14ac:dyDescent="0.45">
      <c r="A1323" s="490">
        <v>421</v>
      </c>
      <c r="B1323" s="108">
        <v>264.39229999999998</v>
      </c>
      <c r="C1323" s="108">
        <v>264.5</v>
      </c>
      <c r="D1323" s="108">
        <f t="shared" si="327"/>
        <v>0.10770000000002256</v>
      </c>
      <c r="E1323" s="110">
        <f t="shared" si="329"/>
        <v>1.739893500000729E-2</v>
      </c>
      <c r="F1323" s="2">
        <f t="shared" si="328"/>
        <v>8.699467500003645E-2</v>
      </c>
    </row>
    <row r="1324" spans="1:6" ht="15" customHeight="1" x14ac:dyDescent="0.45">
      <c r="A1324" s="490">
        <v>422</v>
      </c>
      <c r="B1324" s="108">
        <v>264.06369999999998</v>
      </c>
      <c r="C1324" s="108">
        <v>264.5</v>
      </c>
      <c r="D1324" s="108">
        <f t="shared" si="327"/>
        <v>0.43630000000001701</v>
      </c>
      <c r="E1324" s="110">
        <f t="shared" si="329"/>
        <v>0.2855365350000223</v>
      </c>
      <c r="F1324" s="2">
        <f t="shared" si="328"/>
        <v>1.4276826750001115</v>
      </c>
    </row>
    <row r="1325" spans="1:6" ht="15" customHeight="1" x14ac:dyDescent="0.45">
      <c r="A1325" s="490">
        <v>423</v>
      </c>
      <c r="B1325" s="108">
        <v>264.23110000000003</v>
      </c>
      <c r="C1325" s="108">
        <v>264.5</v>
      </c>
      <c r="D1325" s="108">
        <f t="shared" si="327"/>
        <v>0.26889999999997372</v>
      </c>
      <c r="E1325" s="110">
        <f t="shared" si="329"/>
        <v>0.10846081499997881</v>
      </c>
      <c r="F1325" s="2">
        <f t="shared" si="328"/>
        <v>0.54230407499989408</v>
      </c>
    </row>
    <row r="1326" spans="1:6" ht="15" customHeight="1" x14ac:dyDescent="0.45">
      <c r="A1326" s="490">
        <v>424</v>
      </c>
      <c r="B1326" s="108">
        <v>264.94119999999998</v>
      </c>
      <c r="C1326" s="108">
        <v>264.5</v>
      </c>
      <c r="D1326" s="108">
        <f t="shared" si="327"/>
        <v>-0.44119999999998072</v>
      </c>
      <c r="E1326" s="110">
        <f t="shared" si="329"/>
        <v>0.375</v>
      </c>
      <c r="F1326" s="2">
        <f t="shared" si="328"/>
        <v>1.875</v>
      </c>
    </row>
    <row r="1327" spans="1:6" ht="15" customHeight="1" x14ac:dyDescent="0.45">
      <c r="A1327" s="490">
        <v>425</v>
      </c>
      <c r="B1327" s="108">
        <v>263.899</v>
      </c>
      <c r="C1327" s="108">
        <v>264.5</v>
      </c>
      <c r="D1327" s="108">
        <f t="shared" si="327"/>
        <v>0.60099999999999909</v>
      </c>
      <c r="E1327" s="110">
        <f t="shared" si="329"/>
        <v>0.54180149999999827</v>
      </c>
      <c r="F1327" s="2">
        <f t="shared" si="328"/>
        <v>2.7090074999999914</v>
      </c>
    </row>
    <row r="1328" spans="1:6" ht="15" customHeight="1" x14ac:dyDescent="0.45">
      <c r="A1328" s="490">
        <v>426</v>
      </c>
      <c r="B1328" s="108">
        <v>264.23079999999999</v>
      </c>
      <c r="C1328" s="108">
        <v>264.5</v>
      </c>
      <c r="D1328" s="108">
        <f t="shared" si="327"/>
        <v>0.2692000000000121</v>
      </c>
      <c r="E1328" s="110">
        <f t="shared" si="329"/>
        <v>0.10870296000000976</v>
      </c>
      <c r="F1328" s="2">
        <f t="shared" si="328"/>
        <v>0.54351480000004881</v>
      </c>
    </row>
    <row r="1329" spans="1:6" ht="15" customHeight="1" x14ac:dyDescent="0.45">
      <c r="A1329" s="490">
        <v>427</v>
      </c>
      <c r="B1329" s="108">
        <v>264.70139999999998</v>
      </c>
      <c r="C1329" s="108">
        <v>264.5</v>
      </c>
      <c r="D1329" s="108">
        <f t="shared" si="327"/>
        <v>-0.20139999999997826</v>
      </c>
      <c r="E1329" s="110">
        <f t="shared" si="329"/>
        <v>0.375</v>
      </c>
      <c r="F1329" s="2">
        <f t="shared" si="328"/>
        <v>1.875</v>
      </c>
    </row>
    <row r="1330" spans="1:6" ht="15" customHeight="1" x14ac:dyDescent="0.45">
      <c r="A1330" s="490">
        <v>428</v>
      </c>
      <c r="B1330" s="108">
        <v>264.09840000000003</v>
      </c>
      <c r="C1330" s="108">
        <v>264.5</v>
      </c>
      <c r="D1330" s="108">
        <f t="shared" si="327"/>
        <v>0.40159999999997353</v>
      </c>
      <c r="E1330" s="110">
        <f t="shared" si="329"/>
        <v>0.24192383999996808</v>
      </c>
      <c r="F1330" s="2">
        <f t="shared" si="328"/>
        <v>1.2096191999998405</v>
      </c>
    </row>
    <row r="1331" spans="1:6" ht="15" customHeight="1" x14ac:dyDescent="0.45">
      <c r="A1331" s="490">
        <v>429</v>
      </c>
      <c r="B1331" s="108">
        <v>264.31020000000001</v>
      </c>
      <c r="C1331" s="108">
        <v>264.5</v>
      </c>
      <c r="D1331" s="108">
        <f t="shared" si="327"/>
        <v>0.18979999999999109</v>
      </c>
      <c r="E1331" s="110">
        <f t="shared" si="329"/>
        <v>5.4036059999994918E-2</v>
      </c>
      <c r="F1331" s="2">
        <f t="shared" si="328"/>
        <v>0.27018029999997462</v>
      </c>
    </row>
    <row r="1332" spans="1:6" ht="15" customHeight="1" x14ac:dyDescent="0.45">
      <c r="A1332" s="490">
        <v>430</v>
      </c>
      <c r="B1332" s="108">
        <v>264.37029999999999</v>
      </c>
      <c r="C1332" s="108">
        <v>264.5</v>
      </c>
      <c r="D1332" s="108">
        <f t="shared" si="327"/>
        <v>0.12970000000001392</v>
      </c>
      <c r="E1332" s="110">
        <f t="shared" si="329"/>
        <v>2.5233135000005416E-2</v>
      </c>
      <c r="F1332" s="2">
        <f t="shared" si="328"/>
        <v>0.12616567500002707</v>
      </c>
    </row>
    <row r="1333" spans="1:6" ht="15" customHeight="1" x14ac:dyDescent="0.45">
      <c r="A1333" s="490">
        <v>431</v>
      </c>
      <c r="B1333" s="108">
        <v>263.95080000000002</v>
      </c>
      <c r="C1333" s="108">
        <v>264.5</v>
      </c>
      <c r="D1333" s="108">
        <f t="shared" si="327"/>
        <v>0.54919999999998481</v>
      </c>
      <c r="E1333" s="110">
        <f t="shared" si="329"/>
        <v>0.45243095999997501</v>
      </c>
      <c r="F1333" s="2">
        <f t="shared" si="328"/>
        <v>2.262154799999875</v>
      </c>
    </row>
    <row r="1334" spans="1:6" ht="15" customHeight="1" x14ac:dyDescent="0.45">
      <c r="A1334" s="490">
        <v>432</v>
      </c>
      <c r="B1334" s="108">
        <v>264.35849999999999</v>
      </c>
      <c r="C1334" s="108">
        <v>264.5</v>
      </c>
      <c r="D1334" s="108">
        <f t="shared" si="327"/>
        <v>0.14150000000000773</v>
      </c>
      <c r="E1334" s="110">
        <f t="shared" si="329"/>
        <v>3.0033375000003283E-2</v>
      </c>
      <c r="F1334" s="2">
        <f t="shared" si="328"/>
        <v>0.15016687500001641</v>
      </c>
    </row>
    <row r="1335" spans="1:6" ht="15" customHeight="1" x14ac:dyDescent="0.45">
      <c r="A1335" s="490">
        <v>433</v>
      </c>
      <c r="B1335" s="108">
        <v>264.0856</v>
      </c>
      <c r="C1335" s="108">
        <v>264.5</v>
      </c>
      <c r="D1335" s="108">
        <f t="shared" si="327"/>
        <v>0.41440000000000055</v>
      </c>
      <c r="E1335" s="110">
        <f t="shared" si="329"/>
        <v>0.25759104000000066</v>
      </c>
      <c r="F1335" s="2">
        <f t="shared" si="328"/>
        <v>1.2879552000000034</v>
      </c>
    </row>
    <row r="1336" spans="1:6" ht="15" customHeight="1" x14ac:dyDescent="0.45">
      <c r="A1336" s="490">
        <v>434</v>
      </c>
      <c r="B1336" s="108">
        <v>264.13229999999999</v>
      </c>
      <c r="C1336" s="108">
        <v>264.5</v>
      </c>
      <c r="D1336" s="108">
        <f t="shared" si="327"/>
        <v>0.36770000000001346</v>
      </c>
      <c r="E1336" s="110">
        <f t="shared" si="329"/>
        <v>0.20280493500001487</v>
      </c>
      <c r="F1336" s="2">
        <f t="shared" si="328"/>
        <v>1.0140246750000743</v>
      </c>
    </row>
    <row r="1337" spans="1:6" ht="15" customHeight="1" x14ac:dyDescent="0.45">
      <c r="A1337" s="490">
        <v>435</v>
      </c>
      <c r="B1337" s="108">
        <v>265.10849999999999</v>
      </c>
      <c r="C1337" s="108">
        <v>264.5</v>
      </c>
      <c r="D1337" s="108">
        <f t="shared" si="327"/>
        <v>-0.60849999999999227</v>
      </c>
      <c r="E1337" s="110">
        <f t="shared" si="329"/>
        <v>0.375</v>
      </c>
      <c r="F1337" s="2">
        <f t="shared" si="328"/>
        <v>1.875</v>
      </c>
    </row>
    <row r="1338" spans="1:6" ht="15" customHeight="1" x14ac:dyDescent="0.45">
      <c r="A1338" s="490">
        <v>436</v>
      </c>
      <c r="B1338" s="108">
        <v>264.69819999999999</v>
      </c>
      <c r="C1338" s="108">
        <v>264.5</v>
      </c>
      <c r="D1338" s="108">
        <f t="shared" si="327"/>
        <v>-0.19819999999998572</v>
      </c>
      <c r="E1338" s="110">
        <f t="shared" si="329"/>
        <v>0.375</v>
      </c>
      <c r="F1338" s="2">
        <f t="shared" si="328"/>
        <v>1.875</v>
      </c>
    </row>
    <row r="1339" spans="1:6" ht="15" customHeight="1" x14ac:dyDescent="0.45">
      <c r="A1339" s="490">
        <v>437</v>
      </c>
      <c r="B1339" s="108">
        <v>264.56939999999997</v>
      </c>
      <c r="C1339" s="108">
        <v>264.5</v>
      </c>
      <c r="D1339" s="108">
        <f t="shared" si="327"/>
        <v>-6.9399999999973261E-2</v>
      </c>
      <c r="E1339" s="110">
        <f t="shared" si="329"/>
        <v>0.375</v>
      </c>
      <c r="F1339" s="2">
        <f t="shared" si="328"/>
        <v>1.875</v>
      </c>
    </row>
    <row r="1340" spans="1:6" ht="15" customHeight="1" x14ac:dyDescent="0.45">
      <c r="A1340" s="490">
        <v>438</v>
      </c>
      <c r="B1340" s="108">
        <v>264.65769999999998</v>
      </c>
      <c r="C1340" s="108">
        <v>264.5</v>
      </c>
      <c r="D1340" s="108">
        <f t="shared" si="327"/>
        <v>-0.15769999999997708</v>
      </c>
      <c r="E1340" s="110">
        <f t="shared" si="329"/>
        <v>0.375</v>
      </c>
      <c r="F1340" s="2">
        <f t="shared" si="328"/>
        <v>1.875</v>
      </c>
    </row>
    <row r="1341" spans="1:6" ht="15" customHeight="1" x14ac:dyDescent="0.45">
      <c r="A1341" s="490">
        <v>439</v>
      </c>
      <c r="B1341" s="108">
        <v>264.67099999999999</v>
      </c>
      <c r="C1341" s="108">
        <v>264.5</v>
      </c>
      <c r="D1341" s="108">
        <f t="shared" si="327"/>
        <v>-0.17099999999999227</v>
      </c>
      <c r="E1341" s="110">
        <f t="shared" si="329"/>
        <v>0.375</v>
      </c>
      <c r="F1341" s="2">
        <f t="shared" si="328"/>
        <v>1.875</v>
      </c>
    </row>
    <row r="1342" spans="1:6" ht="15" customHeight="1" x14ac:dyDescent="0.45">
      <c r="A1342" s="490">
        <v>440</v>
      </c>
      <c r="B1342" s="108">
        <v>264.68520000000001</v>
      </c>
      <c r="C1342" s="108">
        <v>264.5</v>
      </c>
      <c r="D1342" s="108">
        <f t="shared" si="327"/>
        <v>-0.18520000000000891</v>
      </c>
      <c r="E1342" s="110">
        <f t="shared" si="329"/>
        <v>0.375</v>
      </c>
      <c r="F1342" s="2">
        <f t="shared" si="328"/>
        <v>1.875</v>
      </c>
    </row>
    <row r="1343" spans="1:6" ht="15" customHeight="1" x14ac:dyDescent="0.45">
      <c r="A1343" s="490">
        <v>441</v>
      </c>
      <c r="B1343" s="108">
        <v>264.69639999999998</v>
      </c>
      <c r="C1343" s="108">
        <v>264.5</v>
      </c>
      <c r="D1343" s="108">
        <f t="shared" si="327"/>
        <v>-0.19639999999998281</v>
      </c>
      <c r="E1343" s="110">
        <f t="shared" si="329"/>
        <v>0.375</v>
      </c>
      <c r="F1343" s="2">
        <f t="shared" si="328"/>
        <v>1.875</v>
      </c>
    </row>
    <row r="1344" spans="1:6" ht="15" customHeight="1" x14ac:dyDescent="0.45">
      <c r="A1344" s="490">
        <v>442</v>
      </c>
      <c r="B1344" s="108">
        <v>264.67840000000001</v>
      </c>
      <c r="C1344" s="108">
        <v>264.5</v>
      </c>
      <c r="D1344" s="108">
        <f t="shared" si="327"/>
        <v>-0.17840000000001055</v>
      </c>
      <c r="E1344" s="110">
        <f t="shared" si="329"/>
        <v>0.375</v>
      </c>
      <c r="F1344" s="2">
        <f t="shared" si="328"/>
        <v>1.875</v>
      </c>
    </row>
    <row r="1345" spans="1:6" ht="15" customHeight="1" x14ac:dyDescent="0.45">
      <c r="A1345" s="490">
        <v>443</v>
      </c>
      <c r="B1345" s="108">
        <v>264.50560000000002</v>
      </c>
      <c r="C1345" s="108">
        <v>264.5</v>
      </c>
      <c r="D1345" s="108">
        <f t="shared" si="327"/>
        <v>-5.6000000000153705E-3</v>
      </c>
      <c r="E1345" s="110">
        <f t="shared" si="329"/>
        <v>0.375</v>
      </c>
      <c r="F1345" s="2">
        <f t="shared" si="328"/>
        <v>1.875</v>
      </c>
    </row>
    <row r="1346" spans="1:6" ht="15" customHeight="1" x14ac:dyDescent="0.45">
      <c r="A1346" s="490">
        <v>444</v>
      </c>
      <c r="B1346" s="108">
        <v>264.55540000000002</v>
      </c>
      <c r="C1346" s="108">
        <v>264.5</v>
      </c>
      <c r="D1346" s="108">
        <f t="shared" si="327"/>
        <v>-5.54000000000201E-2</v>
      </c>
      <c r="E1346" s="110">
        <f t="shared" si="329"/>
        <v>0.375</v>
      </c>
      <c r="F1346" s="2">
        <f t="shared" si="328"/>
        <v>1.875</v>
      </c>
    </row>
    <row r="1347" spans="1:6" ht="15" customHeight="1" x14ac:dyDescent="0.45">
      <c r="A1347" s="490">
        <v>445</v>
      </c>
      <c r="B1347" s="108">
        <v>264.61200000000002</v>
      </c>
      <c r="C1347" s="108">
        <v>264.5</v>
      </c>
      <c r="D1347" s="108">
        <f t="shared" si="327"/>
        <v>-0.11200000000002319</v>
      </c>
      <c r="E1347" s="110">
        <f t="shared" si="329"/>
        <v>0.375</v>
      </c>
      <c r="F1347" s="2">
        <f t="shared" si="328"/>
        <v>1.875</v>
      </c>
    </row>
    <row r="1348" spans="1:6" ht="15" customHeight="1" x14ac:dyDescent="0.45">
      <c r="A1348" s="490">
        <v>446</v>
      </c>
      <c r="B1348" s="108">
        <v>264.59879999999998</v>
      </c>
      <c r="C1348" s="108">
        <v>264.5</v>
      </c>
      <c r="D1348" s="108">
        <f t="shared" si="327"/>
        <v>-9.8799999999982901E-2</v>
      </c>
      <c r="E1348" s="110">
        <f t="shared" si="329"/>
        <v>0.375</v>
      </c>
      <c r="F1348" s="2">
        <f t="shared" si="328"/>
        <v>1.875</v>
      </c>
    </row>
    <row r="1349" spans="1:6" ht="15" customHeight="1" x14ac:dyDescent="0.45">
      <c r="A1349" s="490">
        <v>447</v>
      </c>
      <c r="B1349" s="108">
        <v>264.52760000000001</v>
      </c>
      <c r="C1349" s="108">
        <v>264.5</v>
      </c>
      <c r="D1349" s="108">
        <f t="shared" si="327"/>
        <v>-2.760000000000673E-2</v>
      </c>
      <c r="E1349" s="110">
        <f t="shared" si="329"/>
        <v>0.375</v>
      </c>
      <c r="F1349" s="2">
        <f t="shared" si="328"/>
        <v>1.875</v>
      </c>
    </row>
    <row r="1350" spans="1:6" ht="15" customHeight="1" x14ac:dyDescent="0.45">
      <c r="A1350" s="490">
        <v>448</v>
      </c>
      <c r="B1350" s="108">
        <v>264.67790000000002</v>
      </c>
      <c r="C1350" s="108">
        <v>264.5</v>
      </c>
      <c r="D1350" s="108">
        <f t="shared" si="327"/>
        <v>-0.17790000000002237</v>
      </c>
      <c r="E1350" s="110">
        <f t="shared" si="329"/>
        <v>0.375</v>
      </c>
      <c r="F1350" s="2">
        <f t="shared" si="328"/>
        <v>1.875</v>
      </c>
    </row>
    <row r="1351" spans="1:6" ht="15" customHeight="1" x14ac:dyDescent="0.45">
      <c r="A1351" s="490">
        <v>449</v>
      </c>
      <c r="B1351" s="108">
        <v>265.09879999999998</v>
      </c>
      <c r="C1351" s="108">
        <v>264.5</v>
      </c>
      <c r="D1351" s="108">
        <f t="shared" ref="D1351:D1390" si="330">C1351-B1351</f>
        <v>-0.5987999999999829</v>
      </c>
      <c r="E1351" s="110">
        <f t="shared" si="329"/>
        <v>0.375</v>
      </c>
      <c r="F1351" s="2">
        <f t="shared" ref="F1351:F1390" si="331">E1351*5</f>
        <v>1.875</v>
      </c>
    </row>
    <row r="1352" spans="1:6" ht="15" customHeight="1" x14ac:dyDescent="0.45">
      <c r="A1352" s="490">
        <v>450</v>
      </c>
      <c r="B1352" s="108">
        <v>264.91840000000002</v>
      </c>
      <c r="C1352" s="108">
        <v>264.5</v>
      </c>
      <c r="D1352" s="108">
        <f t="shared" si="330"/>
        <v>-0.41840000000001965</v>
      </c>
      <c r="E1352" s="110">
        <f t="shared" ref="E1352:E1390" si="332">IF(D1352&gt;0,1.5*D1352^2,1.5*0.5^2)</f>
        <v>0.375</v>
      </c>
      <c r="F1352" s="2">
        <f t="shared" si="331"/>
        <v>1.875</v>
      </c>
    </row>
    <row r="1353" spans="1:6" ht="15" customHeight="1" x14ac:dyDescent="0.45">
      <c r="A1353" s="490">
        <v>451</v>
      </c>
      <c r="B1353" s="108">
        <v>264.89510000000001</v>
      </c>
      <c r="C1353" s="108">
        <v>264.5</v>
      </c>
      <c r="D1353" s="108">
        <f t="shared" si="330"/>
        <v>-0.39510000000001355</v>
      </c>
      <c r="E1353" s="110">
        <f t="shared" si="332"/>
        <v>0.375</v>
      </c>
      <c r="F1353" s="2">
        <f t="shared" si="331"/>
        <v>1.875</v>
      </c>
    </row>
    <row r="1354" spans="1:6" ht="15" customHeight="1" x14ac:dyDescent="0.45">
      <c r="A1354" s="490">
        <v>452</v>
      </c>
      <c r="B1354" s="108">
        <v>264.59629999999999</v>
      </c>
      <c r="C1354" s="108">
        <v>264.5</v>
      </c>
      <c r="D1354" s="108">
        <f t="shared" si="330"/>
        <v>-9.6299999999985175E-2</v>
      </c>
      <c r="E1354" s="110">
        <f t="shared" si="332"/>
        <v>0.375</v>
      </c>
      <c r="F1354" s="2">
        <f t="shared" si="331"/>
        <v>1.875</v>
      </c>
    </row>
    <row r="1355" spans="1:6" ht="15" customHeight="1" x14ac:dyDescent="0.45">
      <c r="A1355" s="490">
        <v>453</v>
      </c>
      <c r="B1355" s="108">
        <v>265.07850000000002</v>
      </c>
      <c r="C1355" s="108">
        <v>264.5</v>
      </c>
      <c r="D1355" s="108">
        <f t="shared" si="330"/>
        <v>-0.57850000000001955</v>
      </c>
      <c r="E1355" s="110">
        <f t="shared" si="332"/>
        <v>0.375</v>
      </c>
      <c r="F1355" s="2">
        <f t="shared" si="331"/>
        <v>1.875</v>
      </c>
    </row>
    <row r="1356" spans="1:6" ht="15" customHeight="1" x14ac:dyDescent="0.45">
      <c r="A1356" s="490">
        <v>454</v>
      </c>
      <c r="B1356" s="108">
        <v>265.0795</v>
      </c>
      <c r="C1356" s="108">
        <v>264.5</v>
      </c>
      <c r="D1356" s="108">
        <f t="shared" si="330"/>
        <v>-0.57949999999999591</v>
      </c>
      <c r="E1356" s="110">
        <f t="shared" si="332"/>
        <v>0.375</v>
      </c>
      <c r="F1356" s="2">
        <f t="shared" si="331"/>
        <v>1.875</v>
      </c>
    </row>
    <row r="1357" spans="1:6" ht="15" customHeight="1" x14ac:dyDescent="0.45">
      <c r="A1357" s="490">
        <v>455</v>
      </c>
      <c r="B1357" s="108">
        <v>264.71190000000001</v>
      </c>
      <c r="C1357" s="108">
        <v>264.5</v>
      </c>
      <c r="D1357" s="108">
        <f t="shared" si="330"/>
        <v>-0.21190000000001419</v>
      </c>
      <c r="E1357" s="110">
        <f t="shared" si="332"/>
        <v>0.375</v>
      </c>
      <c r="F1357" s="2">
        <f t="shared" si="331"/>
        <v>1.875</v>
      </c>
    </row>
    <row r="1358" spans="1:6" ht="15" customHeight="1" x14ac:dyDescent="0.45">
      <c r="A1358" s="490">
        <v>456</v>
      </c>
      <c r="B1358" s="108">
        <v>263.92259999999999</v>
      </c>
      <c r="C1358" s="108">
        <v>264.5</v>
      </c>
      <c r="D1358" s="108">
        <f t="shared" si="330"/>
        <v>0.57740000000001146</v>
      </c>
      <c r="E1358" s="110">
        <f t="shared" si="332"/>
        <v>0.50008614000001983</v>
      </c>
      <c r="F1358" s="2">
        <f t="shared" si="331"/>
        <v>2.5004307000000994</v>
      </c>
    </row>
    <row r="1359" spans="1:6" ht="15" customHeight="1" x14ac:dyDescent="0.45">
      <c r="A1359" s="490">
        <v>457</v>
      </c>
      <c r="B1359" s="108">
        <v>263.86989999999997</v>
      </c>
      <c r="C1359" s="108">
        <v>264.5</v>
      </c>
      <c r="D1359" s="108">
        <f t="shared" si="330"/>
        <v>0.63010000000002719</v>
      </c>
      <c r="E1359" s="110">
        <f t="shared" si="332"/>
        <v>0.59553901500005146</v>
      </c>
      <c r="F1359" s="2">
        <f t="shared" si="331"/>
        <v>2.9776950750002573</v>
      </c>
    </row>
    <row r="1360" spans="1:6" ht="15" customHeight="1" x14ac:dyDescent="0.45">
      <c r="A1360" s="490">
        <v>458</v>
      </c>
      <c r="B1360" s="108">
        <v>263.96199999999999</v>
      </c>
      <c r="C1360" s="108">
        <v>264.5</v>
      </c>
      <c r="D1360" s="108">
        <f t="shared" si="330"/>
        <v>0.53800000000001091</v>
      </c>
      <c r="E1360" s="110">
        <f t="shared" si="332"/>
        <v>0.43416600000001759</v>
      </c>
      <c r="F1360" s="2">
        <f t="shared" si="331"/>
        <v>2.170830000000088</v>
      </c>
    </row>
    <row r="1361" spans="1:6" ht="15" customHeight="1" x14ac:dyDescent="0.45">
      <c r="A1361" s="490">
        <v>459</v>
      </c>
      <c r="B1361" s="108">
        <v>264.34589999999997</v>
      </c>
      <c r="C1361" s="108">
        <v>264.5</v>
      </c>
      <c r="D1361" s="108">
        <f t="shared" si="330"/>
        <v>0.1541000000000281</v>
      </c>
      <c r="E1361" s="110">
        <f t="shared" si="332"/>
        <v>3.5620215000012986E-2</v>
      </c>
      <c r="F1361" s="2">
        <f t="shared" si="331"/>
        <v>0.17810107500006495</v>
      </c>
    </row>
    <row r="1362" spans="1:6" ht="15" customHeight="1" x14ac:dyDescent="0.45">
      <c r="A1362" s="490">
        <v>460</v>
      </c>
      <c r="B1362" s="108">
        <v>264.22140000000002</v>
      </c>
      <c r="C1362" s="108">
        <v>264.5</v>
      </c>
      <c r="D1362" s="108">
        <f t="shared" si="330"/>
        <v>0.27859999999998308</v>
      </c>
      <c r="E1362" s="110">
        <f t="shared" si="332"/>
        <v>0.11642693999998587</v>
      </c>
      <c r="F1362" s="2">
        <f t="shared" si="331"/>
        <v>0.58213469999992928</v>
      </c>
    </row>
    <row r="1363" spans="1:6" ht="15" customHeight="1" x14ac:dyDescent="0.45">
      <c r="A1363" s="490">
        <v>461</v>
      </c>
      <c r="B1363" s="108">
        <v>264.08100000000002</v>
      </c>
      <c r="C1363" s="108">
        <v>264.5</v>
      </c>
      <c r="D1363" s="108">
        <f t="shared" si="330"/>
        <v>0.41899999999998272</v>
      </c>
      <c r="E1363" s="110">
        <f t="shared" si="332"/>
        <v>0.26334149999997825</v>
      </c>
      <c r="F1363" s="2">
        <f t="shared" si="331"/>
        <v>1.3167074999998913</v>
      </c>
    </row>
    <row r="1364" spans="1:6" ht="15" customHeight="1" x14ac:dyDescent="0.45">
      <c r="A1364" s="490">
        <v>462</v>
      </c>
      <c r="B1364" s="108">
        <v>265.19420000000002</v>
      </c>
      <c r="C1364" s="108">
        <v>264.5</v>
      </c>
      <c r="D1364" s="108">
        <f t="shared" si="330"/>
        <v>-0.69420000000002346</v>
      </c>
      <c r="E1364" s="110">
        <f t="shared" si="332"/>
        <v>0.375</v>
      </c>
      <c r="F1364" s="2">
        <f t="shared" si="331"/>
        <v>1.875</v>
      </c>
    </row>
    <row r="1365" spans="1:6" ht="15" customHeight="1" x14ac:dyDescent="0.45">
      <c r="A1365" s="490">
        <v>463</v>
      </c>
      <c r="B1365" s="108">
        <v>264.16019999999997</v>
      </c>
      <c r="C1365" s="108">
        <v>264.5</v>
      </c>
      <c r="D1365" s="108">
        <f t="shared" si="330"/>
        <v>0.33980000000002519</v>
      </c>
      <c r="E1365" s="110">
        <f t="shared" si="332"/>
        <v>0.17319606000002569</v>
      </c>
      <c r="F1365" s="2">
        <f t="shared" si="331"/>
        <v>0.86598030000012849</v>
      </c>
    </row>
    <row r="1366" spans="1:6" ht="15" customHeight="1" x14ac:dyDescent="0.45">
      <c r="A1366" s="490">
        <v>464</v>
      </c>
      <c r="B1366" s="108">
        <v>265.40050000000002</v>
      </c>
      <c r="C1366" s="108">
        <v>264.5</v>
      </c>
      <c r="D1366" s="108">
        <f t="shared" si="330"/>
        <v>-0.90050000000002228</v>
      </c>
      <c r="E1366" s="110">
        <f t="shared" si="332"/>
        <v>0.375</v>
      </c>
      <c r="F1366" s="2">
        <f t="shared" si="331"/>
        <v>1.875</v>
      </c>
    </row>
    <row r="1367" spans="1:6" ht="15" customHeight="1" x14ac:dyDescent="0.45">
      <c r="A1367" s="490">
        <v>465</v>
      </c>
      <c r="B1367" s="108">
        <v>264.31740000000002</v>
      </c>
      <c r="C1367" s="108">
        <v>264.5</v>
      </c>
      <c r="D1367" s="108">
        <f t="shared" si="330"/>
        <v>0.18259999999997945</v>
      </c>
      <c r="E1367" s="110">
        <f t="shared" si="332"/>
        <v>5.0014139999988737E-2</v>
      </c>
      <c r="F1367" s="2">
        <f t="shared" si="331"/>
        <v>0.25007069999994369</v>
      </c>
    </row>
    <row r="1368" spans="1:6" ht="15" customHeight="1" x14ac:dyDescent="0.45">
      <c r="A1368" s="490">
        <v>466</v>
      </c>
      <c r="B1368" s="108">
        <v>265.5401</v>
      </c>
      <c r="C1368" s="108">
        <v>264.5</v>
      </c>
      <c r="D1368" s="108">
        <f t="shared" si="330"/>
        <v>-1.0400999999999954</v>
      </c>
      <c r="E1368" s="110">
        <f t="shared" si="332"/>
        <v>0.375</v>
      </c>
      <c r="F1368" s="2">
        <f t="shared" si="331"/>
        <v>1.875</v>
      </c>
    </row>
    <row r="1369" spans="1:6" ht="15" customHeight="1" x14ac:dyDescent="0.45">
      <c r="A1369" s="490">
        <v>467</v>
      </c>
      <c r="B1369" s="108">
        <v>264.48520000000002</v>
      </c>
      <c r="C1369" s="108">
        <v>264.5</v>
      </c>
      <c r="D1369" s="108">
        <f t="shared" si="330"/>
        <v>1.4799999999979718E-2</v>
      </c>
      <c r="E1369" s="110">
        <f t="shared" si="332"/>
        <v>3.285599999990995E-4</v>
      </c>
      <c r="F1369" s="2">
        <f t="shared" si="331"/>
        <v>1.6427999999954976E-3</v>
      </c>
    </row>
    <row r="1370" spans="1:6" ht="15" customHeight="1" x14ac:dyDescent="0.45">
      <c r="A1370" s="490">
        <v>468</v>
      </c>
      <c r="B1370" s="108">
        <v>265.52980000000002</v>
      </c>
      <c r="C1370" s="108">
        <v>264.5</v>
      </c>
      <c r="D1370" s="108">
        <f t="shared" si="330"/>
        <v>-1.0298000000000229</v>
      </c>
      <c r="E1370" s="110">
        <f t="shared" si="332"/>
        <v>0.375</v>
      </c>
      <c r="F1370" s="2">
        <f t="shared" si="331"/>
        <v>1.875</v>
      </c>
    </row>
    <row r="1371" spans="1:6" ht="15" customHeight="1" x14ac:dyDescent="0.45">
      <c r="A1371" s="490">
        <v>469</v>
      </c>
      <c r="B1371" s="108">
        <v>264.01420000000002</v>
      </c>
      <c r="C1371" s="108">
        <v>264.5</v>
      </c>
      <c r="D1371" s="108">
        <f t="shared" si="330"/>
        <v>0.48579999999998336</v>
      </c>
      <c r="E1371" s="110">
        <f t="shared" si="332"/>
        <v>0.35400245999997576</v>
      </c>
      <c r="F1371" s="2">
        <f t="shared" si="331"/>
        <v>1.7700122999998789</v>
      </c>
    </row>
    <row r="1372" spans="1:6" ht="15" customHeight="1" x14ac:dyDescent="0.45">
      <c r="A1372" s="490">
        <v>470</v>
      </c>
      <c r="B1372" s="108">
        <v>264.46089999999998</v>
      </c>
      <c r="C1372" s="108">
        <v>264.5</v>
      </c>
      <c r="D1372" s="108">
        <f t="shared" si="330"/>
        <v>3.9100000000019008E-2</v>
      </c>
      <c r="E1372" s="110">
        <f t="shared" si="332"/>
        <v>2.2932150000022295E-3</v>
      </c>
      <c r="F1372" s="2">
        <f t="shared" si="331"/>
        <v>1.1466075000011147E-2</v>
      </c>
    </row>
    <row r="1373" spans="1:6" ht="15" customHeight="1" x14ac:dyDescent="0.45">
      <c r="A1373" s="490">
        <v>471</v>
      </c>
      <c r="B1373" s="108">
        <v>264.01889999999997</v>
      </c>
      <c r="C1373" s="108">
        <v>264.5</v>
      </c>
      <c r="D1373" s="108">
        <f t="shared" si="330"/>
        <v>0.48110000000002628</v>
      </c>
      <c r="E1373" s="110">
        <f t="shared" si="332"/>
        <v>0.34718581500003792</v>
      </c>
      <c r="F1373" s="2">
        <f t="shared" si="331"/>
        <v>1.7359290750001897</v>
      </c>
    </row>
    <row r="1374" spans="1:6" ht="15" customHeight="1" x14ac:dyDescent="0.45">
      <c r="A1374" s="490">
        <v>472</v>
      </c>
      <c r="B1374" s="108">
        <v>264.1146</v>
      </c>
      <c r="C1374" s="108">
        <v>264.5</v>
      </c>
      <c r="D1374" s="108">
        <f t="shared" si="330"/>
        <v>0.38540000000000418</v>
      </c>
      <c r="E1374" s="110">
        <f t="shared" si="332"/>
        <v>0.22279974000000483</v>
      </c>
      <c r="F1374" s="2">
        <f t="shared" si="331"/>
        <v>1.1139987000000242</v>
      </c>
    </row>
    <row r="1375" spans="1:6" ht="15" customHeight="1" x14ac:dyDescent="0.45">
      <c r="A1375" s="490">
        <v>473</v>
      </c>
      <c r="B1375" s="108">
        <v>263.9778</v>
      </c>
      <c r="C1375" s="108">
        <v>264.5</v>
      </c>
      <c r="D1375" s="108">
        <f t="shared" si="330"/>
        <v>0.522199999999998</v>
      </c>
      <c r="E1375" s="110">
        <f t="shared" si="332"/>
        <v>0.40903925999999691</v>
      </c>
      <c r="F1375" s="2">
        <f t="shared" si="331"/>
        <v>2.0451962999999846</v>
      </c>
    </row>
    <row r="1376" spans="1:6" ht="15" customHeight="1" x14ac:dyDescent="0.45">
      <c r="A1376" s="490">
        <v>474</v>
      </c>
      <c r="B1376" s="108">
        <v>263.92450000000002</v>
      </c>
      <c r="C1376" s="108">
        <v>264.5</v>
      </c>
      <c r="D1376" s="108">
        <f t="shared" si="330"/>
        <v>0.57549999999997681</v>
      </c>
      <c r="E1376" s="110">
        <f t="shared" si="332"/>
        <v>0.49680037499995999</v>
      </c>
      <c r="F1376" s="2">
        <f t="shared" si="331"/>
        <v>2.4840018749997999</v>
      </c>
    </row>
    <row r="1377" spans="1:6" ht="15" customHeight="1" x14ac:dyDescent="0.45">
      <c r="A1377" s="490">
        <v>475</v>
      </c>
      <c r="B1377" s="108">
        <v>263.91210000000001</v>
      </c>
      <c r="C1377" s="108">
        <v>264.5</v>
      </c>
      <c r="D1377" s="108">
        <f t="shared" si="330"/>
        <v>0.58789999999999054</v>
      </c>
      <c r="E1377" s="110">
        <f t="shared" si="332"/>
        <v>0.51843961499998337</v>
      </c>
      <c r="F1377" s="2">
        <f t="shared" si="331"/>
        <v>2.5921980749999167</v>
      </c>
    </row>
    <row r="1378" spans="1:6" ht="15" customHeight="1" x14ac:dyDescent="0.45">
      <c r="A1378" s="490">
        <v>476</v>
      </c>
      <c r="B1378" s="108">
        <v>263.9787</v>
      </c>
      <c r="C1378" s="108">
        <v>264.5</v>
      </c>
      <c r="D1378" s="108">
        <f t="shared" si="330"/>
        <v>0.52129999999999654</v>
      </c>
      <c r="E1378" s="110">
        <f t="shared" si="332"/>
        <v>0.40763053499999458</v>
      </c>
      <c r="F1378" s="2">
        <f t="shared" si="331"/>
        <v>2.038152674999973</v>
      </c>
    </row>
    <row r="1379" spans="1:6" ht="15" customHeight="1" x14ac:dyDescent="0.45">
      <c r="A1379" s="490">
        <v>477</v>
      </c>
      <c r="B1379" s="108">
        <v>263.9907</v>
      </c>
      <c r="C1379" s="108">
        <v>264.5</v>
      </c>
      <c r="D1379" s="108">
        <f t="shared" si="330"/>
        <v>0.50929999999999609</v>
      </c>
      <c r="E1379" s="110">
        <f t="shared" si="332"/>
        <v>0.38907973499999404</v>
      </c>
      <c r="F1379" s="2">
        <f t="shared" si="331"/>
        <v>1.9453986749999701</v>
      </c>
    </row>
    <row r="1380" spans="1:6" ht="15" customHeight="1" x14ac:dyDescent="0.45">
      <c r="A1380" s="490">
        <v>478</v>
      </c>
      <c r="B1380" s="108">
        <v>263.9957</v>
      </c>
      <c r="C1380" s="108">
        <v>264.5</v>
      </c>
      <c r="D1380" s="108">
        <f t="shared" si="330"/>
        <v>0.50430000000000064</v>
      </c>
      <c r="E1380" s="110">
        <f t="shared" si="332"/>
        <v>0.38147773500000093</v>
      </c>
      <c r="F1380" s="2">
        <f t="shared" si="331"/>
        <v>1.9073886750000046</v>
      </c>
    </row>
    <row r="1381" spans="1:6" ht="15" customHeight="1" x14ac:dyDescent="0.45">
      <c r="A1381" s="490">
        <v>479</v>
      </c>
      <c r="B1381" s="108">
        <v>263.98919999999998</v>
      </c>
      <c r="C1381" s="108">
        <v>264.5</v>
      </c>
      <c r="D1381" s="108">
        <f t="shared" si="330"/>
        <v>0.51080000000001746</v>
      </c>
      <c r="E1381" s="110">
        <f t="shared" si="332"/>
        <v>0.39137496000002681</v>
      </c>
      <c r="F1381" s="2">
        <f t="shared" si="331"/>
        <v>1.9568748000001341</v>
      </c>
    </row>
    <row r="1382" spans="1:6" ht="15" customHeight="1" x14ac:dyDescent="0.45">
      <c r="A1382" s="490">
        <v>480</v>
      </c>
      <c r="B1382" s="108">
        <v>264.10969999999998</v>
      </c>
      <c r="C1382" s="108">
        <v>264.5</v>
      </c>
      <c r="D1382" s="108">
        <f t="shared" si="330"/>
        <v>0.39030000000002474</v>
      </c>
      <c r="E1382" s="110">
        <f t="shared" si="332"/>
        <v>0.228501135000029</v>
      </c>
      <c r="F1382" s="2">
        <f t="shared" si="331"/>
        <v>1.142505675000145</v>
      </c>
    </row>
    <row r="1383" spans="1:6" ht="15" customHeight="1" x14ac:dyDescent="0.45">
      <c r="A1383" s="490">
        <v>481</v>
      </c>
      <c r="B1383" s="108">
        <v>264.125</v>
      </c>
      <c r="C1383" s="108">
        <v>264.5</v>
      </c>
      <c r="D1383" s="108">
        <f t="shared" si="330"/>
        <v>0.375</v>
      </c>
      <c r="E1383" s="110">
        <f t="shared" si="332"/>
        <v>0.2109375</v>
      </c>
      <c r="F1383" s="2">
        <f t="shared" si="331"/>
        <v>1.0546875</v>
      </c>
    </row>
    <row r="1384" spans="1:6" ht="15" customHeight="1" x14ac:dyDescent="0.45">
      <c r="A1384" s="490">
        <v>482</v>
      </c>
      <c r="B1384" s="108">
        <v>264.23020000000002</v>
      </c>
      <c r="C1384" s="108">
        <v>264.5</v>
      </c>
      <c r="D1384" s="108">
        <f t="shared" si="330"/>
        <v>0.26979999999997517</v>
      </c>
      <c r="E1384" s="110">
        <f t="shared" si="332"/>
        <v>0.10918805999997989</v>
      </c>
      <c r="F1384" s="2">
        <f t="shared" si="331"/>
        <v>0.54594029999989946</v>
      </c>
    </row>
    <row r="1385" spans="1:6" ht="15" customHeight="1" x14ac:dyDescent="0.45">
      <c r="A1385" s="490">
        <v>483</v>
      </c>
      <c r="B1385" s="108">
        <v>264.44650000000001</v>
      </c>
      <c r="C1385" s="108">
        <v>264.5</v>
      </c>
      <c r="D1385" s="108">
        <f t="shared" si="330"/>
        <v>5.3499999999985448E-2</v>
      </c>
      <c r="E1385" s="110">
        <f t="shared" si="332"/>
        <v>4.2933749999976645E-3</v>
      </c>
      <c r="F1385" s="2">
        <f t="shared" si="331"/>
        <v>2.1466874999988322E-2</v>
      </c>
    </row>
    <row r="1386" spans="1:6" ht="15" customHeight="1" x14ac:dyDescent="0.45">
      <c r="A1386" s="490">
        <v>484</v>
      </c>
      <c r="B1386" s="108">
        <v>264.37830000000002</v>
      </c>
      <c r="C1386" s="108">
        <v>264.5</v>
      </c>
      <c r="D1386" s="108">
        <f t="shared" si="330"/>
        <v>0.12169999999997572</v>
      </c>
      <c r="E1386" s="110">
        <f t="shared" si="332"/>
        <v>2.2216334999991136E-2</v>
      </c>
      <c r="F1386" s="2">
        <f t="shared" si="331"/>
        <v>0.11108167499995568</v>
      </c>
    </row>
    <row r="1387" spans="1:6" ht="15" customHeight="1" x14ac:dyDescent="0.45">
      <c r="A1387" s="490">
        <v>485</v>
      </c>
      <c r="B1387" s="108">
        <v>264.13290000000001</v>
      </c>
      <c r="C1387" s="108">
        <v>264.5</v>
      </c>
      <c r="D1387" s="108">
        <f t="shared" si="330"/>
        <v>0.36709999999999354</v>
      </c>
      <c r="E1387" s="110">
        <f t="shared" si="332"/>
        <v>0.20214361499999289</v>
      </c>
      <c r="F1387" s="2">
        <f t="shared" si="331"/>
        <v>1.0107180749999645</v>
      </c>
    </row>
    <row r="1388" spans="1:6" ht="15" customHeight="1" x14ac:dyDescent="0.45">
      <c r="A1388" s="490">
        <v>486</v>
      </c>
      <c r="B1388" s="108">
        <v>264.08539999999999</v>
      </c>
      <c r="C1388" s="108">
        <v>264.5</v>
      </c>
      <c r="D1388" s="108">
        <f t="shared" si="330"/>
        <v>0.41460000000000719</v>
      </c>
      <c r="E1388" s="110">
        <f t="shared" si="332"/>
        <v>0.25783974000000892</v>
      </c>
      <c r="F1388" s="2">
        <f t="shared" si="331"/>
        <v>1.2891987000000447</v>
      </c>
    </row>
    <row r="1389" spans="1:6" ht="15" customHeight="1" x14ac:dyDescent="0.45">
      <c r="A1389" s="490">
        <v>487</v>
      </c>
      <c r="B1389" s="108">
        <v>264.55669999999998</v>
      </c>
      <c r="C1389" s="108">
        <v>264.5</v>
      </c>
      <c r="D1389" s="108">
        <f t="shared" si="330"/>
        <v>-5.669999999997799E-2</v>
      </c>
      <c r="E1389" s="110">
        <f t="shared" si="332"/>
        <v>0.375</v>
      </c>
      <c r="F1389" s="2">
        <f t="shared" si="331"/>
        <v>1.875</v>
      </c>
    </row>
    <row r="1390" spans="1:6" ht="15" customHeight="1" x14ac:dyDescent="0.45">
      <c r="A1390" s="490">
        <v>488</v>
      </c>
      <c r="B1390" s="108">
        <v>265.33600000000001</v>
      </c>
      <c r="C1390" s="108">
        <v>264.5</v>
      </c>
      <c r="D1390" s="108">
        <f t="shared" si="330"/>
        <v>-0.83600000000001273</v>
      </c>
      <c r="E1390" s="110">
        <f t="shared" si="332"/>
        <v>0.375</v>
      </c>
      <c r="F1390" s="2">
        <f t="shared" si="331"/>
        <v>1.875</v>
      </c>
    </row>
    <row r="1391" spans="1:6" ht="15" customHeight="1" x14ac:dyDescent="0.45">
      <c r="A1391" s="79"/>
      <c r="B1391" s="79"/>
      <c r="C1391" s="79"/>
      <c r="D1391" s="191">
        <f>MAX(D903:D1390)</f>
        <v>2.5708000000000197</v>
      </c>
      <c r="E1391" s="79">
        <f t="shared" ref="E1391" si="333">IF(D1391&gt;0,D1391^2,0.5^2)</f>
        <v>6.6090126400001017</v>
      </c>
      <c r="F1391" s="179">
        <f>SUM(F903:F1390)</f>
        <v>2674.1575935749988</v>
      </c>
    </row>
  </sheetData>
  <mergeCells count="40">
    <mergeCell ref="A471:A478"/>
    <mergeCell ref="A497:A498"/>
    <mergeCell ref="A501:A502"/>
    <mergeCell ref="A240:A260"/>
    <mergeCell ref="A443:A451"/>
    <mergeCell ref="A455:A462"/>
    <mergeCell ref="A465:A467"/>
    <mergeCell ref="A486:A493"/>
    <mergeCell ref="A481:A482"/>
    <mergeCell ref="A268:A272"/>
    <mergeCell ref="A411:A412"/>
    <mergeCell ref="A415:A418"/>
    <mergeCell ref="A393:A407"/>
    <mergeCell ref="A158:A172"/>
    <mergeCell ref="A422:A425"/>
    <mergeCell ref="A429:A431"/>
    <mergeCell ref="A434:A439"/>
    <mergeCell ref="A173:A182"/>
    <mergeCell ref="A183:A191"/>
    <mergeCell ref="A192:A204"/>
    <mergeCell ref="A378:A382"/>
    <mergeCell ref="A386:A389"/>
    <mergeCell ref="A205:A220"/>
    <mergeCell ref="A221:A239"/>
    <mergeCell ref="A901:F901"/>
    <mergeCell ref="A3:A12"/>
    <mergeCell ref="A277:A294"/>
    <mergeCell ref="A13:A33"/>
    <mergeCell ref="A298:A299"/>
    <mergeCell ref="A34:A45"/>
    <mergeCell ref="A303:A322"/>
    <mergeCell ref="A46:A66"/>
    <mergeCell ref="A67:A82"/>
    <mergeCell ref="A331:A336"/>
    <mergeCell ref="A341:A357"/>
    <mergeCell ref="A83:A100"/>
    <mergeCell ref="A361:A373"/>
    <mergeCell ref="A101:A115"/>
    <mergeCell ref="A116:A136"/>
    <mergeCell ref="A137:A157"/>
  </mergeCells>
  <conditionalFormatting sqref="AA3:AA260">
    <cfRule type="dataBar" priority="2">
      <dataBar>
        <cfvo type="min"/>
        <cfvo type="max"/>
        <color rgb="FF63C384"/>
      </dataBar>
      <extLst>
        <ext xmlns:x14="http://schemas.microsoft.com/office/spreadsheetml/2009/9/main" uri="{B025F937-C7B1-47D3-B67F-A62EFF666E3E}">
          <x14:id>{374597AA-27B1-4E88-8A8A-B29F465277FA}</x14:id>
        </ext>
      </extLst>
    </cfRule>
  </conditionalFormatting>
  <printOptions horizontalCentered="1"/>
  <pageMargins left="3.937007874015748E-2" right="3.937007874015748E-2" top="0" bottom="0.39370078740157483" header="0.31496062992125984" footer="0.31496062992125984"/>
  <pageSetup paperSize="9" scale="75" orientation="portrait" horizontalDpi="300" verticalDpi="300" r:id="rId1"/>
  <headerFooter>
    <oddFooter>Page &amp;P of &amp;N</oddFooter>
  </headerFooter>
  <rowBreaks count="3" manualBreakCount="3">
    <brk id="66" max="29" man="1"/>
    <brk id="136" max="29" man="1"/>
    <brk id="191" max="29" man="1"/>
  </rowBreaks>
  <extLst>
    <ext xmlns:x14="http://schemas.microsoft.com/office/spreadsheetml/2009/9/main" uri="{78C0D931-6437-407d-A8EE-F0AAD7539E65}">
      <x14:conditionalFormattings>
        <x14:conditionalFormatting xmlns:xm="http://schemas.microsoft.com/office/excel/2006/main">
          <x14:cfRule type="dataBar" id="{374597AA-27B1-4E88-8A8A-B29F465277FA}">
            <x14:dataBar minLength="0" maxLength="100" border="1" negativeBarBorderColorSameAsPositive="0">
              <x14:cfvo type="autoMin"/>
              <x14:cfvo type="autoMax"/>
              <x14:borderColor rgb="FF63C384"/>
              <x14:negativeFillColor rgb="FFFF0000"/>
              <x14:negativeBorderColor rgb="FFFF0000"/>
              <x14:axisColor rgb="FF000000"/>
            </x14:dataBar>
          </x14:cfRule>
          <xm:sqref>AA3:AA260</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A2547-2487-4015-A7E5-98C3BC3D31FD}">
  <sheetPr filterMode="1">
    <tabColor rgb="FFFFD5D5"/>
  </sheetPr>
  <dimension ref="A1:D889"/>
  <sheetViews>
    <sheetView zoomScale="121" workbookViewId="0">
      <selection activeCell="C6" sqref="C6"/>
    </sheetView>
  </sheetViews>
  <sheetFormatPr defaultColWidth="9" defaultRowHeight="14.25" x14ac:dyDescent="0.45"/>
  <cols>
    <col min="1" max="1" width="9" style="1"/>
    <col min="2" max="2" width="10.3984375" style="1" bestFit="1" customWidth="1"/>
    <col min="3" max="16384" width="9" style="1"/>
  </cols>
  <sheetData>
    <row r="1" spans="1:4" s="42" customFormat="1" x14ac:dyDescent="0.45">
      <c r="A1" s="331" t="s">
        <v>987</v>
      </c>
      <c r="B1" s="331" t="s">
        <v>1071</v>
      </c>
      <c r="C1" s="331" t="s">
        <v>1079</v>
      </c>
      <c r="D1" s="331" t="s">
        <v>1080</v>
      </c>
    </row>
    <row r="2" spans="1:4" x14ac:dyDescent="0.45">
      <c r="A2" s="1">
        <v>1</v>
      </c>
      <c r="B2" s="330">
        <v>-539.04249999997944</v>
      </c>
      <c r="C2" s="330">
        <f t="shared" ref="C2:C33" si="0">IF(B2&lt;0,B2,0)</f>
        <v>-539.04249999997944</v>
      </c>
      <c r="D2" s="330">
        <f t="shared" ref="D2:D33" si="1">IF(B2&gt;0,B2,0)</f>
        <v>0</v>
      </c>
    </row>
    <row r="3" spans="1:4" x14ac:dyDescent="0.45">
      <c r="A3" s="1">
        <v>2</v>
      </c>
      <c r="B3" s="330">
        <v>-89.214250000084405</v>
      </c>
      <c r="C3" s="330">
        <f t="shared" si="0"/>
        <v>-89.214250000084405</v>
      </c>
      <c r="D3" s="330">
        <f t="shared" si="1"/>
        <v>0</v>
      </c>
    </row>
    <row r="4" spans="1:4" x14ac:dyDescent="0.45">
      <c r="A4" s="1">
        <v>3</v>
      </c>
      <c r="B4" s="330">
        <v>-164.16055555572484</v>
      </c>
      <c r="C4" s="330">
        <f t="shared" si="0"/>
        <v>-164.16055555572484</v>
      </c>
      <c r="D4" s="330">
        <f t="shared" si="1"/>
        <v>0</v>
      </c>
    </row>
    <row r="5" spans="1:4" x14ac:dyDescent="0.45">
      <c r="A5" s="1">
        <v>4</v>
      </c>
      <c r="B5" s="330">
        <v>-127.0525000001129</v>
      </c>
      <c r="C5" s="330">
        <f t="shared" si="0"/>
        <v>-127.0525000001129</v>
      </c>
      <c r="D5" s="330">
        <f t="shared" si="1"/>
        <v>0</v>
      </c>
    </row>
    <row r="6" spans="1:4" x14ac:dyDescent="0.45">
      <c r="A6" s="1">
        <v>5</v>
      </c>
      <c r="B6" s="330">
        <v>-300.19277777782349</v>
      </c>
      <c r="C6" s="330">
        <f t="shared" si="0"/>
        <v>-300.19277777782349</v>
      </c>
      <c r="D6" s="330">
        <f t="shared" si="1"/>
        <v>0</v>
      </c>
    </row>
    <row r="7" spans="1:4" x14ac:dyDescent="0.45">
      <c r="A7" s="1">
        <v>6</v>
      </c>
      <c r="B7" s="330">
        <v>-189.5933333333474</v>
      </c>
      <c r="C7" s="330">
        <f t="shared" si="0"/>
        <v>-189.5933333333474</v>
      </c>
      <c r="D7" s="330">
        <f t="shared" si="1"/>
        <v>0</v>
      </c>
    </row>
    <row r="8" spans="1:4" x14ac:dyDescent="0.45">
      <c r="A8" s="1">
        <v>7</v>
      </c>
      <c r="B8" s="330">
        <v>-123.9110714286511</v>
      </c>
      <c r="C8" s="330">
        <f t="shared" si="0"/>
        <v>-123.9110714286511</v>
      </c>
      <c r="D8" s="330">
        <f t="shared" si="1"/>
        <v>0</v>
      </c>
    </row>
    <row r="9" spans="1:4" x14ac:dyDescent="0.45">
      <c r="A9" s="1">
        <v>8</v>
      </c>
      <c r="B9" s="330">
        <v>-30.627750000023468</v>
      </c>
      <c r="C9" s="330">
        <f t="shared" si="0"/>
        <v>-30.627750000023468</v>
      </c>
      <c r="D9" s="330">
        <f t="shared" si="1"/>
        <v>0</v>
      </c>
    </row>
    <row r="10" spans="1:4" x14ac:dyDescent="0.45">
      <c r="A10" s="1">
        <v>9</v>
      </c>
      <c r="B10" s="330">
        <v>17.929374999961567</v>
      </c>
      <c r="C10" s="330">
        <f t="shared" si="0"/>
        <v>0</v>
      </c>
      <c r="D10" s="330">
        <f t="shared" si="1"/>
        <v>17.929374999961567</v>
      </c>
    </row>
    <row r="11" spans="1:4" x14ac:dyDescent="0.45">
      <c r="A11" s="1">
        <v>10</v>
      </c>
      <c r="B11" s="330">
        <v>-280.2810714287105</v>
      </c>
      <c r="C11" s="330">
        <f t="shared" si="0"/>
        <v>-280.2810714287105</v>
      </c>
      <c r="D11" s="330">
        <f t="shared" si="1"/>
        <v>0</v>
      </c>
    </row>
    <row r="12" spans="1:4" x14ac:dyDescent="0.45">
      <c r="A12" s="1">
        <v>11</v>
      </c>
      <c r="B12" s="330">
        <v>7.2096428570432636</v>
      </c>
      <c r="C12" s="330">
        <f t="shared" si="0"/>
        <v>0</v>
      </c>
      <c r="D12" s="330">
        <f t="shared" si="1"/>
        <v>7.2096428570432636</v>
      </c>
    </row>
    <row r="13" spans="1:4" x14ac:dyDescent="0.45">
      <c r="A13" s="1">
        <v>12</v>
      </c>
      <c r="B13" s="330">
        <v>-609.24654761921886</v>
      </c>
      <c r="C13" s="330">
        <f t="shared" si="0"/>
        <v>-609.24654761921886</v>
      </c>
      <c r="D13" s="330">
        <f t="shared" si="1"/>
        <v>0</v>
      </c>
    </row>
    <row r="14" spans="1:4" x14ac:dyDescent="0.45">
      <c r="A14" s="1">
        <v>13</v>
      </c>
      <c r="B14" s="330">
        <v>60.147261904347715</v>
      </c>
      <c r="C14" s="330">
        <f t="shared" si="0"/>
        <v>0</v>
      </c>
      <c r="D14" s="330">
        <f t="shared" si="1"/>
        <v>60.147261904347715</v>
      </c>
    </row>
    <row r="15" spans="1:4" x14ac:dyDescent="0.45">
      <c r="A15" s="1">
        <v>14</v>
      </c>
      <c r="B15" s="330">
        <v>-134.20821428609315</v>
      </c>
      <c r="C15" s="330">
        <f t="shared" si="0"/>
        <v>-134.20821428609315</v>
      </c>
      <c r="D15" s="330">
        <f t="shared" si="1"/>
        <v>0</v>
      </c>
    </row>
    <row r="16" spans="1:4" x14ac:dyDescent="0.45">
      <c r="A16" s="1">
        <v>15</v>
      </c>
      <c r="B16" s="330">
        <v>-51.234166666733927</v>
      </c>
      <c r="C16" s="330">
        <f t="shared" si="0"/>
        <v>-51.234166666733927</v>
      </c>
      <c r="D16" s="330">
        <f t="shared" si="1"/>
        <v>0</v>
      </c>
    </row>
    <row r="17" spans="1:4" x14ac:dyDescent="0.45">
      <c r="A17" s="1">
        <v>16</v>
      </c>
      <c r="B17" s="330">
        <v>-216.76818181805828</v>
      </c>
      <c r="C17" s="330">
        <f t="shared" si="0"/>
        <v>-216.76818181805828</v>
      </c>
      <c r="D17" s="330">
        <f t="shared" si="1"/>
        <v>0</v>
      </c>
    </row>
    <row r="18" spans="1:4" x14ac:dyDescent="0.45">
      <c r="A18" s="1">
        <v>17</v>
      </c>
      <c r="B18" s="330">
        <v>52.961022727308205</v>
      </c>
      <c r="C18" s="330">
        <f t="shared" si="0"/>
        <v>0</v>
      </c>
      <c r="D18" s="330">
        <f t="shared" si="1"/>
        <v>52.961022727308205</v>
      </c>
    </row>
    <row r="19" spans="1:4" x14ac:dyDescent="0.45">
      <c r="A19" s="1">
        <v>18</v>
      </c>
      <c r="B19" s="330">
        <v>-191.95909090908003</v>
      </c>
      <c r="C19" s="330">
        <f t="shared" si="0"/>
        <v>-191.95909090908003</v>
      </c>
      <c r="D19" s="330">
        <f t="shared" si="1"/>
        <v>0</v>
      </c>
    </row>
    <row r="20" spans="1:4" x14ac:dyDescent="0.45">
      <c r="A20" s="1">
        <v>19</v>
      </c>
      <c r="B20" s="330">
        <v>53.296022727344905</v>
      </c>
      <c r="C20" s="330">
        <f t="shared" si="0"/>
        <v>0</v>
      </c>
      <c r="D20" s="330">
        <f t="shared" si="1"/>
        <v>53.296022727344905</v>
      </c>
    </row>
    <row r="21" spans="1:4" x14ac:dyDescent="0.45">
      <c r="A21" s="1">
        <v>20</v>
      </c>
      <c r="B21" s="330">
        <v>-95.228409090907462</v>
      </c>
      <c r="C21" s="330">
        <f t="shared" si="0"/>
        <v>-95.228409090907462</v>
      </c>
      <c r="D21" s="330">
        <f t="shared" si="1"/>
        <v>0</v>
      </c>
    </row>
    <row r="22" spans="1:4" x14ac:dyDescent="0.45">
      <c r="A22" s="1">
        <v>21</v>
      </c>
      <c r="B22" s="330">
        <v>-118.20166666676073</v>
      </c>
      <c r="C22" s="330">
        <f t="shared" si="0"/>
        <v>-118.20166666676073</v>
      </c>
      <c r="D22" s="330">
        <f t="shared" si="1"/>
        <v>0</v>
      </c>
    </row>
    <row r="23" spans="1:4" x14ac:dyDescent="0.45">
      <c r="A23" s="1">
        <v>22</v>
      </c>
      <c r="B23" s="330">
        <v>44.227023809591515</v>
      </c>
      <c r="C23" s="330">
        <f t="shared" si="0"/>
        <v>0</v>
      </c>
      <c r="D23" s="330">
        <f t="shared" si="1"/>
        <v>44.227023809591515</v>
      </c>
    </row>
    <row r="24" spans="1:4" x14ac:dyDescent="0.45">
      <c r="A24" s="1">
        <v>23</v>
      </c>
      <c r="B24" s="330">
        <v>149.13297619059875</v>
      </c>
      <c r="C24" s="330">
        <f t="shared" si="0"/>
        <v>0</v>
      </c>
      <c r="D24" s="330">
        <f t="shared" si="1"/>
        <v>149.13297619059875</v>
      </c>
    </row>
    <row r="25" spans="1:4" x14ac:dyDescent="0.45">
      <c r="A25" s="1">
        <v>24</v>
      </c>
      <c r="B25" s="330">
        <v>-82.067500000232485</v>
      </c>
      <c r="C25" s="330">
        <f t="shared" si="0"/>
        <v>-82.067500000232485</v>
      </c>
      <c r="D25" s="330">
        <f t="shared" si="1"/>
        <v>0</v>
      </c>
    </row>
    <row r="26" spans="1:4" x14ac:dyDescent="0.45">
      <c r="A26" s="1">
        <v>25</v>
      </c>
      <c r="B26" s="330">
        <v>-332.3636904757123</v>
      </c>
      <c r="C26" s="330">
        <f t="shared" si="0"/>
        <v>-332.3636904757123</v>
      </c>
      <c r="D26" s="330">
        <f t="shared" si="1"/>
        <v>0</v>
      </c>
    </row>
    <row r="27" spans="1:4" x14ac:dyDescent="0.45">
      <c r="A27" s="1">
        <v>26</v>
      </c>
      <c r="B27" s="330">
        <v>198.49249999984266</v>
      </c>
      <c r="C27" s="330">
        <f t="shared" si="0"/>
        <v>0</v>
      </c>
      <c r="D27" s="330">
        <f t="shared" si="1"/>
        <v>198.49249999984266</v>
      </c>
    </row>
    <row r="28" spans="1:4" x14ac:dyDescent="0.45">
      <c r="A28" s="1">
        <v>27</v>
      </c>
      <c r="B28" s="330">
        <v>-1.453333333414264</v>
      </c>
      <c r="C28" s="330">
        <f t="shared" si="0"/>
        <v>-1.453333333414264</v>
      </c>
      <c r="D28" s="330">
        <f t="shared" si="1"/>
        <v>0</v>
      </c>
    </row>
    <row r="29" spans="1:4" x14ac:dyDescent="0.45">
      <c r="A29" s="1">
        <v>28</v>
      </c>
      <c r="B29" s="330">
        <v>-43.709642857206177</v>
      </c>
      <c r="C29" s="330">
        <f t="shared" si="0"/>
        <v>-43.709642857206177</v>
      </c>
      <c r="D29" s="330">
        <f t="shared" si="1"/>
        <v>0</v>
      </c>
    </row>
    <row r="30" spans="1:4" x14ac:dyDescent="0.45">
      <c r="A30" s="1">
        <v>29</v>
      </c>
      <c r="B30" s="330">
        <v>-372.51428571445899</v>
      </c>
      <c r="C30" s="330">
        <f t="shared" si="0"/>
        <v>-372.51428571445899</v>
      </c>
      <c r="D30" s="330">
        <f t="shared" si="1"/>
        <v>0</v>
      </c>
    </row>
    <row r="31" spans="1:4" x14ac:dyDescent="0.45">
      <c r="A31" s="1">
        <v>30</v>
      </c>
      <c r="B31" s="330">
        <v>-172.56500000003001</v>
      </c>
      <c r="C31" s="330">
        <f t="shared" si="0"/>
        <v>-172.56500000003001</v>
      </c>
      <c r="D31" s="330">
        <f t="shared" si="1"/>
        <v>0</v>
      </c>
    </row>
    <row r="32" spans="1:4" x14ac:dyDescent="0.45">
      <c r="A32" s="1">
        <v>31</v>
      </c>
      <c r="B32" s="330">
        <v>-314.04750000011461</v>
      </c>
      <c r="C32" s="330">
        <f t="shared" si="0"/>
        <v>-314.04750000011461</v>
      </c>
      <c r="D32" s="330">
        <f t="shared" si="1"/>
        <v>0</v>
      </c>
    </row>
    <row r="33" spans="1:4" x14ac:dyDescent="0.45">
      <c r="A33" s="1">
        <v>32</v>
      </c>
      <c r="B33" s="330">
        <v>-54.870000000013874</v>
      </c>
      <c r="C33" s="330">
        <f t="shared" si="0"/>
        <v>-54.870000000013874</v>
      </c>
      <c r="D33" s="330">
        <f t="shared" si="1"/>
        <v>0</v>
      </c>
    </row>
    <row r="34" spans="1:4" x14ac:dyDescent="0.45">
      <c r="A34" s="1">
        <v>33</v>
      </c>
      <c r="B34" s="330">
        <v>-149.15000000001442</v>
      </c>
      <c r="C34" s="330">
        <f t="shared" ref="C34:C65" si="2">IF(B34&lt;0,B34,0)</f>
        <v>-149.15000000001442</v>
      </c>
      <c r="D34" s="330">
        <f t="shared" ref="D34:D65" si="3">IF(B34&gt;0,B34,0)</f>
        <v>0</v>
      </c>
    </row>
    <row r="35" spans="1:4" x14ac:dyDescent="0.45">
      <c r="A35" s="1">
        <v>34</v>
      </c>
      <c r="B35" s="330">
        <v>-168.31750000003467</v>
      </c>
      <c r="C35" s="330">
        <f t="shared" si="2"/>
        <v>-168.31750000003467</v>
      </c>
      <c r="D35" s="330">
        <f t="shared" si="3"/>
        <v>0</v>
      </c>
    </row>
    <row r="36" spans="1:4" x14ac:dyDescent="0.45">
      <c r="A36" s="1">
        <v>35</v>
      </c>
      <c r="B36" s="330">
        <v>125.69107142853966</v>
      </c>
      <c r="C36" s="330">
        <f t="shared" si="2"/>
        <v>0</v>
      </c>
      <c r="D36" s="330">
        <f t="shared" si="3"/>
        <v>125.69107142853966</v>
      </c>
    </row>
    <row r="37" spans="1:4" x14ac:dyDescent="0.45">
      <c r="A37" s="1">
        <v>36</v>
      </c>
      <c r="B37" s="330">
        <v>-220.410000000075</v>
      </c>
      <c r="C37" s="330">
        <f t="shared" si="2"/>
        <v>-220.410000000075</v>
      </c>
      <c r="D37" s="330">
        <f t="shared" si="3"/>
        <v>0</v>
      </c>
    </row>
    <row r="38" spans="1:4" x14ac:dyDescent="0.45">
      <c r="A38" s="1">
        <v>37</v>
      </c>
      <c r="B38" s="330">
        <v>-161.92666666674427</v>
      </c>
      <c r="C38" s="330">
        <f t="shared" si="2"/>
        <v>-161.92666666674427</v>
      </c>
      <c r="D38" s="330">
        <f t="shared" si="3"/>
        <v>0</v>
      </c>
    </row>
    <row r="39" spans="1:4" x14ac:dyDescent="0.45">
      <c r="A39" s="1">
        <v>38</v>
      </c>
      <c r="B39" s="330">
        <v>-104.32166666671776</v>
      </c>
      <c r="C39" s="330">
        <f t="shared" si="2"/>
        <v>-104.32166666671776</v>
      </c>
      <c r="D39" s="330">
        <f t="shared" si="3"/>
        <v>0</v>
      </c>
    </row>
    <row r="40" spans="1:4" x14ac:dyDescent="0.45">
      <c r="A40" s="1">
        <v>39</v>
      </c>
      <c r="B40" s="330">
        <v>-47.296666666767351</v>
      </c>
      <c r="C40" s="330">
        <f t="shared" si="2"/>
        <v>-47.296666666767351</v>
      </c>
      <c r="D40" s="330">
        <f t="shared" si="3"/>
        <v>0</v>
      </c>
    </row>
    <row r="41" spans="1:4" x14ac:dyDescent="0.45">
      <c r="A41" s="1">
        <v>40</v>
      </c>
      <c r="B41" s="330">
        <v>115.64083333325925</v>
      </c>
      <c r="C41" s="330">
        <f t="shared" si="2"/>
        <v>0</v>
      </c>
      <c r="D41" s="330">
        <f t="shared" si="3"/>
        <v>115.64083333325925</v>
      </c>
    </row>
    <row r="42" spans="1:4" x14ac:dyDescent="0.45">
      <c r="A42" s="1">
        <v>41</v>
      </c>
      <c r="B42" s="330">
        <v>-32.547500000106311</v>
      </c>
      <c r="C42" s="330">
        <f t="shared" si="2"/>
        <v>-32.547500000106311</v>
      </c>
      <c r="D42" s="330">
        <f t="shared" si="3"/>
        <v>0</v>
      </c>
    </row>
    <row r="43" spans="1:4" x14ac:dyDescent="0.45">
      <c r="A43" s="1">
        <v>42</v>
      </c>
      <c r="B43" s="330">
        <v>93.477499999929137</v>
      </c>
      <c r="C43" s="330">
        <f t="shared" si="2"/>
        <v>0</v>
      </c>
      <c r="D43" s="330">
        <f t="shared" si="3"/>
        <v>93.477499999929137</v>
      </c>
    </row>
    <row r="44" spans="1:4" x14ac:dyDescent="0.45">
      <c r="A44" s="1">
        <v>43</v>
      </c>
      <c r="B44" s="330">
        <v>-38.273125000003461</v>
      </c>
      <c r="C44" s="330">
        <f t="shared" si="2"/>
        <v>-38.273125000003461</v>
      </c>
      <c r="D44" s="330">
        <f t="shared" si="3"/>
        <v>0</v>
      </c>
    </row>
    <row r="45" spans="1:4" x14ac:dyDescent="0.45">
      <c r="A45" s="1">
        <v>44</v>
      </c>
      <c r="B45" s="330">
        <v>102.42815789467841</v>
      </c>
      <c r="C45" s="330">
        <f t="shared" si="2"/>
        <v>0</v>
      </c>
      <c r="D45" s="330">
        <f t="shared" si="3"/>
        <v>102.42815789467841</v>
      </c>
    </row>
    <row r="46" spans="1:4" x14ac:dyDescent="0.45">
      <c r="A46" s="1">
        <v>45</v>
      </c>
      <c r="B46" s="330">
        <v>-199.92934210540625</v>
      </c>
      <c r="C46" s="330">
        <f t="shared" si="2"/>
        <v>-199.92934210540625</v>
      </c>
      <c r="D46" s="330">
        <f t="shared" si="3"/>
        <v>0</v>
      </c>
    </row>
    <row r="47" spans="1:4" x14ac:dyDescent="0.45">
      <c r="A47" s="1">
        <v>46</v>
      </c>
      <c r="B47" s="330">
        <v>386.91203125010816</v>
      </c>
      <c r="C47" s="330">
        <f t="shared" si="2"/>
        <v>0</v>
      </c>
      <c r="D47" s="330">
        <f t="shared" si="3"/>
        <v>386.91203125010816</v>
      </c>
    </row>
    <row r="48" spans="1:4" x14ac:dyDescent="0.45">
      <c r="A48" s="1">
        <v>47</v>
      </c>
      <c r="B48" s="330">
        <v>217.15484374999363</v>
      </c>
      <c r="C48" s="330">
        <f t="shared" si="2"/>
        <v>0</v>
      </c>
      <c r="D48" s="330">
        <f t="shared" si="3"/>
        <v>217.15484374999363</v>
      </c>
    </row>
    <row r="49" spans="1:4" x14ac:dyDescent="0.45">
      <c r="A49" s="1">
        <v>48</v>
      </c>
      <c r="B49" s="330">
        <v>605.81125000007455</v>
      </c>
      <c r="C49" s="330">
        <f t="shared" si="2"/>
        <v>0</v>
      </c>
      <c r="D49" s="330">
        <f t="shared" si="3"/>
        <v>605.81125000007455</v>
      </c>
    </row>
    <row r="50" spans="1:4" x14ac:dyDescent="0.45">
      <c r="A50" s="1">
        <v>49</v>
      </c>
      <c r="B50" s="330">
        <v>270.20434210520676</v>
      </c>
      <c r="C50" s="330">
        <f t="shared" si="2"/>
        <v>0</v>
      </c>
      <c r="D50" s="330">
        <f t="shared" si="3"/>
        <v>270.20434210520676</v>
      </c>
    </row>
    <row r="51" spans="1:4" x14ac:dyDescent="0.45">
      <c r="A51" s="1">
        <v>50</v>
      </c>
      <c r="B51" s="330">
        <v>165.53315789464165</v>
      </c>
      <c r="C51" s="330">
        <f t="shared" si="2"/>
        <v>0</v>
      </c>
      <c r="D51" s="330">
        <f t="shared" si="3"/>
        <v>165.53315789464165</v>
      </c>
    </row>
    <row r="52" spans="1:4" x14ac:dyDescent="0.45">
      <c r="A52" s="1">
        <v>51</v>
      </c>
      <c r="B52" s="330">
        <v>-283.31250000014592</v>
      </c>
      <c r="C52" s="330">
        <f t="shared" si="2"/>
        <v>-283.31250000014592</v>
      </c>
      <c r="D52" s="330">
        <f t="shared" si="3"/>
        <v>0</v>
      </c>
    </row>
    <row r="53" spans="1:4" x14ac:dyDescent="0.45">
      <c r="A53" s="1">
        <v>52</v>
      </c>
      <c r="B53" s="330">
        <v>-255.45750000007672</v>
      </c>
      <c r="C53" s="330">
        <f t="shared" si="2"/>
        <v>-255.45750000007672</v>
      </c>
      <c r="D53" s="330">
        <f t="shared" si="3"/>
        <v>0</v>
      </c>
    </row>
    <row r="54" spans="1:4" x14ac:dyDescent="0.45">
      <c r="A54" s="1">
        <v>53</v>
      </c>
      <c r="B54" s="330">
        <v>-154.68000000005588</v>
      </c>
      <c r="C54" s="330">
        <f t="shared" si="2"/>
        <v>-154.68000000005588</v>
      </c>
      <c r="D54" s="330">
        <f t="shared" si="3"/>
        <v>0</v>
      </c>
    </row>
    <row r="55" spans="1:4" x14ac:dyDescent="0.45">
      <c r="A55" s="1">
        <v>54</v>
      </c>
      <c r="B55" s="330">
        <v>-240.2525000000324</v>
      </c>
      <c r="C55" s="330">
        <f t="shared" si="2"/>
        <v>-240.2525000000324</v>
      </c>
      <c r="D55" s="330">
        <f t="shared" si="3"/>
        <v>0</v>
      </c>
    </row>
    <row r="56" spans="1:4" x14ac:dyDescent="0.45">
      <c r="A56" s="1">
        <v>55</v>
      </c>
      <c r="B56" s="330">
        <v>-360.97250000004522</v>
      </c>
      <c r="C56" s="330">
        <f t="shared" si="2"/>
        <v>-360.97250000004522</v>
      </c>
      <c r="D56" s="330">
        <f t="shared" si="3"/>
        <v>0</v>
      </c>
    </row>
    <row r="57" spans="1:4" x14ac:dyDescent="0.45">
      <c r="A57" s="1">
        <v>56</v>
      </c>
      <c r="B57" s="330">
        <v>-887.71305555561503</v>
      </c>
      <c r="C57" s="330">
        <f t="shared" si="2"/>
        <v>-887.71305555561503</v>
      </c>
      <c r="D57" s="330">
        <f t="shared" si="3"/>
        <v>0</v>
      </c>
    </row>
    <row r="58" spans="1:4" x14ac:dyDescent="0.45">
      <c r="A58" s="1">
        <v>57</v>
      </c>
      <c r="B58" s="330">
        <v>-1461.0275000001111</v>
      </c>
      <c r="C58" s="330">
        <f t="shared" si="2"/>
        <v>-1461.0275000001111</v>
      </c>
      <c r="D58" s="330">
        <f t="shared" si="3"/>
        <v>0</v>
      </c>
    </row>
    <row r="59" spans="1:4" x14ac:dyDescent="0.45">
      <c r="A59" s="1">
        <v>58</v>
      </c>
      <c r="B59" s="330">
        <v>-239.81250000004621</v>
      </c>
      <c r="C59" s="330">
        <f t="shared" si="2"/>
        <v>-239.81250000004621</v>
      </c>
      <c r="D59" s="330">
        <f t="shared" si="3"/>
        <v>0</v>
      </c>
    </row>
    <row r="60" spans="1:4" x14ac:dyDescent="0.45">
      <c r="A60" s="1">
        <v>59</v>
      </c>
      <c r="B60" s="330">
        <v>-2331.0925000002471</v>
      </c>
      <c r="C60" s="330">
        <f t="shared" si="2"/>
        <v>-2331.0925000002471</v>
      </c>
      <c r="D60" s="330">
        <f t="shared" si="3"/>
        <v>0</v>
      </c>
    </row>
    <row r="61" spans="1:4" x14ac:dyDescent="0.45">
      <c r="A61" s="1">
        <v>60</v>
      </c>
      <c r="B61" s="330">
        <v>-309.9075000000397</v>
      </c>
      <c r="C61" s="330">
        <f t="shared" si="2"/>
        <v>-309.9075000000397</v>
      </c>
      <c r="D61" s="330">
        <f t="shared" si="3"/>
        <v>0</v>
      </c>
    </row>
    <row r="62" spans="1:4" x14ac:dyDescent="0.45">
      <c r="A62" s="1">
        <v>61</v>
      </c>
      <c r="B62" s="330">
        <v>-769.5680000000948</v>
      </c>
      <c r="C62" s="330">
        <f t="shared" si="2"/>
        <v>-769.5680000000948</v>
      </c>
      <c r="D62" s="330">
        <f t="shared" si="3"/>
        <v>0</v>
      </c>
    </row>
    <row r="63" spans="1:4" x14ac:dyDescent="0.45">
      <c r="A63" s="1" t="s">
        <v>1000</v>
      </c>
      <c r="B63" s="330">
        <v>-552.07000000035146</v>
      </c>
      <c r="C63" s="330">
        <f t="shared" si="2"/>
        <v>-552.07000000035146</v>
      </c>
      <c r="D63" s="330">
        <f t="shared" si="3"/>
        <v>0</v>
      </c>
    </row>
    <row r="64" spans="1:4" hidden="1" x14ac:dyDescent="0.45">
      <c r="A64" s="1" t="s">
        <v>12</v>
      </c>
      <c r="B64" s="330">
        <v>-1024.9562647060775</v>
      </c>
      <c r="C64" s="330">
        <f t="shared" si="2"/>
        <v>-1024.9562647060775</v>
      </c>
      <c r="D64" s="330">
        <f t="shared" si="3"/>
        <v>0</v>
      </c>
    </row>
    <row r="65" spans="1:4" hidden="1" x14ac:dyDescent="0.45">
      <c r="A65" s="1" t="s">
        <v>14</v>
      </c>
      <c r="B65" s="330">
        <v>2238.7581228065737</v>
      </c>
      <c r="C65" s="330">
        <f t="shared" si="2"/>
        <v>0</v>
      </c>
      <c r="D65" s="330">
        <f t="shared" si="3"/>
        <v>2238.7581228065737</v>
      </c>
    </row>
    <row r="66" spans="1:4" hidden="1" x14ac:dyDescent="0.45">
      <c r="A66" s="1" t="s">
        <v>16</v>
      </c>
      <c r="B66" s="330">
        <v>1782.5023125001626</v>
      </c>
      <c r="C66" s="330">
        <f t="shared" ref="C66:C79" si="4">IF(B66&lt;0,B66,0)</f>
        <v>0</v>
      </c>
      <c r="D66" s="330">
        <f t="shared" ref="D66:D79" si="5">IF(B66&gt;0,B66,0)</f>
        <v>1782.5023125001626</v>
      </c>
    </row>
    <row r="67" spans="1:4" hidden="1" x14ac:dyDescent="0.45">
      <c r="A67" s="1" t="s">
        <v>18</v>
      </c>
      <c r="B67" s="330">
        <v>767.49027777768674</v>
      </c>
      <c r="C67" s="330">
        <f t="shared" si="4"/>
        <v>0</v>
      </c>
      <c r="D67" s="330">
        <f t="shared" si="5"/>
        <v>767.49027777768674</v>
      </c>
    </row>
    <row r="68" spans="1:4" hidden="1" x14ac:dyDescent="0.45">
      <c r="A68" s="1" t="s">
        <v>20</v>
      </c>
      <c r="B68" s="330">
        <v>13.542611110642042</v>
      </c>
      <c r="C68" s="330">
        <f t="shared" si="4"/>
        <v>0</v>
      </c>
      <c r="D68" s="330">
        <f t="shared" si="5"/>
        <v>13.542611110642042</v>
      </c>
    </row>
    <row r="69" spans="1:4" hidden="1" x14ac:dyDescent="0.45">
      <c r="A69" s="1" t="s">
        <v>22</v>
      </c>
      <c r="B69" s="330">
        <v>-552.158291666899</v>
      </c>
      <c r="C69" s="330">
        <f t="shared" si="4"/>
        <v>-552.158291666899</v>
      </c>
      <c r="D69" s="330">
        <f t="shared" si="5"/>
        <v>0</v>
      </c>
    </row>
    <row r="70" spans="1:4" hidden="1" x14ac:dyDescent="0.45">
      <c r="A70" s="1" t="s">
        <v>24</v>
      </c>
      <c r="B70" s="330">
        <v>-1576.9651500005998</v>
      </c>
      <c r="C70" s="330">
        <f t="shared" si="4"/>
        <v>-1576.9651500005998</v>
      </c>
      <c r="D70" s="330">
        <f t="shared" si="5"/>
        <v>0</v>
      </c>
    </row>
    <row r="71" spans="1:4" hidden="1" x14ac:dyDescent="0.45">
      <c r="A71" s="1" t="s">
        <v>27</v>
      </c>
      <c r="B71" s="330">
        <v>2344.720142856228</v>
      </c>
      <c r="C71" s="330">
        <f t="shared" si="4"/>
        <v>0</v>
      </c>
      <c r="D71" s="330">
        <f t="shared" si="5"/>
        <v>2344.720142856228</v>
      </c>
    </row>
    <row r="72" spans="1:4" hidden="1" x14ac:dyDescent="0.45">
      <c r="A72" s="1" t="s">
        <v>29</v>
      </c>
      <c r="B72" s="330">
        <v>2639.8255714281181</v>
      </c>
      <c r="C72" s="330">
        <f t="shared" si="4"/>
        <v>0</v>
      </c>
      <c r="D72" s="330">
        <f t="shared" si="5"/>
        <v>2639.8255714281181</v>
      </c>
    </row>
    <row r="73" spans="1:4" hidden="1" x14ac:dyDescent="0.45">
      <c r="A73" s="1" t="s">
        <v>31</v>
      </c>
      <c r="B73" s="330">
        <v>1264.2535714278233</v>
      </c>
      <c r="C73" s="330">
        <f t="shared" si="4"/>
        <v>0</v>
      </c>
      <c r="D73" s="330">
        <f t="shared" si="5"/>
        <v>1264.2535714278233</v>
      </c>
    </row>
    <row r="74" spans="1:4" hidden="1" x14ac:dyDescent="0.45">
      <c r="A74" s="1" t="s">
        <v>33</v>
      </c>
      <c r="B74" s="330">
        <v>1319.1917946435876</v>
      </c>
      <c r="C74" s="330">
        <f t="shared" si="4"/>
        <v>0</v>
      </c>
      <c r="D74" s="330">
        <f t="shared" si="5"/>
        <v>1319.1917946435876</v>
      </c>
    </row>
    <row r="75" spans="1:4" hidden="1" x14ac:dyDescent="0.45">
      <c r="A75" s="1" t="s">
        <v>35</v>
      </c>
      <c r="B75" s="330">
        <v>962.17063636383159</v>
      </c>
      <c r="C75" s="330">
        <f t="shared" si="4"/>
        <v>0</v>
      </c>
      <c r="D75" s="330">
        <f t="shared" si="5"/>
        <v>962.17063636383159</v>
      </c>
    </row>
    <row r="76" spans="1:4" hidden="1" x14ac:dyDescent="0.45">
      <c r="A76" s="1" t="s">
        <v>37</v>
      </c>
      <c r="B76" s="330">
        <v>558.90171428472854</v>
      </c>
      <c r="C76" s="330">
        <f t="shared" si="4"/>
        <v>0</v>
      </c>
      <c r="D76" s="330">
        <f t="shared" si="5"/>
        <v>558.90171428472854</v>
      </c>
    </row>
    <row r="77" spans="1:4" hidden="1" x14ac:dyDescent="0.45">
      <c r="A77" s="1" t="s">
        <v>39</v>
      </c>
      <c r="B77" s="330">
        <v>490.69771428458068</v>
      </c>
      <c r="C77" s="330">
        <f t="shared" si="4"/>
        <v>0</v>
      </c>
      <c r="D77" s="330">
        <f t="shared" si="5"/>
        <v>490.69771428458068</v>
      </c>
    </row>
    <row r="78" spans="1:4" hidden="1" x14ac:dyDescent="0.45">
      <c r="A78" s="1" t="s">
        <v>42</v>
      </c>
      <c r="B78" s="330">
        <v>1560.6758124995033</v>
      </c>
      <c r="C78" s="330">
        <f t="shared" si="4"/>
        <v>0</v>
      </c>
      <c r="D78" s="330">
        <f t="shared" si="5"/>
        <v>1560.6758124995033</v>
      </c>
    </row>
    <row r="79" spans="1:4" hidden="1" x14ac:dyDescent="0.45">
      <c r="A79" s="1" t="s">
        <v>295</v>
      </c>
      <c r="B79" s="330">
        <v>520.18772222160067</v>
      </c>
      <c r="C79" s="330">
        <f t="shared" si="4"/>
        <v>0</v>
      </c>
      <c r="D79" s="330">
        <f t="shared" si="5"/>
        <v>520.18772222160067</v>
      </c>
    </row>
    <row r="80" spans="1:4" x14ac:dyDescent="0.45">
      <c r="C80" s="42">
        <f>SUBTOTAL(9,C2:C79)</f>
        <v>-13602.551561625221</v>
      </c>
      <c r="D80" s="42">
        <f>SUBTOTAL(9,D2:D79)</f>
        <v>2666.2490128724694</v>
      </c>
    </row>
    <row r="889" spans="3:4" ht="14.25" customHeight="1" x14ac:dyDescent="0.45">
      <c r="C889" s="1">
        <f>SUM(C2:C888)</f>
        <v>-30359.18282962402</v>
      </c>
      <c r="D889" s="1">
        <f>SUM(D2:D888)</f>
        <v>21795.41602995</v>
      </c>
    </row>
  </sheetData>
  <autoFilter ref="A1:D80" xr:uid="{422A2547-2487-4015-A7E5-98C3BC3D31FD}">
    <filterColumn colId="0">
      <filters blank="1">
        <filter val="1"/>
        <filter val="10"/>
        <filter val="11"/>
        <filter val="12"/>
        <filter val="13"/>
        <filter val="14"/>
        <filter val="15"/>
        <filter val="16"/>
        <filter val="17"/>
        <filter val="18"/>
        <filter val="19"/>
        <filter val="2"/>
        <filter val="20"/>
        <filter val="21"/>
        <filter val="22"/>
        <filter val="23"/>
        <filter val="24"/>
        <filter val="25"/>
        <filter val="26"/>
        <filter val="27"/>
        <filter val="28"/>
        <filter val="29"/>
        <filter val="3"/>
        <filter val="30"/>
        <filter val="31"/>
        <filter val="32"/>
        <filter val="33"/>
        <filter val="34"/>
        <filter val="35"/>
        <filter val="36"/>
        <filter val="37"/>
        <filter val="38"/>
        <filter val="39"/>
        <filter val="4"/>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7"/>
        <filter val="8"/>
        <filter val="8A"/>
        <filter val="9"/>
      </filters>
    </filterColumn>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A5A6B-3BF8-4AB5-95CC-82575351DE7C}">
  <sheetPr>
    <tabColor rgb="FFFFD5D5"/>
  </sheetPr>
  <dimension ref="A1:EY92"/>
  <sheetViews>
    <sheetView topLeftCell="AV63" zoomScale="72" zoomScaleNormal="22" zoomScaleSheetLayoutView="11" zoomScalePageLayoutView="58" workbookViewId="0">
      <selection activeCell="BS72" sqref="BS72"/>
    </sheetView>
  </sheetViews>
  <sheetFormatPr defaultColWidth="8" defaultRowHeight="45" customHeight="1" x14ac:dyDescent="0.45"/>
  <cols>
    <col min="1" max="24" width="8" style="79"/>
    <col min="25" max="25" width="7.59765625" style="79" bestFit="1" customWidth="1"/>
    <col min="26" max="131" width="8" style="79"/>
    <col min="132" max="132" width="7.265625" style="79" bestFit="1" customWidth="1"/>
    <col min="133" max="16384" width="8" style="79"/>
  </cols>
  <sheetData>
    <row r="1" spans="1:155" ht="45" customHeight="1" x14ac:dyDescent="0.45">
      <c r="A1" s="277">
        <v>0</v>
      </c>
      <c r="B1" s="277">
        <v>5</v>
      </c>
      <c r="C1" s="277">
        <v>10</v>
      </c>
      <c r="D1" s="277">
        <v>15</v>
      </c>
      <c r="E1" s="277">
        <v>20</v>
      </c>
      <c r="F1" s="277">
        <v>25</v>
      </c>
      <c r="G1" s="277">
        <v>30</v>
      </c>
      <c r="H1" s="277">
        <v>35</v>
      </c>
      <c r="I1" s="277">
        <v>40</v>
      </c>
      <c r="J1" s="277">
        <v>45</v>
      </c>
      <c r="K1" s="277">
        <v>50</v>
      </c>
      <c r="L1" s="277">
        <v>55</v>
      </c>
      <c r="M1" s="277">
        <v>60</v>
      </c>
      <c r="N1" s="277">
        <v>65</v>
      </c>
      <c r="O1" s="277">
        <v>70</v>
      </c>
      <c r="P1" s="277">
        <v>75</v>
      </c>
      <c r="Q1" s="277">
        <v>80</v>
      </c>
      <c r="R1" s="277">
        <v>85</v>
      </c>
      <c r="S1" s="277">
        <v>90</v>
      </c>
      <c r="T1" s="277">
        <v>95</v>
      </c>
      <c r="U1" s="277">
        <v>100</v>
      </c>
      <c r="V1" s="277">
        <v>105</v>
      </c>
      <c r="W1" s="277">
        <v>110</v>
      </c>
      <c r="X1" s="277">
        <v>115</v>
      </c>
      <c r="Y1" s="277">
        <v>120</v>
      </c>
      <c r="Z1" s="277">
        <v>125</v>
      </c>
      <c r="AA1" s="277">
        <v>130</v>
      </c>
      <c r="AB1" s="277">
        <v>135</v>
      </c>
      <c r="AC1" s="277">
        <v>140</v>
      </c>
      <c r="AD1" s="277">
        <v>145</v>
      </c>
      <c r="AE1" s="277">
        <v>150</v>
      </c>
      <c r="AF1" s="277">
        <v>155</v>
      </c>
      <c r="AG1" s="277">
        <v>160</v>
      </c>
      <c r="AH1" s="277">
        <v>165</v>
      </c>
      <c r="AI1" s="277">
        <v>170</v>
      </c>
      <c r="AJ1" s="277">
        <v>175</v>
      </c>
      <c r="AK1" s="277">
        <v>180</v>
      </c>
      <c r="AL1" s="277">
        <v>185</v>
      </c>
      <c r="AM1" s="277">
        <v>190</v>
      </c>
      <c r="AN1" s="277">
        <v>195</v>
      </c>
      <c r="AO1" s="277">
        <v>200</v>
      </c>
      <c r="AP1" s="277">
        <v>205</v>
      </c>
      <c r="AQ1" s="277">
        <v>210</v>
      </c>
      <c r="AR1" s="277">
        <v>215</v>
      </c>
      <c r="AS1" s="277">
        <v>220</v>
      </c>
      <c r="AT1" s="277">
        <v>225</v>
      </c>
      <c r="AU1" s="277">
        <v>230</v>
      </c>
      <c r="AV1" s="277">
        <v>235</v>
      </c>
      <c r="AW1" s="277">
        <v>240</v>
      </c>
      <c r="AX1" s="277">
        <v>245</v>
      </c>
      <c r="AY1" s="277">
        <v>250</v>
      </c>
      <c r="AZ1" s="277">
        <v>255</v>
      </c>
      <c r="BA1" s="277">
        <v>260</v>
      </c>
      <c r="BB1" s="277">
        <v>265</v>
      </c>
      <c r="BC1" s="277">
        <v>270</v>
      </c>
      <c r="BD1" s="277">
        <v>275</v>
      </c>
      <c r="BE1" s="277">
        <v>280</v>
      </c>
      <c r="BF1" s="277">
        <v>285</v>
      </c>
      <c r="BG1" s="277">
        <v>290</v>
      </c>
      <c r="BH1" s="277">
        <v>295</v>
      </c>
      <c r="BI1" s="277">
        <v>300</v>
      </c>
      <c r="BJ1" s="277">
        <v>305</v>
      </c>
      <c r="BK1" s="277">
        <v>310</v>
      </c>
      <c r="BL1" s="277">
        <v>315</v>
      </c>
      <c r="BM1" s="277">
        <v>320</v>
      </c>
      <c r="BN1" s="277">
        <v>325</v>
      </c>
      <c r="BO1" s="277">
        <v>330</v>
      </c>
      <c r="BP1" s="277">
        <v>335</v>
      </c>
      <c r="BQ1" s="277">
        <v>340</v>
      </c>
      <c r="BR1" s="277">
        <v>345</v>
      </c>
      <c r="BS1" s="277">
        <v>350</v>
      </c>
      <c r="BT1" s="277">
        <v>355</v>
      </c>
      <c r="BU1" s="277">
        <v>360</v>
      </c>
      <c r="BV1" s="277">
        <v>365</v>
      </c>
      <c r="BW1" s="277">
        <v>370</v>
      </c>
      <c r="BX1" s="277">
        <v>375</v>
      </c>
      <c r="BY1" s="277">
        <v>380</v>
      </c>
      <c r="BZ1" s="277">
        <v>385</v>
      </c>
      <c r="CA1" s="277">
        <v>390</v>
      </c>
      <c r="CB1" s="277">
        <v>395</v>
      </c>
      <c r="CC1" s="277">
        <v>400</v>
      </c>
      <c r="CD1" s="277">
        <v>405</v>
      </c>
      <c r="CE1" s="277">
        <v>410</v>
      </c>
      <c r="CF1" s="277">
        <v>415</v>
      </c>
      <c r="CG1" s="277">
        <v>420</v>
      </c>
      <c r="CH1" s="277">
        <v>425</v>
      </c>
      <c r="CI1" s="277">
        <v>430</v>
      </c>
      <c r="CJ1" s="277">
        <v>435</v>
      </c>
      <c r="CK1" s="277">
        <v>440</v>
      </c>
      <c r="CL1" s="277">
        <v>445</v>
      </c>
      <c r="CM1" s="277">
        <v>450</v>
      </c>
      <c r="CN1" s="277">
        <v>455</v>
      </c>
      <c r="CO1" s="277">
        <v>460</v>
      </c>
      <c r="CP1" s="277">
        <v>465</v>
      </c>
      <c r="CQ1" s="277">
        <v>470</v>
      </c>
      <c r="CR1" s="277">
        <v>475</v>
      </c>
      <c r="CS1" s="277">
        <v>480</v>
      </c>
      <c r="CT1" s="277">
        <v>485</v>
      </c>
      <c r="CU1" s="277">
        <v>490</v>
      </c>
      <c r="CV1" s="277">
        <v>495</v>
      </c>
      <c r="CW1" s="277">
        <v>500</v>
      </c>
      <c r="CX1" s="277">
        <v>505</v>
      </c>
      <c r="CY1" s="277">
        <v>510</v>
      </c>
      <c r="CZ1" s="277">
        <v>515</v>
      </c>
      <c r="DA1" s="277">
        <v>520</v>
      </c>
      <c r="DB1" s="277">
        <v>525</v>
      </c>
      <c r="DC1" s="277">
        <v>530</v>
      </c>
      <c r="DD1" s="277">
        <v>535</v>
      </c>
      <c r="DE1" s="277">
        <v>540</v>
      </c>
      <c r="DF1" s="277">
        <v>545</v>
      </c>
      <c r="DG1" s="277">
        <v>550</v>
      </c>
      <c r="DH1" s="277">
        <v>555</v>
      </c>
      <c r="DI1" s="277">
        <v>560</v>
      </c>
      <c r="DJ1" s="277">
        <v>565</v>
      </c>
      <c r="DK1" s="277">
        <v>570</v>
      </c>
      <c r="DL1" s="277">
        <v>575</v>
      </c>
      <c r="DM1" s="277">
        <v>580</v>
      </c>
      <c r="DN1" s="277">
        <v>585</v>
      </c>
      <c r="DO1" s="277">
        <v>590</v>
      </c>
      <c r="DP1" s="277">
        <v>595</v>
      </c>
      <c r="DQ1" s="277">
        <v>600</v>
      </c>
      <c r="DR1" s="277">
        <v>605</v>
      </c>
      <c r="DS1" s="277">
        <v>610</v>
      </c>
      <c r="DT1" s="277">
        <v>615</v>
      </c>
      <c r="DU1" s="277">
        <v>620</v>
      </c>
      <c r="DV1" s="277">
        <v>625</v>
      </c>
      <c r="DW1" s="277">
        <v>630</v>
      </c>
      <c r="DX1" s="277">
        <v>635</v>
      </c>
      <c r="DY1" s="277">
        <v>640</v>
      </c>
      <c r="DZ1" s="277">
        <v>645</v>
      </c>
      <c r="EA1" s="277">
        <v>650</v>
      </c>
      <c r="EB1" s="277">
        <v>655</v>
      </c>
      <c r="EC1" s="277">
        <v>660</v>
      </c>
      <c r="ED1" s="277">
        <v>665</v>
      </c>
      <c r="EE1" s="277">
        <v>670</v>
      </c>
      <c r="EF1" s="277">
        <v>675</v>
      </c>
      <c r="EG1" s="277">
        <v>680</v>
      </c>
      <c r="EH1" s="277">
        <v>685</v>
      </c>
      <c r="EI1" s="277">
        <v>690</v>
      </c>
      <c r="EJ1" s="277">
        <v>695</v>
      </c>
      <c r="EK1" s="277">
        <v>700</v>
      </c>
      <c r="EL1" s="277">
        <v>705</v>
      </c>
      <c r="EM1" s="277">
        <v>710</v>
      </c>
      <c r="EN1" s="277">
        <v>715</v>
      </c>
      <c r="EO1" s="277">
        <v>720</v>
      </c>
      <c r="EP1" s="277">
        <v>725</v>
      </c>
      <c r="EQ1" s="277">
        <v>730</v>
      </c>
      <c r="ER1" s="277">
        <v>735</v>
      </c>
      <c r="ES1" s="277">
        <v>740</v>
      </c>
      <c r="ET1" s="277">
        <v>745</v>
      </c>
      <c r="EU1" s="277">
        <v>750</v>
      </c>
      <c r="EV1" s="277">
        <v>755</v>
      </c>
      <c r="EW1" s="277">
        <v>760</v>
      </c>
      <c r="EX1" s="277">
        <v>765</v>
      </c>
      <c r="EY1" s="277">
        <v>770</v>
      </c>
    </row>
    <row r="2" spans="1:155" ht="45" customHeight="1" x14ac:dyDescent="0.45">
      <c r="A2" s="277">
        <v>5</v>
      </c>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c r="AL2" s="191"/>
      <c r="AM2" s="191"/>
      <c r="AN2" s="191"/>
      <c r="AO2" s="191"/>
      <c r="AP2" s="191"/>
      <c r="AQ2" s="191"/>
      <c r="AR2" s="191"/>
      <c r="AS2" s="191"/>
      <c r="AT2" s="191"/>
      <c r="AU2" s="191"/>
      <c r="AV2" s="191"/>
      <c r="AW2" s="191"/>
      <c r="AX2" s="191"/>
      <c r="AY2" s="191"/>
      <c r="AZ2" s="191"/>
      <c r="BA2" s="191"/>
      <c r="BB2" s="191"/>
      <c r="BC2" s="191"/>
      <c r="BD2" s="191"/>
      <c r="BE2" s="191"/>
      <c r="BF2" s="191"/>
      <c r="BG2" s="191"/>
      <c r="BH2" s="191"/>
      <c r="BI2" s="191"/>
      <c r="BJ2" s="191"/>
      <c r="BK2" s="191"/>
      <c r="BL2" s="191"/>
      <c r="BM2" s="191"/>
      <c r="BN2" s="191"/>
      <c r="BO2" s="191"/>
      <c r="BP2" s="191"/>
      <c r="BQ2" s="191"/>
      <c r="BR2" s="191"/>
      <c r="BS2" s="191"/>
      <c r="BT2" s="191"/>
      <c r="BU2" s="191"/>
      <c r="BV2" s="191"/>
      <c r="BW2" s="191"/>
      <c r="BX2" s="191"/>
      <c r="BY2" s="191"/>
      <c r="BZ2" s="191"/>
      <c r="CA2" s="191"/>
      <c r="CB2" s="191"/>
      <c r="CC2" s="191"/>
      <c r="CD2" s="191"/>
      <c r="CE2" s="191"/>
      <c r="CF2" s="191"/>
      <c r="CG2" s="191"/>
      <c r="CH2" s="191"/>
      <c r="CI2" s="191"/>
      <c r="CJ2" s="191"/>
      <c r="CK2" s="191"/>
      <c r="CL2" s="191"/>
      <c r="CM2" s="191"/>
      <c r="CN2" s="191"/>
      <c r="CO2" s="191"/>
      <c r="CP2" s="191"/>
      <c r="CQ2" s="191"/>
      <c r="CR2" s="191"/>
      <c r="CS2" s="191"/>
      <c r="CT2" s="191"/>
      <c r="CU2" s="191"/>
      <c r="CV2" s="191"/>
      <c r="CW2" s="191"/>
      <c r="CX2" s="191"/>
      <c r="CY2" s="191"/>
      <c r="CZ2" s="191"/>
      <c r="DA2" s="191"/>
      <c r="DB2" s="191"/>
      <c r="DC2" s="191"/>
      <c r="DD2" s="191"/>
      <c r="DE2" s="191"/>
      <c r="DF2" s="191"/>
      <c r="DG2" s="191"/>
      <c r="DH2" s="191"/>
      <c r="DI2" s="191"/>
      <c r="DJ2" s="191"/>
      <c r="DK2" s="191"/>
      <c r="DL2" s="191"/>
      <c r="DM2" s="191"/>
      <c r="DN2" s="191"/>
      <c r="DO2" s="191"/>
      <c r="DP2" s="191"/>
      <c r="DQ2" s="191"/>
      <c r="DR2" s="191"/>
      <c r="DS2" s="191"/>
      <c r="DT2" s="191"/>
      <c r="DU2" s="191"/>
      <c r="DV2" s="191"/>
      <c r="DW2" s="191"/>
      <c r="DX2" s="191"/>
      <c r="DY2" s="191"/>
      <c r="DZ2" s="191"/>
      <c r="EA2" s="191"/>
      <c r="EB2" s="191"/>
      <c r="EC2" s="191"/>
      <c r="ED2" s="191"/>
      <c r="EE2" s="191"/>
      <c r="EF2" s="191"/>
      <c r="EG2" s="191"/>
      <c r="EH2" s="191"/>
      <c r="EI2" s="191"/>
      <c r="EJ2" s="191"/>
      <c r="EK2" s="191"/>
      <c r="EL2" s="191"/>
      <c r="EM2" s="191"/>
      <c r="EN2" s="191"/>
      <c r="EO2" s="191"/>
      <c r="EP2" s="191"/>
      <c r="EQ2" s="191"/>
      <c r="ER2" s="191"/>
      <c r="ES2" s="191"/>
      <c r="ET2" s="191"/>
      <c r="EU2" s="191"/>
      <c r="EV2" s="191"/>
      <c r="EW2" s="191"/>
      <c r="EX2" s="191"/>
      <c r="EY2" s="191"/>
    </row>
    <row r="3" spans="1:155" ht="45" customHeight="1" x14ac:dyDescent="0.45">
      <c r="A3" s="277">
        <v>10</v>
      </c>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1"/>
      <c r="AM3" s="191"/>
      <c r="AN3" s="191"/>
      <c r="AO3" s="191"/>
      <c r="AP3" s="191"/>
      <c r="AQ3" s="191"/>
      <c r="AR3" s="191"/>
      <c r="AS3" s="191"/>
      <c r="AT3" s="191"/>
      <c r="AU3" s="191"/>
      <c r="AV3" s="191"/>
      <c r="AW3" s="191"/>
      <c r="AX3" s="191"/>
      <c r="AY3" s="191"/>
      <c r="AZ3" s="191"/>
      <c r="BA3" s="191"/>
      <c r="BB3" s="191"/>
      <c r="BC3" s="191"/>
      <c r="BD3" s="191"/>
      <c r="BE3" s="191"/>
      <c r="BF3" s="191"/>
      <c r="BG3" s="191"/>
      <c r="BH3" s="191"/>
      <c r="BI3" s="191"/>
      <c r="BJ3" s="191"/>
      <c r="BK3" s="191"/>
      <c r="BL3" s="191"/>
      <c r="BM3" s="191"/>
      <c r="BN3" s="191"/>
      <c r="BO3" s="191"/>
      <c r="BP3" s="191"/>
      <c r="BQ3" s="191"/>
      <c r="BR3" s="191"/>
      <c r="BS3" s="191"/>
      <c r="BT3" s="191"/>
      <c r="BU3" s="191"/>
      <c r="BV3" s="191"/>
      <c r="BW3" s="191"/>
      <c r="BX3" s="191"/>
      <c r="BY3" s="191"/>
      <c r="BZ3" s="191"/>
      <c r="CA3" s="191"/>
      <c r="CB3" s="191"/>
      <c r="CC3" s="191"/>
      <c r="CD3" s="191"/>
      <c r="CE3" s="191"/>
      <c r="CF3" s="191"/>
      <c r="CG3" s="191"/>
      <c r="CH3" s="191"/>
      <c r="CI3" s="191"/>
      <c r="CJ3" s="191"/>
      <c r="CK3" s="191"/>
      <c r="CL3" s="191"/>
      <c r="CM3" s="191"/>
      <c r="CN3" s="191"/>
      <c r="CO3" s="191"/>
      <c r="CP3" s="191"/>
      <c r="CQ3" s="191"/>
      <c r="CR3" s="191"/>
      <c r="CS3" s="191"/>
      <c r="CT3" s="191"/>
      <c r="CU3" s="191"/>
      <c r="CV3" s="191"/>
      <c r="CW3" s="191"/>
      <c r="CX3" s="191"/>
      <c r="CY3" s="191"/>
      <c r="CZ3" s="191"/>
      <c r="DA3" s="191"/>
      <c r="DB3" s="191"/>
      <c r="DC3" s="191"/>
      <c r="DD3" s="191"/>
      <c r="DE3" s="191"/>
      <c r="DF3" s="191"/>
      <c r="DG3" s="191"/>
      <c r="DH3" s="191"/>
      <c r="DI3" s="191"/>
      <c r="DJ3" s="191"/>
      <c r="DK3" s="191"/>
      <c r="DL3" s="191"/>
      <c r="DM3" s="191"/>
      <c r="DN3" s="191"/>
      <c r="DO3" s="191"/>
      <c r="DP3" s="191"/>
      <c r="DQ3" s="191"/>
      <c r="DR3" s="191"/>
      <c r="DS3" s="191"/>
      <c r="DT3" s="191"/>
      <c r="DU3" s="191"/>
      <c r="DV3" s="191"/>
      <c r="DW3" s="191"/>
      <c r="DX3" s="191"/>
      <c r="DY3" s="191"/>
      <c r="DZ3" s="191"/>
      <c r="EA3" s="191"/>
      <c r="EB3" s="191"/>
      <c r="EC3" s="191"/>
      <c r="ED3" s="191"/>
      <c r="EE3" s="191"/>
      <c r="EF3" s="191"/>
      <c r="EG3" s="191"/>
      <c r="EH3" s="191"/>
      <c r="EI3" s="191"/>
      <c r="EJ3" s="191"/>
      <c r="EK3" s="191"/>
      <c r="EL3" s="191"/>
      <c r="EM3" s="191"/>
      <c r="EN3" s="191"/>
      <c r="EO3" s="191"/>
      <c r="EP3" s="191"/>
      <c r="EQ3" s="191"/>
      <c r="ER3" s="191"/>
      <c r="ES3" s="191"/>
      <c r="ET3" s="191"/>
      <c r="EU3" s="191"/>
      <c r="EV3" s="191"/>
      <c r="EW3" s="191"/>
      <c r="EX3" s="191"/>
      <c r="EY3" s="191"/>
    </row>
    <row r="4" spans="1:155" ht="45" customHeight="1" x14ac:dyDescent="0.45">
      <c r="A4" s="277">
        <v>15</v>
      </c>
      <c r="B4" s="191"/>
      <c r="C4" s="191"/>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c r="BB4" s="191"/>
      <c r="BC4" s="191"/>
      <c r="BD4" s="191"/>
      <c r="BE4" s="191"/>
      <c r="BF4" s="191"/>
      <c r="BG4" s="191"/>
      <c r="BH4" s="191"/>
      <c r="BI4" s="191"/>
      <c r="BJ4" s="191"/>
      <c r="BK4" s="191"/>
      <c r="BL4" s="191"/>
      <c r="BM4" s="191"/>
      <c r="BN4" s="191"/>
      <c r="BO4" s="191"/>
      <c r="BP4" s="191"/>
      <c r="BQ4" s="191"/>
      <c r="BR4" s="191"/>
      <c r="BS4" s="191"/>
      <c r="BT4" s="191"/>
      <c r="BU4" s="191"/>
      <c r="BV4" s="191"/>
      <c r="BW4" s="191"/>
      <c r="BX4" s="191"/>
      <c r="BY4" s="191"/>
      <c r="BZ4" s="191"/>
      <c r="CA4" s="191"/>
      <c r="CB4" s="191"/>
      <c r="CC4" s="191"/>
      <c r="CD4" s="191"/>
      <c r="CE4" s="191"/>
      <c r="CF4" s="191"/>
      <c r="CG4" s="191"/>
      <c r="CH4" s="191"/>
      <c r="CI4" s="191"/>
      <c r="CJ4" s="191"/>
      <c r="CK4" s="191"/>
      <c r="CL4" s="191"/>
      <c r="CM4" s="191"/>
      <c r="CN4" s="191"/>
      <c r="CO4" s="191"/>
      <c r="CP4" s="191"/>
      <c r="CQ4" s="191"/>
      <c r="CR4" s="191"/>
      <c r="CS4" s="191"/>
      <c r="CT4" s="191"/>
      <c r="CU4" s="191"/>
      <c r="CV4" s="191"/>
      <c r="CW4" s="191"/>
      <c r="CX4" s="191"/>
      <c r="CY4" s="191"/>
      <c r="CZ4" s="191"/>
      <c r="DA4" s="191"/>
      <c r="DB4" s="191"/>
      <c r="DC4" s="191"/>
      <c r="DD4" s="191"/>
      <c r="DE4" s="191"/>
      <c r="DF4" s="191"/>
      <c r="DG4" s="191"/>
      <c r="DH4" s="191"/>
      <c r="DI4" s="191"/>
      <c r="DJ4" s="191"/>
      <c r="DK4" s="191"/>
      <c r="DL4" s="191"/>
      <c r="DM4" s="191"/>
      <c r="DN4" s="191"/>
      <c r="DO4" s="191"/>
      <c r="DP4" s="191"/>
      <c r="DQ4" s="191"/>
      <c r="DR4" s="191"/>
      <c r="DS4" s="191"/>
      <c r="DT4" s="191"/>
      <c r="DU4" s="191"/>
      <c r="DV4" s="191"/>
      <c r="DW4" s="191"/>
      <c r="DX4" s="191"/>
      <c r="DY4" s="191"/>
      <c r="DZ4" s="191"/>
      <c r="EA4" s="191"/>
      <c r="EB4" s="191"/>
      <c r="EC4" s="191"/>
      <c r="ED4" s="191"/>
      <c r="EE4" s="191"/>
      <c r="EF4" s="191"/>
      <c r="EG4" s="191"/>
      <c r="EH4" s="191"/>
      <c r="EI4" s="191"/>
      <c r="EJ4" s="191"/>
      <c r="EK4" s="191"/>
      <c r="EL4" s="191"/>
      <c r="EM4" s="191"/>
      <c r="EN4" s="191"/>
      <c r="EO4" s="191"/>
      <c r="EP4" s="191"/>
      <c r="EQ4" s="191"/>
      <c r="ER4" s="191"/>
      <c r="ES4" s="191"/>
      <c r="ET4" s="191"/>
      <c r="EU4" s="191"/>
      <c r="EV4" s="191"/>
      <c r="EW4" s="191"/>
      <c r="EX4" s="191"/>
      <c r="EY4" s="191"/>
    </row>
    <row r="5" spans="1:155" ht="45" customHeight="1" x14ac:dyDescent="0.45">
      <c r="A5" s="277">
        <v>20</v>
      </c>
      <c r="B5" s="191"/>
      <c r="C5" s="191"/>
      <c r="D5" s="191"/>
      <c r="E5" s="191"/>
      <c r="F5" s="191"/>
      <c r="G5" s="191"/>
      <c r="H5" s="191"/>
      <c r="I5" s="191"/>
      <c r="J5" s="191"/>
      <c r="K5" s="191"/>
      <c r="L5" s="191"/>
      <c r="M5" s="191"/>
      <c r="N5" s="191"/>
      <c r="O5" s="191"/>
      <c r="P5" s="191"/>
      <c r="Q5" s="191"/>
      <c r="R5" s="191"/>
      <c r="S5" s="191"/>
      <c r="T5" s="191"/>
      <c r="U5" s="191"/>
      <c r="V5" s="191"/>
      <c r="W5" s="191"/>
      <c r="X5" s="191"/>
      <c r="Y5" s="191"/>
      <c r="Z5" s="191"/>
      <c r="AA5" s="191"/>
      <c r="AB5" s="191"/>
      <c r="AC5" s="191"/>
      <c r="AD5" s="191"/>
      <c r="AE5" s="191"/>
      <c r="AF5" s="191"/>
      <c r="AG5" s="191"/>
      <c r="AH5" s="191"/>
      <c r="AI5" s="191"/>
      <c r="AJ5" s="191"/>
      <c r="AK5" s="191"/>
      <c r="AL5" s="191"/>
      <c r="AM5" s="191"/>
      <c r="AN5" s="191"/>
      <c r="AO5" s="191"/>
      <c r="AP5" s="191"/>
      <c r="AQ5" s="191"/>
      <c r="AR5" s="191"/>
      <c r="AS5" s="191"/>
      <c r="AT5" s="191"/>
      <c r="AU5" s="191"/>
      <c r="AV5" s="191"/>
      <c r="AW5" s="191"/>
      <c r="AX5" s="191"/>
      <c r="AY5" s="191"/>
      <c r="AZ5" s="191"/>
      <c r="BA5" s="191"/>
      <c r="BB5" s="191"/>
      <c r="BC5" s="191"/>
      <c r="BD5" s="191"/>
      <c r="BE5" s="191"/>
      <c r="BF5" s="191"/>
      <c r="BG5" s="191"/>
      <c r="BH5" s="191"/>
      <c r="BI5" s="191"/>
      <c r="BJ5" s="191"/>
      <c r="BK5" s="191"/>
      <c r="BL5" s="191"/>
      <c r="BM5" s="191"/>
      <c r="BN5" s="191"/>
      <c r="BO5" s="191"/>
      <c r="BP5" s="191"/>
      <c r="BQ5" s="191"/>
      <c r="BR5" s="191"/>
      <c r="BS5" s="191"/>
      <c r="BT5" s="191"/>
      <c r="BU5" s="191"/>
      <c r="BV5" s="191"/>
      <c r="BW5" s="191"/>
      <c r="BX5" s="191"/>
      <c r="BY5" s="191"/>
      <c r="BZ5" s="191"/>
      <c r="CA5" s="191"/>
      <c r="CB5" s="191"/>
      <c r="CC5" s="191"/>
      <c r="CD5" s="191"/>
      <c r="CE5" s="191"/>
      <c r="CF5" s="191"/>
      <c r="CG5" s="191"/>
      <c r="CH5" s="191"/>
      <c r="CI5" s="191"/>
      <c r="CJ5" s="191"/>
      <c r="CK5" s="191"/>
      <c r="CL5" s="191"/>
      <c r="CM5" s="191"/>
      <c r="CN5" s="191"/>
      <c r="CO5" s="191"/>
      <c r="CP5" s="191"/>
      <c r="CQ5" s="191"/>
      <c r="CR5" s="191"/>
      <c r="CS5" s="191"/>
      <c r="CT5" s="191"/>
      <c r="CU5" s="191"/>
      <c r="CV5" s="191"/>
      <c r="CW5" s="191"/>
      <c r="CX5" s="191"/>
      <c r="CY5" s="191"/>
      <c r="CZ5" s="191"/>
      <c r="DA5" s="191"/>
      <c r="DB5" s="191"/>
      <c r="DC5" s="191"/>
      <c r="DD5" s="191"/>
      <c r="DE5" s="191"/>
      <c r="DF5" s="191"/>
      <c r="DG5" s="191"/>
      <c r="DH5" s="191"/>
      <c r="DI5" s="191"/>
      <c r="DJ5" s="191"/>
      <c r="DK5" s="191"/>
      <c r="DL5" s="191"/>
      <c r="DM5" s="191"/>
      <c r="DN5" s="191"/>
      <c r="DO5" s="191"/>
      <c r="DP5" s="191"/>
      <c r="DQ5" s="191"/>
      <c r="DR5" s="191"/>
      <c r="DS5" s="191"/>
      <c r="DT5" s="191"/>
      <c r="DU5" s="191"/>
      <c r="DV5" s="191"/>
      <c r="DW5" s="191"/>
      <c r="DX5" s="191"/>
      <c r="DY5" s="191"/>
      <c r="DZ5" s="191"/>
      <c r="EA5" s="191"/>
      <c r="EB5" s="191"/>
      <c r="EC5" s="191"/>
      <c r="ED5" s="191"/>
      <c r="EE5" s="191"/>
      <c r="EF5" s="191"/>
      <c r="EG5" s="191"/>
      <c r="EH5" s="191"/>
      <c r="EI5" s="191"/>
      <c r="EJ5" s="191"/>
      <c r="EK5" s="191"/>
      <c r="EL5" s="191"/>
      <c r="EM5" s="191"/>
      <c r="EN5" s="191"/>
      <c r="EO5" s="191"/>
      <c r="EP5" s="191"/>
      <c r="EQ5" s="191"/>
      <c r="ER5" s="191"/>
      <c r="ES5" s="191"/>
      <c r="ET5" s="191"/>
      <c r="EU5" s="191"/>
      <c r="EV5" s="191"/>
      <c r="EW5" s="191"/>
      <c r="EX5" s="191"/>
      <c r="EY5" s="191"/>
    </row>
    <row r="6" spans="1:155" ht="45" customHeight="1" x14ac:dyDescent="0.45">
      <c r="A6" s="277">
        <v>25</v>
      </c>
      <c r="B6" s="191"/>
      <c r="C6" s="191"/>
      <c r="D6" s="191"/>
      <c r="E6" s="191"/>
      <c r="F6" s="191"/>
      <c r="G6" s="191"/>
      <c r="H6" s="191"/>
      <c r="I6" s="191"/>
      <c r="J6" s="191"/>
      <c r="K6" s="191"/>
      <c r="L6" s="191"/>
      <c r="M6" s="191"/>
      <c r="N6" s="191"/>
      <c r="O6" s="191"/>
      <c r="P6" s="191"/>
      <c r="Q6" s="191"/>
      <c r="R6" s="191"/>
      <c r="S6" s="191"/>
      <c r="T6" s="191"/>
      <c r="U6" s="191"/>
      <c r="V6" s="191"/>
      <c r="W6" s="191"/>
      <c r="X6" s="191"/>
      <c r="Y6" s="191"/>
      <c r="Z6" s="191"/>
      <c r="AA6" s="191"/>
      <c r="AB6" s="191"/>
      <c r="AC6" s="191"/>
      <c r="AD6" s="191"/>
      <c r="AE6" s="191"/>
      <c r="AF6" s="191"/>
      <c r="AG6" s="191"/>
      <c r="AH6" s="191"/>
      <c r="AI6" s="191"/>
      <c r="AJ6" s="191"/>
      <c r="AK6" s="191"/>
      <c r="AL6" s="191"/>
      <c r="AM6" s="191"/>
      <c r="AN6" s="191"/>
      <c r="AO6" s="191"/>
      <c r="AP6" s="191"/>
      <c r="AQ6" s="191"/>
      <c r="AR6" s="191"/>
      <c r="AS6" s="191"/>
      <c r="AT6" s="191"/>
      <c r="AU6" s="191"/>
      <c r="AV6" s="191"/>
      <c r="AW6" s="191"/>
      <c r="AX6" s="191"/>
      <c r="AY6" s="191"/>
      <c r="AZ6" s="191"/>
      <c r="BA6" s="191"/>
      <c r="BB6" s="191"/>
      <c r="BC6" s="191"/>
      <c r="BD6" s="191"/>
      <c r="BE6" s="191"/>
      <c r="BF6" s="191"/>
      <c r="BG6" s="191"/>
      <c r="BH6" s="191"/>
      <c r="BI6" s="191"/>
      <c r="BJ6" s="191"/>
      <c r="BK6" s="191"/>
      <c r="BL6" s="191"/>
      <c r="BM6" s="191"/>
      <c r="BN6" s="191"/>
      <c r="BO6" s="191"/>
      <c r="BP6" s="191"/>
      <c r="BQ6" s="191"/>
      <c r="BR6" s="191"/>
      <c r="BS6" s="191"/>
      <c r="BT6" s="191"/>
      <c r="BU6" s="191"/>
      <c r="BV6" s="191"/>
      <c r="BW6" s="191"/>
      <c r="BX6" s="191"/>
      <c r="BY6" s="191"/>
      <c r="BZ6" s="191"/>
      <c r="CA6" s="191"/>
      <c r="CB6" s="191"/>
      <c r="CC6" s="191"/>
      <c r="CD6" s="191"/>
      <c r="CE6" s="191"/>
      <c r="CF6" s="191"/>
      <c r="CG6" s="191"/>
      <c r="CH6" s="191"/>
      <c r="CI6" s="191"/>
      <c r="CJ6" s="191"/>
      <c r="CK6" s="191"/>
      <c r="CL6" s="191"/>
      <c r="CM6" s="191"/>
      <c r="CN6" s="191"/>
      <c r="CO6" s="191"/>
      <c r="CP6" s="191"/>
      <c r="CQ6" s="191"/>
      <c r="CR6" s="191"/>
      <c r="CS6" s="191"/>
      <c r="CT6" s="191"/>
      <c r="CU6" s="191"/>
      <c r="CV6" s="191"/>
      <c r="CW6" s="191"/>
      <c r="CX6" s="191"/>
      <c r="CY6" s="191"/>
      <c r="CZ6" s="191"/>
      <c r="DA6" s="191"/>
      <c r="DB6" s="191"/>
      <c r="DC6" s="191"/>
      <c r="DD6" s="191"/>
      <c r="DE6" s="191"/>
      <c r="DF6" s="191"/>
      <c r="DG6" s="191"/>
      <c r="DH6" s="191"/>
      <c r="DI6" s="191"/>
      <c r="DJ6" s="191"/>
      <c r="DK6" s="191"/>
      <c r="DL6" s="191"/>
      <c r="DM6" s="191"/>
      <c r="DN6" s="191"/>
      <c r="DO6" s="191"/>
      <c r="DP6" s="191"/>
      <c r="DQ6" s="191"/>
      <c r="DR6" s="191"/>
      <c r="DS6" s="191"/>
      <c r="DT6" s="191"/>
      <c r="DU6" s="191"/>
      <c r="DV6" s="191"/>
      <c r="DW6" s="191"/>
      <c r="DX6" s="191"/>
      <c r="DY6" s="191"/>
      <c r="DZ6" s="191"/>
      <c r="EA6" s="191"/>
      <c r="EB6" s="191"/>
      <c r="EC6" s="191"/>
      <c r="ED6" s="191"/>
      <c r="EE6" s="191"/>
      <c r="EF6" s="191"/>
      <c r="EG6" s="191"/>
      <c r="EH6" s="191"/>
      <c r="EI6" s="191"/>
      <c r="EJ6" s="191"/>
      <c r="EK6" s="191"/>
      <c r="EL6" s="191"/>
      <c r="EM6" s="191"/>
      <c r="EN6" s="191"/>
      <c r="EO6" s="191"/>
      <c r="EP6" s="191"/>
      <c r="EQ6" s="191"/>
      <c r="ER6" s="191"/>
      <c r="ES6" s="191"/>
      <c r="ET6" s="191"/>
      <c r="EU6" s="191"/>
      <c r="EV6" s="191"/>
      <c r="EW6" s="191"/>
      <c r="EX6" s="191"/>
      <c r="EY6" s="191"/>
    </row>
    <row r="7" spans="1:155" ht="45" customHeight="1" x14ac:dyDescent="0.45">
      <c r="A7" s="277">
        <v>30</v>
      </c>
      <c r="B7" s="191"/>
      <c r="C7" s="191"/>
      <c r="D7" s="191"/>
      <c r="E7" s="191"/>
      <c r="F7" s="191"/>
      <c r="G7" s="191"/>
      <c r="H7" s="191"/>
      <c r="I7" s="191"/>
      <c r="J7" s="191"/>
      <c r="K7" s="191"/>
      <c r="L7" s="191"/>
      <c r="M7" s="191"/>
      <c r="N7" s="191"/>
      <c r="O7" s="191"/>
      <c r="P7" s="191"/>
      <c r="Q7" s="191"/>
      <c r="R7" s="191"/>
      <c r="S7" s="191"/>
      <c r="T7" s="191"/>
      <c r="U7" s="191"/>
      <c r="V7" s="191"/>
      <c r="W7" s="191"/>
      <c r="X7" s="191"/>
      <c r="Y7" s="191"/>
      <c r="Z7" s="191"/>
      <c r="AA7" s="191"/>
      <c r="AB7" s="191"/>
      <c r="AC7" s="191"/>
      <c r="AD7" s="191"/>
      <c r="AE7" s="191"/>
      <c r="AF7" s="191"/>
      <c r="AG7" s="191"/>
      <c r="AH7" s="191"/>
      <c r="AI7" s="191"/>
      <c r="AJ7" s="191"/>
      <c r="AK7" s="191"/>
      <c r="AL7" s="191"/>
      <c r="AM7" s="191"/>
      <c r="AN7" s="191"/>
      <c r="AO7" s="191"/>
      <c r="AP7" s="191"/>
      <c r="AQ7" s="191"/>
      <c r="AR7" s="191"/>
      <c r="AS7" s="191"/>
      <c r="AT7" s="191"/>
      <c r="AU7" s="191"/>
      <c r="AV7" s="191"/>
      <c r="AW7" s="191"/>
      <c r="AX7" s="191"/>
      <c r="AY7" s="191"/>
      <c r="AZ7" s="191"/>
      <c r="BA7" s="191"/>
      <c r="BB7" s="191"/>
      <c r="BC7" s="191"/>
      <c r="BD7" s="191"/>
      <c r="BE7" s="191"/>
      <c r="BF7" s="191"/>
      <c r="BG7" s="191"/>
      <c r="BH7" s="191"/>
      <c r="BI7" s="191"/>
      <c r="BJ7" s="191"/>
      <c r="BK7" s="191"/>
      <c r="BL7" s="191"/>
      <c r="BM7" s="191"/>
      <c r="BN7" s="191"/>
      <c r="BO7" s="191"/>
      <c r="BP7" s="191"/>
      <c r="BQ7" s="191"/>
      <c r="BR7" s="191"/>
      <c r="BS7" s="191"/>
      <c r="BT7" s="191"/>
      <c r="BU7" s="191"/>
      <c r="BV7" s="191"/>
      <c r="BW7" s="191"/>
      <c r="BX7" s="191"/>
      <c r="BY7" s="191"/>
      <c r="BZ7" s="191"/>
      <c r="CA7" s="191"/>
      <c r="CB7" s="191"/>
      <c r="CC7" s="191"/>
      <c r="CD7" s="191"/>
      <c r="CE7" s="191"/>
      <c r="CF7" s="191"/>
      <c r="CG7" s="191"/>
      <c r="CH7" s="191"/>
      <c r="CI7" s="191"/>
      <c r="CJ7" s="191"/>
      <c r="CK7" s="191"/>
      <c r="CL7" s="191"/>
      <c r="CM7" s="191"/>
      <c r="CN7" s="191"/>
      <c r="CO7" s="191"/>
      <c r="CP7" s="191"/>
      <c r="CQ7" s="191"/>
      <c r="CR7" s="191"/>
      <c r="CS7" s="191"/>
      <c r="CT7" s="191"/>
      <c r="CU7" s="191"/>
      <c r="CV7" s="191"/>
      <c r="CW7" s="191"/>
      <c r="CX7" s="191"/>
      <c r="CY7" s="191"/>
      <c r="CZ7" s="191"/>
      <c r="DA7" s="191"/>
      <c r="DB7" s="191"/>
      <c r="DC7" s="191"/>
      <c r="DD7" s="191"/>
      <c r="DE7" s="191"/>
      <c r="DF7" s="191"/>
      <c r="DG7" s="191"/>
      <c r="DH7" s="191"/>
      <c r="DI7" s="191"/>
      <c r="DJ7" s="191"/>
      <c r="DK7" s="191"/>
      <c r="DL7" s="191"/>
      <c r="DM7" s="191"/>
      <c r="DN7" s="191"/>
      <c r="DO7" s="191"/>
      <c r="DP7" s="191"/>
      <c r="DQ7" s="191"/>
      <c r="DR7" s="191"/>
      <c r="DS7" s="191"/>
      <c r="DT7" s="191"/>
      <c r="DU7" s="191"/>
      <c r="DV7" s="191"/>
      <c r="DW7" s="191"/>
      <c r="DX7" s="313">
        <f>'Level Calculation Drone Survey'!$Z820</f>
        <v>263.25489999999996</v>
      </c>
      <c r="DY7" s="313">
        <f>'Level Calculation Drone Survey'!$Z820</f>
        <v>263.25489999999996</v>
      </c>
      <c r="DZ7" s="313">
        <f>'Level Calculation Drone Survey'!$Z820</f>
        <v>263.25489999999996</v>
      </c>
      <c r="EA7" s="313">
        <f>'Level Calculation Drone Survey'!$Z820</f>
        <v>263.25489999999996</v>
      </c>
      <c r="EB7" s="313">
        <f>'Level Calculation Drone Survey'!$Z820</f>
        <v>263.25489999999996</v>
      </c>
      <c r="EC7" s="313">
        <f>'Level Calculation Drone Survey'!$Z820</f>
        <v>263.25489999999996</v>
      </c>
      <c r="ED7" s="313">
        <f>'Level Calculation Drone Survey'!$Z820</f>
        <v>263.25489999999996</v>
      </c>
      <c r="EE7" s="313">
        <f>'Level Calculation Drone Survey'!$Z820</f>
        <v>263.25489999999996</v>
      </c>
      <c r="EF7" s="313">
        <f>'Level Calculation Drone Survey'!$Z820</f>
        <v>263.25489999999996</v>
      </c>
      <c r="EG7" s="191"/>
      <c r="EH7" s="191"/>
      <c r="EI7" s="191"/>
      <c r="EJ7" s="191"/>
      <c r="EK7" s="191"/>
      <c r="EL7" s="191"/>
      <c r="EM7" s="191"/>
      <c r="EN7" s="191"/>
      <c r="EO7" s="191"/>
      <c r="EP7" s="191"/>
      <c r="EQ7" s="191"/>
      <c r="ER7" s="191"/>
      <c r="ES7" s="191"/>
      <c r="ET7" s="191"/>
      <c r="EU7" s="191"/>
      <c r="EV7" s="191"/>
      <c r="EW7" s="191"/>
      <c r="EX7" s="191"/>
      <c r="EY7" s="191"/>
    </row>
    <row r="8" spans="1:155" ht="45" customHeight="1" x14ac:dyDescent="0.45">
      <c r="A8" s="277">
        <v>35</v>
      </c>
      <c r="B8" s="191"/>
      <c r="C8" s="191"/>
      <c r="D8" s="191"/>
      <c r="E8" s="191"/>
      <c r="F8" s="191"/>
      <c r="G8" s="191"/>
      <c r="H8" s="191"/>
      <c r="I8" s="191"/>
      <c r="J8" s="191"/>
      <c r="K8" s="191"/>
      <c r="L8" s="191"/>
      <c r="M8" s="191"/>
      <c r="N8" s="191"/>
      <c r="O8" s="191"/>
      <c r="P8" s="191"/>
      <c r="Q8" s="191"/>
      <c r="R8" s="191"/>
      <c r="S8" s="191"/>
      <c r="T8" s="191"/>
      <c r="U8" s="191"/>
      <c r="V8" s="191"/>
      <c r="W8" s="191"/>
      <c r="X8" s="191"/>
      <c r="Y8" s="191"/>
      <c r="Z8" s="191"/>
      <c r="AA8" s="191"/>
      <c r="AB8" s="191"/>
      <c r="AC8" s="191"/>
      <c r="AD8" s="191"/>
      <c r="AE8" s="191"/>
      <c r="AF8" s="191"/>
      <c r="AG8" s="191"/>
      <c r="AH8" s="191"/>
      <c r="AI8" s="191"/>
      <c r="AJ8" s="191"/>
      <c r="AK8" s="191"/>
      <c r="AL8" s="191"/>
      <c r="AM8" s="191"/>
      <c r="AN8" s="191"/>
      <c r="AO8" s="191"/>
      <c r="AP8" s="191"/>
      <c r="AQ8" s="191"/>
      <c r="AR8" s="191"/>
      <c r="AS8" s="191"/>
      <c r="AT8" s="191"/>
      <c r="AU8" s="191"/>
      <c r="AV8" s="191"/>
      <c r="AW8" s="191"/>
      <c r="AX8" s="191"/>
      <c r="AY8" s="191"/>
      <c r="AZ8" s="191"/>
      <c r="BA8" s="191"/>
      <c r="BB8" s="191"/>
      <c r="BC8" s="191"/>
      <c r="BD8" s="191"/>
      <c r="BE8" s="191"/>
      <c r="BF8" s="191"/>
      <c r="BG8" s="191"/>
      <c r="BH8" s="191"/>
      <c r="BI8" s="191"/>
      <c r="BJ8" s="191"/>
      <c r="BK8" s="191"/>
      <c r="BL8" s="191"/>
      <c r="BM8" s="191"/>
      <c r="BN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191"/>
      <c r="DN8" s="191"/>
      <c r="DO8" s="191"/>
      <c r="DP8" s="191"/>
      <c r="DQ8" s="191"/>
      <c r="DR8" s="191"/>
      <c r="DS8" s="191"/>
      <c r="DT8" s="191"/>
      <c r="DU8" s="191"/>
      <c r="DV8" s="313">
        <f>'Level Calculation Drone Survey'!$Z821</f>
        <v>263.25489999999996</v>
      </c>
      <c r="DW8" s="313">
        <f>'Level Calculation Drone Survey'!$Z821</f>
        <v>263.25489999999996</v>
      </c>
      <c r="DX8" s="313">
        <f>'Level Calculation Drone Survey'!$Z821</f>
        <v>263.25489999999996</v>
      </c>
      <c r="DY8" s="313">
        <f>'Level Calculation Drone Survey'!$Z821</f>
        <v>263.25489999999996</v>
      </c>
      <c r="DZ8" s="313">
        <f>'Level Calculation Drone Survey'!$Z821</f>
        <v>263.25489999999996</v>
      </c>
      <c r="EA8" s="313">
        <f>'Level Calculation Drone Survey'!$Z821</f>
        <v>263.25489999999996</v>
      </c>
      <c r="EB8" s="313">
        <f>'Level Calculation Drone Survey'!$Z821</f>
        <v>263.25489999999996</v>
      </c>
      <c r="EC8" s="313">
        <f>'Level Calculation Drone Survey'!$Z821</f>
        <v>263.25489999999996</v>
      </c>
      <c r="ED8" s="313">
        <f>'Level Calculation Drone Survey'!$Z821</f>
        <v>263.25489999999996</v>
      </c>
      <c r="EE8" s="313">
        <f>'Level Calculation Drone Survey'!$Z821</f>
        <v>263.25489999999996</v>
      </c>
      <c r="EF8" s="313">
        <f>'Level Calculation Drone Survey'!$Z821</f>
        <v>263.25489999999996</v>
      </c>
      <c r="EG8" s="313">
        <f>'Level Calculation Drone Survey'!$Z821</f>
        <v>263.25489999999996</v>
      </c>
      <c r="EH8" s="313">
        <f>'Level Calculation Drone Survey'!$Z821</f>
        <v>263.25489999999996</v>
      </c>
      <c r="EI8" s="305">
        <f>'Level Calculation Drone Survey'!$Z811</f>
        <v>263.22989999999982</v>
      </c>
      <c r="EJ8" s="191"/>
      <c r="EK8" s="191"/>
      <c r="EL8" s="191"/>
      <c r="EM8" s="191"/>
      <c r="EN8" s="191"/>
      <c r="EO8" s="191"/>
      <c r="EP8" s="191"/>
      <c r="EQ8" s="191"/>
      <c r="ER8" s="191"/>
      <c r="ES8" s="191"/>
      <c r="ET8" s="191"/>
      <c r="EU8" s="191"/>
      <c r="EV8" s="191"/>
      <c r="EW8" s="191"/>
      <c r="EX8" s="191"/>
      <c r="EY8" s="191"/>
    </row>
    <row r="9" spans="1:155" ht="45" customHeight="1" x14ac:dyDescent="0.45">
      <c r="A9" s="277">
        <v>40</v>
      </c>
      <c r="B9" s="191"/>
      <c r="C9" s="191"/>
      <c r="D9" s="191"/>
      <c r="E9" s="191"/>
      <c r="F9" s="191"/>
      <c r="G9" s="191"/>
      <c r="H9" s="191"/>
      <c r="I9" s="191"/>
      <c r="J9" s="191"/>
      <c r="K9" s="191"/>
      <c r="L9" s="191"/>
      <c r="M9" s="191"/>
      <c r="N9" s="191"/>
      <c r="O9" s="191"/>
      <c r="P9" s="191"/>
      <c r="Q9" s="191"/>
      <c r="R9" s="191"/>
      <c r="S9" s="191"/>
      <c r="T9" s="191"/>
      <c r="U9" s="191"/>
      <c r="V9" s="191"/>
      <c r="W9" s="191"/>
      <c r="X9" s="191"/>
      <c r="Y9" s="191"/>
      <c r="Z9" s="191"/>
      <c r="AA9" s="191"/>
      <c r="AB9" s="191"/>
      <c r="AC9" s="191"/>
      <c r="AD9" s="191"/>
      <c r="AE9" s="191"/>
      <c r="AF9" s="191"/>
      <c r="AG9" s="191"/>
      <c r="AH9" s="191"/>
      <c r="AI9" s="191"/>
      <c r="AJ9" s="191"/>
      <c r="AK9" s="191"/>
      <c r="AL9" s="191"/>
      <c r="AM9" s="191"/>
      <c r="AN9" s="191"/>
      <c r="AO9" s="191"/>
      <c r="AP9" s="191"/>
      <c r="AQ9" s="191"/>
      <c r="AR9" s="191"/>
      <c r="AS9" s="191"/>
      <c r="AT9" s="191"/>
      <c r="AU9" s="191"/>
      <c r="AV9" s="191"/>
      <c r="AW9" s="191"/>
      <c r="AX9" s="191"/>
      <c r="AY9" s="191"/>
      <c r="AZ9" s="191"/>
      <c r="BA9" s="191"/>
      <c r="BB9" s="191"/>
      <c r="BC9" s="191"/>
      <c r="BD9" s="191"/>
      <c r="BE9" s="191"/>
      <c r="BF9" s="191"/>
      <c r="BG9" s="191"/>
      <c r="BH9" s="191"/>
      <c r="BI9" s="191"/>
      <c r="BJ9" s="191"/>
      <c r="BK9" s="191"/>
      <c r="BL9" s="191"/>
      <c r="BM9" s="191"/>
      <c r="BN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191"/>
      <c r="DN9" s="191"/>
      <c r="DO9" s="191"/>
      <c r="DP9" s="191"/>
      <c r="DQ9" s="191"/>
      <c r="DR9" s="191"/>
      <c r="DS9" s="191"/>
      <c r="DT9" s="191"/>
      <c r="DU9" s="191"/>
      <c r="DV9" s="313">
        <f>'Level Calculation Drone Survey'!$Z822</f>
        <v>263.25489999999996</v>
      </c>
      <c r="DW9" s="313">
        <f>'Level Calculation Drone Survey'!$Z822</f>
        <v>263.25489999999996</v>
      </c>
      <c r="DX9" s="313">
        <f>'Level Calculation Drone Survey'!$Z822</f>
        <v>263.25489999999996</v>
      </c>
      <c r="DY9" s="313">
        <f>'Level Calculation Drone Survey'!$Z822</f>
        <v>263.25489999999996</v>
      </c>
      <c r="DZ9" s="313">
        <f>'Level Calculation Drone Survey'!$Z822</f>
        <v>263.25489999999996</v>
      </c>
      <c r="EA9" s="313">
        <f>'Level Calculation Drone Survey'!$Z822</f>
        <v>263.25489999999996</v>
      </c>
      <c r="EB9" s="313">
        <f>'Level Calculation Drone Survey'!$Z822</f>
        <v>263.25489999999996</v>
      </c>
      <c r="EC9" s="313">
        <f>'Level Calculation Drone Survey'!$Z822</f>
        <v>263.25489999999996</v>
      </c>
      <c r="ED9" s="313">
        <f>'Level Calculation Drone Survey'!$Z822</f>
        <v>263.25489999999996</v>
      </c>
      <c r="EE9" s="313">
        <f>'Level Calculation Drone Survey'!$Z822</f>
        <v>263.25489999999996</v>
      </c>
      <c r="EF9" s="313">
        <f>'Level Calculation Drone Survey'!$Z822</f>
        <v>263.25489999999996</v>
      </c>
      <c r="EG9" s="313">
        <f>'Level Calculation Drone Survey'!$Z822</f>
        <v>263.25489999999996</v>
      </c>
      <c r="EH9" s="313">
        <f>'Level Calculation Drone Survey'!$Z822</f>
        <v>263.25489999999996</v>
      </c>
      <c r="EI9" s="305">
        <f>'Level Calculation Drone Survey'!$Z812</f>
        <v>263.20489999999984</v>
      </c>
      <c r="EJ9" s="305">
        <f>'Level Calculation Drone Survey'!$Z812</f>
        <v>263.20489999999984</v>
      </c>
      <c r="EK9" s="191"/>
      <c r="EL9" s="191"/>
      <c r="EM9" s="191"/>
      <c r="EN9" s="191"/>
      <c r="EO9" s="191"/>
      <c r="EP9" s="191"/>
      <c r="EQ9" s="191"/>
      <c r="ER9" s="191"/>
      <c r="ES9" s="191"/>
      <c r="ET9" s="191"/>
      <c r="EU9" s="191"/>
      <c r="EV9" s="191"/>
      <c r="EW9" s="191"/>
      <c r="EX9" s="191"/>
      <c r="EY9" s="191"/>
    </row>
    <row r="10" spans="1:155" ht="45" customHeight="1" x14ac:dyDescent="0.45">
      <c r="A10" s="277">
        <v>45</v>
      </c>
      <c r="B10" s="191"/>
      <c r="C10" s="191"/>
      <c r="D10" s="191"/>
      <c r="E10" s="191"/>
      <c r="F10" s="191"/>
      <c r="G10" s="191"/>
      <c r="H10" s="191"/>
      <c r="I10" s="191"/>
      <c r="J10" s="191"/>
      <c r="K10" s="191"/>
      <c r="L10" s="191"/>
      <c r="M10" s="191"/>
      <c r="N10" s="191"/>
      <c r="O10" s="191"/>
      <c r="P10" s="191"/>
      <c r="Q10" s="191"/>
      <c r="R10" s="191"/>
      <c r="S10" s="191"/>
      <c r="T10" s="191"/>
      <c r="U10" s="191"/>
      <c r="V10" s="191"/>
      <c r="W10" s="191"/>
      <c r="X10" s="191"/>
      <c r="Y10" s="191"/>
      <c r="Z10" s="191"/>
      <c r="AA10" s="191"/>
      <c r="AB10" s="191"/>
      <c r="AC10" s="191"/>
      <c r="AD10" s="191"/>
      <c r="AE10" s="191"/>
      <c r="AF10" s="191"/>
      <c r="AG10" s="191"/>
      <c r="AH10" s="191"/>
      <c r="AI10" s="191"/>
      <c r="AJ10" s="191"/>
      <c r="AK10" s="191"/>
      <c r="AL10" s="191"/>
      <c r="AM10" s="191"/>
      <c r="AN10" s="191"/>
      <c r="AO10" s="191"/>
      <c r="AP10" s="191"/>
      <c r="AQ10" s="191"/>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N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191"/>
      <c r="DN10" s="191"/>
      <c r="DO10" s="191"/>
      <c r="DP10" s="191"/>
      <c r="DQ10" s="191"/>
      <c r="DR10" s="191"/>
      <c r="DS10" s="191"/>
      <c r="DT10" s="191"/>
      <c r="DU10" s="191"/>
      <c r="DV10" s="305">
        <f>'Level Calculation Drone Survey'!$Z825</f>
        <v>263.25489999999996</v>
      </c>
      <c r="DW10" s="279">
        <f>'Level Calculation Drone Survey'!$Z3</f>
        <v>263.35489999999999</v>
      </c>
      <c r="DX10" s="279">
        <f>'Level Calculation Drone Survey'!$Z3</f>
        <v>263.35489999999999</v>
      </c>
      <c r="DY10" s="279">
        <f>'Level Calculation Drone Survey'!$Z3</f>
        <v>263.35489999999999</v>
      </c>
      <c r="DZ10" s="279">
        <f>'Level Calculation Drone Survey'!$Z3</f>
        <v>263.35489999999999</v>
      </c>
      <c r="EA10" s="279">
        <f>'Level Calculation Drone Survey'!$Z3</f>
        <v>263.35489999999999</v>
      </c>
      <c r="EB10" s="279">
        <f>'Level Calculation Drone Survey'!$Z3</f>
        <v>263.35489999999999</v>
      </c>
      <c r="EC10" s="279">
        <f>'Level Calculation Drone Survey'!$Z3</f>
        <v>263.35489999999999</v>
      </c>
      <c r="ED10" s="279">
        <f>'Level Calculation Drone Survey'!$Z3</f>
        <v>263.35489999999999</v>
      </c>
      <c r="EE10" s="279">
        <f>'Level Calculation Drone Survey'!$Z3</f>
        <v>263.35489999999999</v>
      </c>
      <c r="EF10" s="279">
        <f>'Level Calculation Drone Survey'!$Z3</f>
        <v>263.35489999999999</v>
      </c>
      <c r="EG10" s="279">
        <f>'Level Calculation Drone Survey'!$Z3</f>
        <v>263.35489999999999</v>
      </c>
      <c r="EH10" s="279">
        <f>'Level Calculation Drone Survey'!$Z3</f>
        <v>263.35489999999999</v>
      </c>
      <c r="EI10" s="305">
        <f>'Level Calculation Drone Survey'!$Z813</f>
        <v>263.17989999999986</v>
      </c>
      <c r="EJ10" s="305">
        <f>'Level Calculation Drone Survey'!$Z813</f>
        <v>263.17989999999986</v>
      </c>
      <c r="EK10" s="191"/>
      <c r="EL10" s="191"/>
      <c r="EM10" s="191"/>
      <c r="EN10" s="191"/>
      <c r="EO10" s="191"/>
      <c r="EP10" s="191"/>
      <c r="EQ10" s="191"/>
      <c r="ER10" s="191"/>
      <c r="ES10" s="191"/>
      <c r="ET10" s="191"/>
      <c r="EU10" s="191"/>
      <c r="EV10" s="191"/>
      <c r="EW10" s="191"/>
      <c r="EX10" s="191"/>
      <c r="EY10" s="191"/>
    </row>
    <row r="11" spans="1:155" ht="45" customHeight="1" x14ac:dyDescent="0.45">
      <c r="A11" s="277">
        <v>50</v>
      </c>
      <c r="B11" s="191"/>
      <c r="C11" s="191"/>
      <c r="D11" s="191"/>
      <c r="E11" s="191"/>
      <c r="F11" s="191"/>
      <c r="G11" s="191"/>
      <c r="H11" s="191"/>
      <c r="I11" s="191"/>
      <c r="J11" s="191"/>
      <c r="K11" s="191"/>
      <c r="L11" s="191"/>
      <c r="M11" s="191"/>
      <c r="N11" s="191"/>
      <c r="O11" s="191"/>
      <c r="P11" s="191"/>
      <c r="Q11" s="191"/>
      <c r="R11" s="191"/>
      <c r="S11" s="191"/>
      <c r="T11" s="191"/>
      <c r="U11" s="191"/>
      <c r="V11" s="191"/>
      <c r="W11" s="191"/>
      <c r="X11" s="191"/>
      <c r="Y11" s="191"/>
      <c r="Z11" s="191"/>
      <c r="AA11" s="191"/>
      <c r="AB11" s="191"/>
      <c r="AC11" s="191"/>
      <c r="AD11" s="191"/>
      <c r="AE11" s="191"/>
      <c r="AF11" s="191"/>
      <c r="AG11" s="191"/>
      <c r="AH11" s="191"/>
      <c r="AI11" s="191"/>
      <c r="AJ11" s="191"/>
      <c r="AK11" s="191"/>
      <c r="AL11" s="191"/>
      <c r="AM11" s="191"/>
      <c r="AN11" s="191"/>
      <c r="AO11" s="191"/>
      <c r="AP11" s="191"/>
      <c r="AQ11" s="191"/>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N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191"/>
      <c r="DN11" s="191"/>
      <c r="DO11" s="191"/>
      <c r="DP11" s="191"/>
      <c r="DQ11" s="191"/>
      <c r="DR11" s="191"/>
      <c r="DS11" s="191"/>
      <c r="DT11" s="191"/>
      <c r="DU11" s="191"/>
      <c r="DV11" s="305">
        <f>'Level Calculation Drone Survey'!$Z826</f>
        <v>263.20489999999995</v>
      </c>
      <c r="DW11" s="279">
        <f>'Level Calculation Drone Survey'!$Z4</f>
        <v>263.30489999999998</v>
      </c>
      <c r="DX11" s="279">
        <f>'Level Calculation Drone Survey'!$Z4</f>
        <v>263.30489999999998</v>
      </c>
      <c r="DY11" s="279">
        <f>'Level Calculation Drone Survey'!$Z4</f>
        <v>263.30489999999998</v>
      </c>
      <c r="DZ11" s="279">
        <f>'Level Calculation Drone Survey'!$Z4</f>
        <v>263.30489999999998</v>
      </c>
      <c r="EA11" s="279">
        <f>'Level Calculation Drone Survey'!$Z4</f>
        <v>263.30489999999998</v>
      </c>
      <c r="EB11" s="279">
        <f>'Level Calculation Drone Survey'!$Z4</f>
        <v>263.30489999999998</v>
      </c>
      <c r="EC11" s="279">
        <f>'Level Calculation Drone Survey'!$Z4</f>
        <v>263.30489999999998</v>
      </c>
      <c r="ED11" s="279">
        <f>'Level Calculation Drone Survey'!$Z4</f>
        <v>263.30489999999998</v>
      </c>
      <c r="EE11" s="279">
        <f>'Level Calculation Drone Survey'!$Z4</f>
        <v>263.30489999999998</v>
      </c>
      <c r="EF11" s="279">
        <f>'Level Calculation Drone Survey'!$Z4</f>
        <v>263.30489999999998</v>
      </c>
      <c r="EG11" s="279">
        <f>'Level Calculation Drone Survey'!$Z4</f>
        <v>263.30489999999998</v>
      </c>
      <c r="EH11" s="279">
        <f>'Level Calculation Drone Survey'!$Z4</f>
        <v>263.30489999999998</v>
      </c>
      <c r="EI11" s="305">
        <f>'Level Calculation Drone Survey'!$Z814</f>
        <v>263.15489999999988</v>
      </c>
      <c r="EJ11" s="305">
        <f>'Level Calculation Drone Survey'!$Z814</f>
        <v>263.15489999999988</v>
      </c>
      <c r="EK11" s="305">
        <f>'Level Calculation Drone Survey'!$Z814</f>
        <v>263.15489999999988</v>
      </c>
      <c r="EL11" s="305">
        <f>'Level Calculation Drone Survey'!$Z814</f>
        <v>263.15489999999988</v>
      </c>
      <c r="EM11" s="191"/>
      <c r="EN11" s="191"/>
      <c r="EO11" s="191"/>
      <c r="EP11" s="191"/>
      <c r="EQ11" s="191"/>
      <c r="ER11" s="191"/>
      <c r="ES11" s="191"/>
      <c r="ET11" s="191"/>
      <c r="EU11" s="191"/>
      <c r="EV11" s="191"/>
      <c r="EW11" s="191"/>
      <c r="EX11" s="191"/>
      <c r="EY11" s="191"/>
    </row>
    <row r="12" spans="1:155" ht="45" customHeight="1" x14ac:dyDescent="0.45">
      <c r="A12" s="277">
        <v>55</v>
      </c>
      <c r="B12" s="191"/>
      <c r="C12" s="191"/>
      <c r="D12" s="191"/>
      <c r="E12" s="191"/>
      <c r="F12" s="191"/>
      <c r="G12" s="191"/>
      <c r="H12" s="191"/>
      <c r="I12" s="191"/>
      <c r="J12" s="191"/>
      <c r="K12" s="191"/>
      <c r="L12" s="191"/>
      <c r="M12" s="191"/>
      <c r="N12" s="191"/>
      <c r="O12" s="191"/>
      <c r="P12" s="191"/>
      <c r="Q12" s="191"/>
      <c r="R12" s="191"/>
      <c r="S12" s="191"/>
      <c r="T12" s="191"/>
      <c r="U12" s="191"/>
      <c r="V12" s="191"/>
      <c r="W12" s="191"/>
      <c r="X12" s="191"/>
      <c r="Y12" s="191"/>
      <c r="Z12" s="191"/>
      <c r="AA12" s="191"/>
      <c r="AB12" s="191"/>
      <c r="AC12" s="191"/>
      <c r="AD12" s="191"/>
      <c r="AE12" s="191"/>
      <c r="AF12" s="191"/>
      <c r="AG12" s="191"/>
      <c r="AH12" s="191"/>
      <c r="AI12" s="191"/>
      <c r="AJ12" s="191"/>
      <c r="AK12" s="191"/>
      <c r="AL12" s="191"/>
      <c r="AM12" s="191"/>
      <c r="AN12" s="191"/>
      <c r="AO12" s="191"/>
      <c r="AP12" s="191"/>
      <c r="AQ12" s="191"/>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N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191"/>
      <c r="DN12" s="191"/>
      <c r="DO12" s="191"/>
      <c r="DP12" s="191"/>
      <c r="DQ12" s="191"/>
      <c r="DR12" s="191"/>
      <c r="DS12" s="191"/>
      <c r="DT12" s="191"/>
      <c r="DU12" s="191"/>
      <c r="DV12" s="305">
        <f>'Level Calculation Drone Survey'!$Z827</f>
        <v>263.15489999999994</v>
      </c>
      <c r="DW12" s="279">
        <f>'Level Calculation Drone Survey'!$Z5</f>
        <v>263.25489999999996</v>
      </c>
      <c r="DX12" s="279">
        <f>'Level Calculation Drone Survey'!$Z5</f>
        <v>263.25489999999996</v>
      </c>
      <c r="DY12" s="279">
        <f>'Level Calculation Drone Survey'!$Z5</f>
        <v>263.25489999999996</v>
      </c>
      <c r="DZ12" s="279">
        <f>'Level Calculation Drone Survey'!$Z5</f>
        <v>263.25489999999996</v>
      </c>
      <c r="EA12" s="279">
        <f>'Level Calculation Drone Survey'!$Z5</f>
        <v>263.25489999999996</v>
      </c>
      <c r="EB12" s="279">
        <f>'Level Calculation Drone Survey'!$Z5</f>
        <v>263.25489999999996</v>
      </c>
      <c r="EC12" s="279">
        <f>'Level Calculation Drone Survey'!$Z5</f>
        <v>263.25489999999996</v>
      </c>
      <c r="ED12" s="279">
        <f>'Level Calculation Drone Survey'!$Z5</f>
        <v>263.25489999999996</v>
      </c>
      <c r="EE12" s="279">
        <f>'Level Calculation Drone Survey'!$Z5</f>
        <v>263.25489999999996</v>
      </c>
      <c r="EF12" s="279">
        <f>'Level Calculation Drone Survey'!$Z5</f>
        <v>263.25489999999996</v>
      </c>
      <c r="EG12" s="279">
        <f>'Level Calculation Drone Survey'!$Z5</f>
        <v>263.25489999999996</v>
      </c>
      <c r="EH12" s="279">
        <f>'Level Calculation Drone Survey'!$Z5</f>
        <v>263.25489999999996</v>
      </c>
      <c r="EI12" s="305">
        <f>'Level Calculation Drone Survey'!$Z815</f>
        <v>263.12989999999991</v>
      </c>
      <c r="EJ12" s="305">
        <f>'Level Calculation Drone Survey'!$Z815</f>
        <v>263.12989999999991</v>
      </c>
      <c r="EK12" s="305">
        <f>'Level Calculation Drone Survey'!$Z815</f>
        <v>263.12989999999991</v>
      </c>
      <c r="EL12" s="305">
        <f>'Level Calculation Drone Survey'!$Z815</f>
        <v>263.12989999999991</v>
      </c>
      <c r="EM12" s="305">
        <f>'Level Calculation Drone Survey'!$Z815</f>
        <v>263.12989999999991</v>
      </c>
      <c r="EN12" s="305">
        <f>'Level Calculation Drone Survey'!$Z815</f>
        <v>263.12989999999991</v>
      </c>
      <c r="EO12" s="191"/>
      <c r="EP12" s="191"/>
      <c r="EQ12" s="191"/>
      <c r="ER12" s="191"/>
      <c r="ES12" s="191"/>
      <c r="ET12" s="191"/>
      <c r="EU12" s="191"/>
      <c r="EV12" s="191"/>
      <c r="EW12" s="191"/>
      <c r="EX12" s="191"/>
      <c r="EY12" s="191"/>
    </row>
    <row r="13" spans="1:155" ht="45" customHeight="1" x14ac:dyDescent="0.45">
      <c r="A13" s="277">
        <v>60</v>
      </c>
      <c r="B13" s="191"/>
      <c r="C13" s="191"/>
      <c r="D13" s="191"/>
      <c r="E13" s="191"/>
      <c r="F13" s="191"/>
      <c r="G13" s="191"/>
      <c r="H13" s="191"/>
      <c r="I13" s="191"/>
      <c r="J13" s="191"/>
      <c r="K13" s="191"/>
      <c r="L13" s="191"/>
      <c r="M13" s="191"/>
      <c r="N13" s="191"/>
      <c r="O13" s="191"/>
      <c r="P13" s="191"/>
      <c r="Q13" s="191"/>
      <c r="R13" s="191"/>
      <c r="S13" s="191"/>
      <c r="T13" s="191"/>
      <c r="U13" s="191"/>
      <c r="V13" s="191"/>
      <c r="W13" s="191"/>
      <c r="X13" s="191"/>
      <c r="Y13" s="191"/>
      <c r="Z13" s="191"/>
      <c r="AA13" s="191"/>
      <c r="AB13" s="191"/>
      <c r="AC13" s="191"/>
      <c r="AD13" s="191"/>
      <c r="AE13" s="191"/>
      <c r="AF13" s="191"/>
      <c r="AG13" s="191"/>
      <c r="AH13" s="191"/>
      <c r="AI13" s="191"/>
      <c r="AJ13" s="191"/>
      <c r="AK13" s="191"/>
      <c r="AL13" s="191"/>
      <c r="AM13" s="191"/>
      <c r="AN13" s="191"/>
      <c r="AO13" s="191"/>
      <c r="AP13" s="191"/>
      <c r="AQ13" s="191"/>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N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191"/>
      <c r="DN13" s="191"/>
      <c r="DO13" s="191"/>
      <c r="DP13" s="191"/>
      <c r="DQ13" s="191"/>
      <c r="DR13" s="191"/>
      <c r="DS13" s="191"/>
      <c r="DT13" s="191"/>
      <c r="DU13" s="191"/>
      <c r="DV13" s="305">
        <f>'Level Calculation Drone Survey'!$Z828</f>
        <v>263.10489999999993</v>
      </c>
      <c r="DW13" s="279">
        <f>'Level Calculation Drone Survey'!$Z6</f>
        <v>263.20489999999995</v>
      </c>
      <c r="DX13" s="279">
        <f>'Level Calculation Drone Survey'!$Z6</f>
        <v>263.20489999999995</v>
      </c>
      <c r="DY13" s="279">
        <f>'Level Calculation Drone Survey'!$Z6</f>
        <v>263.20489999999995</v>
      </c>
      <c r="DZ13" s="279">
        <f>'Level Calculation Drone Survey'!$Z6</f>
        <v>263.20489999999995</v>
      </c>
      <c r="EA13" s="279">
        <f>'Level Calculation Drone Survey'!$Z6</f>
        <v>263.20489999999995</v>
      </c>
      <c r="EB13" s="279">
        <f>'Level Calculation Drone Survey'!$Z6</f>
        <v>263.20489999999995</v>
      </c>
      <c r="EC13" s="279">
        <f>'Level Calculation Drone Survey'!$Z6</f>
        <v>263.20489999999995</v>
      </c>
      <c r="ED13" s="279">
        <f>'Level Calculation Drone Survey'!$Z6</f>
        <v>263.20489999999995</v>
      </c>
      <c r="EE13" s="279">
        <f>'Level Calculation Drone Survey'!$Z6</f>
        <v>263.20489999999995</v>
      </c>
      <c r="EF13" s="279">
        <f>'Level Calculation Drone Survey'!$Z6</f>
        <v>263.20489999999995</v>
      </c>
      <c r="EG13" s="279">
        <f>'Level Calculation Drone Survey'!$Z6</f>
        <v>263.20489999999995</v>
      </c>
      <c r="EH13" s="279">
        <f>'Level Calculation Drone Survey'!$Z6</f>
        <v>263.20489999999995</v>
      </c>
      <c r="EI13" s="305">
        <f>'Level Calculation Drone Survey'!$Z816</f>
        <v>263.10489999999993</v>
      </c>
      <c r="EJ13" s="305">
        <f>'Level Calculation Drone Survey'!$Z816</f>
        <v>263.10489999999993</v>
      </c>
      <c r="EK13" s="305">
        <f>'Level Calculation Drone Survey'!$Z816</f>
        <v>263.10489999999993</v>
      </c>
      <c r="EL13" s="305">
        <f>'Level Calculation Drone Survey'!$Z816</f>
        <v>263.10489999999993</v>
      </c>
      <c r="EM13" s="305">
        <f>'Level Calculation Drone Survey'!$Z816</f>
        <v>263.10489999999993</v>
      </c>
      <c r="EN13" s="305">
        <f>'Level Calculation Drone Survey'!$Z816</f>
        <v>263.10489999999993</v>
      </c>
      <c r="EO13" s="305">
        <f>'Level Calculation Drone Survey'!$Z816</f>
        <v>263.10489999999993</v>
      </c>
      <c r="EP13" s="191"/>
      <c r="EQ13" s="191"/>
      <c r="ER13" s="191"/>
      <c r="ES13" s="191"/>
      <c r="ET13" s="191"/>
      <c r="EU13" s="191"/>
      <c r="EV13" s="191"/>
      <c r="EW13" s="191"/>
      <c r="EX13" s="191"/>
      <c r="EY13" s="191"/>
    </row>
    <row r="14" spans="1:155" ht="45" customHeight="1" x14ac:dyDescent="0.45">
      <c r="A14" s="277">
        <v>65</v>
      </c>
      <c r="B14" s="191"/>
      <c r="C14" s="191"/>
      <c r="D14" s="191"/>
      <c r="E14" s="191"/>
      <c r="F14" s="191"/>
      <c r="G14" s="191"/>
      <c r="H14" s="191"/>
      <c r="I14" s="191"/>
      <c r="J14" s="191"/>
      <c r="K14" s="191"/>
      <c r="L14" s="191"/>
      <c r="M14" s="191"/>
      <c r="N14" s="191"/>
      <c r="O14" s="191"/>
      <c r="P14" s="191"/>
      <c r="Q14" s="191"/>
      <c r="R14" s="191"/>
      <c r="S14" s="191"/>
      <c r="T14" s="191"/>
      <c r="U14" s="191"/>
      <c r="V14" s="191"/>
      <c r="W14" s="191"/>
      <c r="X14" s="191"/>
      <c r="Y14" s="191"/>
      <c r="Z14" s="191"/>
      <c r="AA14" s="191"/>
      <c r="AB14" s="191"/>
      <c r="AC14" s="191"/>
      <c r="AD14" s="191"/>
      <c r="AE14" s="191"/>
      <c r="AF14" s="191"/>
      <c r="AG14" s="191"/>
      <c r="AH14" s="191"/>
      <c r="AI14" s="191"/>
      <c r="AJ14" s="191"/>
      <c r="AK14" s="191"/>
      <c r="AL14" s="191"/>
      <c r="AM14" s="191"/>
      <c r="AN14" s="191"/>
      <c r="AO14" s="191"/>
      <c r="AP14" s="191"/>
      <c r="AQ14" s="191"/>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N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278">
        <v>264.65719999999999</v>
      </c>
      <c r="CQ14" s="278">
        <v>264.90609999999998</v>
      </c>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191"/>
      <c r="DN14" s="191"/>
      <c r="DO14" s="191"/>
      <c r="DP14" s="191"/>
      <c r="DQ14" s="191"/>
      <c r="DR14" s="191"/>
      <c r="DS14" s="191"/>
      <c r="DT14" s="191"/>
      <c r="DU14" s="191"/>
      <c r="DV14" s="305">
        <f>'Level Calculation Drone Survey'!$Z829</f>
        <v>263.05489999999992</v>
      </c>
      <c r="DW14" s="279">
        <f>'Level Calculation Drone Survey'!$Z7</f>
        <v>263.15489999999994</v>
      </c>
      <c r="DX14" s="279">
        <f>'Level Calculation Drone Survey'!$Z7</f>
        <v>263.15489999999994</v>
      </c>
      <c r="DY14" s="279">
        <f>'Level Calculation Drone Survey'!$Z7</f>
        <v>263.15489999999994</v>
      </c>
      <c r="DZ14" s="279">
        <f>'Level Calculation Drone Survey'!$Z7</f>
        <v>263.15489999999994</v>
      </c>
      <c r="EA14" s="279">
        <f>'Level Calculation Drone Survey'!$Z7</f>
        <v>263.15489999999994</v>
      </c>
      <c r="EB14" s="279">
        <f>'Level Calculation Drone Survey'!$Z7</f>
        <v>263.15489999999994</v>
      </c>
      <c r="EC14" s="279">
        <f>'Level Calculation Drone Survey'!$Z7</f>
        <v>263.15489999999994</v>
      </c>
      <c r="ED14" s="279">
        <f>'Level Calculation Drone Survey'!$Z7</f>
        <v>263.15489999999994</v>
      </c>
      <c r="EE14" s="279">
        <f>'Level Calculation Drone Survey'!$Z7</f>
        <v>263.15489999999994</v>
      </c>
      <c r="EF14" s="279">
        <f>'Level Calculation Drone Survey'!$Z7</f>
        <v>263.15489999999994</v>
      </c>
      <c r="EG14" s="279">
        <f>'Level Calculation Drone Survey'!$Z7</f>
        <v>263.15489999999994</v>
      </c>
      <c r="EH14" s="279">
        <f>'Level Calculation Drone Survey'!$Z7</f>
        <v>263.15489999999994</v>
      </c>
      <c r="EI14" s="279">
        <f>'Level Calculation Drone Survey'!$Z7</f>
        <v>263.15489999999994</v>
      </c>
      <c r="EJ14" s="279">
        <f>'Level Calculation Drone Survey'!$Z7</f>
        <v>263.15489999999994</v>
      </c>
      <c r="EK14" s="279">
        <f>'Level Calculation Drone Survey'!$Z7</f>
        <v>263.15489999999994</v>
      </c>
      <c r="EL14" s="279">
        <f>'Level Calculation Drone Survey'!$Z7</f>
        <v>263.15489999999994</v>
      </c>
      <c r="EM14" s="279">
        <f>'Level Calculation Drone Survey'!$Z7</f>
        <v>263.15489999999994</v>
      </c>
      <c r="EN14" s="318">
        <f>'Level Calculation Drone Survey'!$Z795</f>
        <v>263.10489999999993</v>
      </c>
      <c r="EO14" s="318">
        <f>'Level Calculation Drone Survey'!$Z795</f>
        <v>263.10489999999993</v>
      </c>
      <c r="EP14" s="318">
        <f>'Level Calculation Drone Survey'!$Z795</f>
        <v>263.10489999999993</v>
      </c>
      <c r="EQ14" s="191"/>
      <c r="ER14" s="191"/>
      <c r="ES14" s="191"/>
      <c r="ET14" s="191"/>
      <c r="EU14" s="191"/>
      <c r="EV14" s="191"/>
      <c r="EW14" s="191"/>
      <c r="EX14" s="191"/>
      <c r="EY14" s="191"/>
    </row>
    <row r="15" spans="1:155" ht="45" customHeight="1" x14ac:dyDescent="0.45">
      <c r="A15" s="277">
        <v>70</v>
      </c>
      <c r="B15" s="191"/>
      <c r="C15" s="191"/>
      <c r="D15" s="191"/>
      <c r="E15" s="191"/>
      <c r="F15" s="191"/>
      <c r="G15" s="191"/>
      <c r="H15" s="191"/>
      <c r="I15" s="191"/>
      <c r="J15" s="191"/>
      <c r="K15" s="191"/>
      <c r="L15" s="191"/>
      <c r="M15" s="191"/>
      <c r="N15" s="191"/>
      <c r="O15" s="191"/>
      <c r="P15" s="191"/>
      <c r="Q15" s="191"/>
      <c r="R15" s="191"/>
      <c r="S15" s="191"/>
      <c r="T15" s="191"/>
      <c r="U15" s="191"/>
      <c r="V15" s="191"/>
      <c r="W15" s="191"/>
      <c r="X15" s="191"/>
      <c r="Y15" s="191"/>
      <c r="Z15" s="191"/>
      <c r="AA15" s="191"/>
      <c r="AB15" s="191"/>
      <c r="AC15" s="191"/>
      <c r="AD15" s="191"/>
      <c r="AE15" s="191"/>
      <c r="AF15" s="191"/>
      <c r="AG15" s="191"/>
      <c r="AH15" s="191"/>
      <c r="AI15" s="191"/>
      <c r="AJ15" s="191"/>
      <c r="AK15" s="191"/>
      <c r="AL15" s="191"/>
      <c r="AM15" s="191"/>
      <c r="AN15" s="191"/>
      <c r="AO15" s="191"/>
      <c r="AP15" s="191"/>
      <c r="AQ15" s="191"/>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N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305">
        <f>'Level Calculation Drone Survey'!$Z860</f>
        <v>263.07529999999991</v>
      </c>
      <c r="CP15" s="305">
        <f>'Level Calculation Drone Survey'!$Z860</f>
        <v>263.07529999999991</v>
      </c>
      <c r="CQ15" s="305">
        <f>'Level Calculation Drone Survey'!$Z860</f>
        <v>263.07529999999991</v>
      </c>
      <c r="CR15" s="305">
        <f>'Level Calculation Drone Survey'!$Z860</f>
        <v>263.07529999999991</v>
      </c>
      <c r="CS15" s="305">
        <f>'Level Calculation Drone Survey'!$Z860</f>
        <v>263.07529999999991</v>
      </c>
      <c r="CT15" s="278">
        <v>263.31670000000003</v>
      </c>
      <c r="CU15" s="278">
        <v>263.79090000000002</v>
      </c>
      <c r="CV15" s="191"/>
      <c r="CW15" s="191"/>
      <c r="CX15" s="191"/>
      <c r="CY15" s="191"/>
      <c r="CZ15" s="191"/>
      <c r="DA15" s="191"/>
      <c r="DB15" s="191"/>
      <c r="DC15" s="278">
        <v>264.09969999999998</v>
      </c>
      <c r="DD15" s="278">
        <v>263.99250000000001</v>
      </c>
      <c r="DE15" s="278">
        <v>263.84679999999997</v>
      </c>
      <c r="DF15" s="278">
        <v>263.96109999999999</v>
      </c>
      <c r="DG15" s="278">
        <v>263.84859999999998</v>
      </c>
      <c r="DH15" s="278">
        <v>263.76650000000001</v>
      </c>
      <c r="DI15" s="278">
        <v>263.78750000000002</v>
      </c>
      <c r="DJ15" s="191"/>
      <c r="DK15" s="191"/>
      <c r="DL15" s="191"/>
      <c r="DM15" s="191"/>
      <c r="DN15" s="191"/>
      <c r="DO15" s="191"/>
      <c r="DP15" s="191"/>
      <c r="DQ15" s="191"/>
      <c r="DR15" s="191"/>
      <c r="DS15" s="191"/>
      <c r="DT15" s="191"/>
      <c r="DU15" s="191"/>
      <c r="DV15" s="305">
        <f>'Level Calculation Drone Survey'!$Z830</f>
        <v>263.00489999999991</v>
      </c>
      <c r="DW15" s="279">
        <f>'Level Calculation Drone Survey'!$Z8</f>
        <v>263.10489999999993</v>
      </c>
      <c r="DX15" s="279">
        <f>'Level Calculation Drone Survey'!$Z8</f>
        <v>263.10489999999993</v>
      </c>
      <c r="DY15" s="279">
        <f>'Level Calculation Drone Survey'!$Z8</f>
        <v>263.10489999999993</v>
      </c>
      <c r="DZ15" s="279">
        <f>'Level Calculation Drone Survey'!$Z8</f>
        <v>263.10489999999993</v>
      </c>
      <c r="EA15" s="279">
        <f>'Level Calculation Drone Survey'!$Z8</f>
        <v>263.10489999999993</v>
      </c>
      <c r="EB15" s="279">
        <f>'Level Calculation Drone Survey'!$Z8</f>
        <v>263.10489999999993</v>
      </c>
      <c r="EC15" s="279">
        <f>'Level Calculation Drone Survey'!$Z8</f>
        <v>263.10489999999993</v>
      </c>
      <c r="ED15" s="279">
        <f>'Level Calculation Drone Survey'!$Z8</f>
        <v>263.10489999999993</v>
      </c>
      <c r="EE15" s="279">
        <f>'Level Calculation Drone Survey'!$Z8</f>
        <v>263.10489999999993</v>
      </c>
      <c r="EF15" s="279">
        <f>'Level Calculation Drone Survey'!$Z8</f>
        <v>263.10489999999993</v>
      </c>
      <c r="EG15" s="279">
        <f>'Level Calculation Drone Survey'!$Z8</f>
        <v>263.10489999999993</v>
      </c>
      <c r="EH15" s="279">
        <f>'Level Calculation Drone Survey'!$Z8</f>
        <v>263.10489999999993</v>
      </c>
      <c r="EI15" s="279">
        <f>'Level Calculation Drone Survey'!$Z8</f>
        <v>263.10489999999993</v>
      </c>
      <c r="EJ15" s="279">
        <f>'Level Calculation Drone Survey'!$Z8</f>
        <v>263.10489999999993</v>
      </c>
      <c r="EK15" s="279">
        <f>'Level Calculation Drone Survey'!$Z8</f>
        <v>263.10489999999993</v>
      </c>
      <c r="EL15" s="279">
        <f>'Level Calculation Drone Survey'!$Z8</f>
        <v>263.10489999999993</v>
      </c>
      <c r="EM15" s="279">
        <f>'Level Calculation Drone Survey'!$Z8</f>
        <v>263.10489999999993</v>
      </c>
      <c r="EN15" s="318">
        <f>'Level Calculation Drone Survey'!$Z796</f>
        <v>263.05489999999992</v>
      </c>
      <c r="EO15" s="318">
        <f>'Level Calculation Drone Survey'!$Z796</f>
        <v>263.05489999999992</v>
      </c>
      <c r="EP15" s="318">
        <f>'Level Calculation Drone Survey'!$Z796</f>
        <v>263.05489999999992</v>
      </c>
      <c r="EQ15" s="191"/>
      <c r="ER15" s="191"/>
      <c r="ES15" s="191"/>
      <c r="ET15" s="191"/>
      <c r="EU15" s="191"/>
      <c r="EV15" s="191"/>
      <c r="EW15" s="191"/>
      <c r="EX15" s="191"/>
      <c r="EY15" s="191"/>
    </row>
    <row r="16" spans="1:155" ht="45" customHeight="1" x14ac:dyDescent="0.45">
      <c r="A16" s="277">
        <v>75</v>
      </c>
      <c r="B16" s="191"/>
      <c r="C16" s="191"/>
      <c r="D16" s="191"/>
      <c r="E16" s="191"/>
      <c r="F16" s="191"/>
      <c r="G16" s="191"/>
      <c r="H16" s="191"/>
      <c r="I16" s="191"/>
      <c r="J16" s="191"/>
      <c r="K16" s="191"/>
      <c r="L16" s="191"/>
      <c r="M16" s="191"/>
      <c r="N16" s="191"/>
      <c r="O16" s="191"/>
      <c r="P16" s="191"/>
      <c r="Q16" s="191"/>
      <c r="R16" s="191"/>
      <c r="S16" s="191"/>
      <c r="T16" s="191"/>
      <c r="U16" s="191"/>
      <c r="V16" s="191"/>
      <c r="W16" s="191"/>
      <c r="X16" s="191"/>
      <c r="Y16" s="191"/>
      <c r="Z16" s="191"/>
      <c r="AA16" s="191"/>
      <c r="AB16" s="191"/>
      <c r="AC16" s="191"/>
      <c r="AD16" s="191"/>
      <c r="AE16" s="191"/>
      <c r="AF16" s="191"/>
      <c r="AG16" s="191"/>
      <c r="AH16" s="191"/>
      <c r="AI16" s="191"/>
      <c r="AJ16" s="191"/>
      <c r="AK16" s="191"/>
      <c r="AL16" s="191"/>
      <c r="AM16" s="191"/>
      <c r="AN16" s="191"/>
      <c r="AO16" s="191"/>
      <c r="AP16" s="191"/>
      <c r="AQ16" s="191"/>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N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305">
        <f>'Level Calculation Drone Survey'!$Z861</f>
        <v>263.07529999999991</v>
      </c>
      <c r="CP16" s="305">
        <f>'Level Calculation Drone Survey'!$Z861</f>
        <v>263.07529999999991</v>
      </c>
      <c r="CQ16" s="305">
        <f>'Level Calculation Drone Survey'!$Z861</f>
        <v>263.07529999999991</v>
      </c>
      <c r="CR16" s="305">
        <f>'Level Calculation Drone Survey'!$Z861</f>
        <v>263.07529999999991</v>
      </c>
      <c r="CS16" s="305">
        <f>'Level Calculation Drone Survey'!$Z861</f>
        <v>263.07529999999991</v>
      </c>
      <c r="CT16" s="305">
        <f>'Level Calculation Drone Survey'!$Z861</f>
        <v>263.07529999999991</v>
      </c>
      <c r="CU16" s="305">
        <f>'Level Calculation Drone Survey'!$Z861</f>
        <v>263.07529999999991</v>
      </c>
      <c r="CV16" s="191"/>
      <c r="CW16" s="191"/>
      <c r="CX16" s="191"/>
      <c r="CY16" s="191"/>
      <c r="CZ16" s="191"/>
      <c r="DA16" s="191"/>
      <c r="DB16" s="191"/>
      <c r="DC16" s="318">
        <f>'Level Calculation Drone Survey'!$Z843</f>
        <v>263.12529999999992</v>
      </c>
      <c r="DD16" s="318">
        <f>'Level Calculation Drone Survey'!$Z843</f>
        <v>263.12529999999992</v>
      </c>
      <c r="DE16" s="318">
        <f>'Level Calculation Drone Survey'!$Z843</f>
        <v>263.12529999999992</v>
      </c>
      <c r="DF16" s="318">
        <f>'Level Calculation Drone Survey'!$Z843</f>
        <v>263.12529999999992</v>
      </c>
      <c r="DG16" s="318">
        <f>'Level Calculation Drone Survey'!$Z843</f>
        <v>263.12529999999992</v>
      </c>
      <c r="DH16" s="318">
        <f>'Level Calculation Drone Survey'!$Z843</f>
        <v>263.12529999999992</v>
      </c>
      <c r="DI16" s="318">
        <f>'Level Calculation Drone Survey'!$Z843</f>
        <v>263.12529999999992</v>
      </c>
      <c r="DJ16" s="278">
        <v>264.1343</v>
      </c>
      <c r="DK16" s="191"/>
      <c r="DL16" s="191"/>
      <c r="DM16" s="191"/>
      <c r="DN16" s="191"/>
      <c r="DO16" s="191"/>
      <c r="DP16" s="191"/>
      <c r="DQ16" s="191"/>
      <c r="DR16" s="191"/>
      <c r="DS16" s="191"/>
      <c r="DT16" s="191"/>
      <c r="DU16" s="305">
        <f>'Level Calculation Drone Survey'!$Z831</f>
        <v>262.9548999999999</v>
      </c>
      <c r="DV16" s="305">
        <f>'Level Calculation Drone Survey'!$Z831</f>
        <v>262.9548999999999</v>
      </c>
      <c r="DW16" s="279">
        <f>'Level Calculation Drone Survey'!$Z9</f>
        <v>263.05489999999992</v>
      </c>
      <c r="DX16" s="279">
        <f>'Level Calculation Drone Survey'!$Z9</f>
        <v>263.05489999999992</v>
      </c>
      <c r="DY16" s="279">
        <f>'Level Calculation Drone Survey'!$Z9</f>
        <v>263.05489999999992</v>
      </c>
      <c r="DZ16" s="279">
        <f>'Level Calculation Drone Survey'!$Z9</f>
        <v>263.05489999999992</v>
      </c>
      <c r="EA16" s="279">
        <f>'Level Calculation Drone Survey'!$Z9</f>
        <v>263.05489999999992</v>
      </c>
      <c r="EB16" s="279">
        <f>'Level Calculation Drone Survey'!$Z9</f>
        <v>263.05489999999992</v>
      </c>
      <c r="EC16" s="279">
        <f>'Level Calculation Drone Survey'!$Z9</f>
        <v>263.05489999999992</v>
      </c>
      <c r="ED16" s="279">
        <f>'Level Calculation Drone Survey'!$Z9</f>
        <v>263.05489999999992</v>
      </c>
      <c r="EE16" s="279">
        <f>'Level Calculation Drone Survey'!$Z9</f>
        <v>263.05489999999992</v>
      </c>
      <c r="EF16" s="279">
        <f>'Level Calculation Drone Survey'!$Z9</f>
        <v>263.05489999999992</v>
      </c>
      <c r="EG16" s="279">
        <f>'Level Calculation Drone Survey'!$Z9</f>
        <v>263.05489999999992</v>
      </c>
      <c r="EH16" s="279">
        <f>'Level Calculation Drone Survey'!$Z9</f>
        <v>263.05489999999992</v>
      </c>
      <c r="EI16" s="279">
        <f>'Level Calculation Drone Survey'!$Z9</f>
        <v>263.05489999999992</v>
      </c>
      <c r="EJ16" s="279">
        <f>'Level Calculation Drone Survey'!$Z9</f>
        <v>263.05489999999992</v>
      </c>
      <c r="EK16" s="279">
        <f>'Level Calculation Drone Survey'!$Z9</f>
        <v>263.05489999999992</v>
      </c>
      <c r="EL16" s="279">
        <f>'Level Calculation Drone Survey'!$Z9</f>
        <v>263.05489999999992</v>
      </c>
      <c r="EM16" s="279">
        <f>'Level Calculation Drone Survey'!$Z9</f>
        <v>263.05489999999992</v>
      </c>
      <c r="EN16" s="318">
        <f>'Level Calculation Drone Survey'!$Z797</f>
        <v>263.00489999999991</v>
      </c>
      <c r="EO16" s="318">
        <f>'Level Calculation Drone Survey'!$Z797</f>
        <v>263.00489999999991</v>
      </c>
      <c r="EP16" s="318">
        <f>'Level Calculation Drone Survey'!$Z797</f>
        <v>263.00489999999991</v>
      </c>
      <c r="EQ16" s="318">
        <f>'Level Calculation Drone Survey'!$Z797</f>
        <v>263.00489999999991</v>
      </c>
      <c r="ER16" s="191"/>
      <c r="ES16" s="191"/>
      <c r="ET16" s="191"/>
      <c r="EU16" s="191"/>
      <c r="EV16" s="191"/>
      <c r="EW16" s="191"/>
      <c r="EX16" s="191"/>
      <c r="EY16" s="191"/>
    </row>
    <row r="17" spans="1:155" ht="45" customHeight="1" x14ac:dyDescent="0.45">
      <c r="A17" s="277">
        <v>80</v>
      </c>
      <c r="B17" s="191"/>
      <c r="C17" s="191"/>
      <c r="D17" s="191"/>
      <c r="E17" s="191"/>
      <c r="F17" s="191"/>
      <c r="G17" s="191"/>
      <c r="H17" s="191"/>
      <c r="I17" s="191"/>
      <c r="J17" s="191"/>
      <c r="K17" s="191"/>
      <c r="L17" s="191"/>
      <c r="M17" s="191"/>
      <c r="N17" s="191"/>
      <c r="O17" s="191"/>
      <c r="P17" s="191"/>
      <c r="Q17" s="191"/>
      <c r="R17" s="191"/>
      <c r="S17" s="191"/>
      <c r="T17" s="191"/>
      <c r="U17" s="191"/>
      <c r="V17" s="191"/>
      <c r="W17" s="191"/>
      <c r="X17" s="191"/>
      <c r="Y17" s="191"/>
      <c r="Z17" s="191"/>
      <c r="AA17" s="191"/>
      <c r="AB17" s="191"/>
      <c r="AC17" s="191"/>
      <c r="AD17" s="191"/>
      <c r="AE17" s="191"/>
      <c r="AF17" s="191"/>
      <c r="AG17" s="191"/>
      <c r="AH17" s="191"/>
      <c r="AI17" s="191"/>
      <c r="AJ17" s="191"/>
      <c r="AK17" s="191"/>
      <c r="AL17" s="191"/>
      <c r="AM17" s="191"/>
      <c r="AN17" s="191"/>
      <c r="AO17" s="191"/>
      <c r="AP17" s="191"/>
      <c r="AQ17" s="191"/>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N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305">
        <f>'Level Calculation Drone Survey'!$Z862</f>
        <v>263.07529999999991</v>
      </c>
      <c r="CO17" s="305">
        <f>'Level Calculation Drone Survey'!$Z862</f>
        <v>263.07529999999991</v>
      </c>
      <c r="CP17" s="305">
        <f>'Level Calculation Drone Survey'!$Z862</f>
        <v>263.07529999999991</v>
      </c>
      <c r="CQ17" s="305">
        <f>'Level Calculation Drone Survey'!$Z862</f>
        <v>263.07529999999991</v>
      </c>
      <c r="CR17" s="305">
        <f>'Level Calculation Drone Survey'!$Z862</f>
        <v>263.07529999999991</v>
      </c>
      <c r="CS17" s="305">
        <f>'Level Calculation Drone Survey'!$Z862</f>
        <v>263.07529999999991</v>
      </c>
      <c r="CT17" s="305">
        <f>'Level Calculation Drone Survey'!$Z862</f>
        <v>263.07529999999991</v>
      </c>
      <c r="CU17" s="305">
        <f>'Level Calculation Drone Survey'!$Z862</f>
        <v>263.07529999999991</v>
      </c>
      <c r="CV17" s="191"/>
      <c r="CW17" s="191"/>
      <c r="CX17" s="191"/>
      <c r="CY17" s="191"/>
      <c r="CZ17" s="191"/>
      <c r="DA17" s="191"/>
      <c r="DB17" s="191"/>
      <c r="DC17" s="318">
        <f>'Level Calculation Drone Survey'!$Z844</f>
        <v>263.12529999999992</v>
      </c>
      <c r="DD17" s="318">
        <f>'Level Calculation Drone Survey'!$Z844</f>
        <v>263.12529999999992</v>
      </c>
      <c r="DE17" s="318">
        <f>'Level Calculation Drone Survey'!$Z844</f>
        <v>263.12529999999992</v>
      </c>
      <c r="DF17" s="318">
        <f>'Level Calculation Drone Survey'!$Z844</f>
        <v>263.12529999999992</v>
      </c>
      <c r="DG17" s="318">
        <f>'Level Calculation Drone Survey'!$Z844</f>
        <v>263.12529999999992</v>
      </c>
      <c r="DH17" s="318">
        <f>'Level Calculation Drone Survey'!$Z844</f>
        <v>263.12529999999992</v>
      </c>
      <c r="DI17" s="318">
        <f>'Level Calculation Drone Survey'!$Z844</f>
        <v>263.12529999999992</v>
      </c>
      <c r="DJ17" s="313">
        <f>'Level Calculation Drone Survey'!$Z836</f>
        <v>262.84002222222216</v>
      </c>
      <c r="DK17" s="191"/>
      <c r="DL17" s="191"/>
      <c r="DM17" s="191"/>
      <c r="DN17" s="191"/>
      <c r="DO17" s="191"/>
      <c r="DP17" s="191"/>
      <c r="DQ17" s="191"/>
      <c r="DR17" s="191"/>
      <c r="DS17" s="191"/>
      <c r="DT17" s="191"/>
      <c r="DU17" s="305">
        <f>'Level Calculation Drone Survey'!$Z832</f>
        <v>262.90489999999988</v>
      </c>
      <c r="DV17" s="305">
        <f>'Level Calculation Drone Survey'!$Z832</f>
        <v>262.90489999999988</v>
      </c>
      <c r="DW17" s="279">
        <f>'Level Calculation Drone Survey'!$Z10</f>
        <v>263.00489999999991</v>
      </c>
      <c r="DX17" s="279">
        <f>'Level Calculation Drone Survey'!$Z10</f>
        <v>263.00489999999991</v>
      </c>
      <c r="DY17" s="279">
        <f>'Level Calculation Drone Survey'!$Z10</f>
        <v>263.00489999999991</v>
      </c>
      <c r="DZ17" s="279">
        <f>'Level Calculation Drone Survey'!$Z10</f>
        <v>263.00489999999991</v>
      </c>
      <c r="EA17" s="279">
        <f>'Level Calculation Drone Survey'!$Z10</f>
        <v>263.00489999999991</v>
      </c>
      <c r="EB17" s="279">
        <f>'Level Calculation Drone Survey'!$Z10</f>
        <v>263.00489999999991</v>
      </c>
      <c r="EC17" s="279">
        <f>'Level Calculation Drone Survey'!$Z10</f>
        <v>263.00489999999991</v>
      </c>
      <c r="ED17" s="279">
        <f>'Level Calculation Drone Survey'!$Z10</f>
        <v>263.00489999999991</v>
      </c>
      <c r="EE17" s="279">
        <f>'Level Calculation Drone Survey'!$Z10</f>
        <v>263.00489999999991</v>
      </c>
      <c r="EF17" s="279">
        <f>'Level Calculation Drone Survey'!$Z10</f>
        <v>263.00489999999991</v>
      </c>
      <c r="EG17" s="279">
        <f>'Level Calculation Drone Survey'!$Z10</f>
        <v>263.00489999999991</v>
      </c>
      <c r="EH17" s="279">
        <f>'Level Calculation Drone Survey'!$Z10</f>
        <v>263.00489999999991</v>
      </c>
      <c r="EI17" s="279">
        <f>'Level Calculation Drone Survey'!$Z10</f>
        <v>263.00489999999991</v>
      </c>
      <c r="EJ17" s="279">
        <f>'Level Calculation Drone Survey'!$Z10</f>
        <v>263.00489999999991</v>
      </c>
      <c r="EK17" s="279">
        <f>'Level Calculation Drone Survey'!$Z10</f>
        <v>263.00489999999991</v>
      </c>
      <c r="EL17" s="279">
        <f>'Level Calculation Drone Survey'!$Z10</f>
        <v>263.00489999999991</v>
      </c>
      <c r="EM17" s="279">
        <f>'Level Calculation Drone Survey'!$Z10</f>
        <v>263.00489999999991</v>
      </c>
      <c r="EN17" s="318">
        <f>'Level Calculation Drone Survey'!$Z798</f>
        <v>262.9548999999999</v>
      </c>
      <c r="EO17" s="318">
        <f>'Level Calculation Drone Survey'!$Z798</f>
        <v>262.9548999999999</v>
      </c>
      <c r="EP17" s="318">
        <f>'Level Calculation Drone Survey'!$Z798</f>
        <v>262.9548999999999</v>
      </c>
      <c r="EQ17" s="318">
        <f>'Level Calculation Drone Survey'!$Z798</f>
        <v>262.9548999999999</v>
      </c>
      <c r="ER17" s="191"/>
      <c r="ES17" s="191"/>
      <c r="ET17" s="191"/>
      <c r="EU17" s="191"/>
      <c r="EV17" s="191"/>
      <c r="EW17" s="191"/>
      <c r="EX17" s="191"/>
      <c r="EY17" s="191"/>
    </row>
    <row r="18" spans="1:155" ht="45" customHeight="1" x14ac:dyDescent="0.45">
      <c r="A18" s="277">
        <v>85</v>
      </c>
      <c r="B18" s="191"/>
      <c r="C18" s="191"/>
      <c r="D18" s="191"/>
      <c r="E18" s="191"/>
      <c r="F18" s="191"/>
      <c r="G18" s="191"/>
      <c r="H18" s="191"/>
      <c r="I18" s="191"/>
      <c r="J18" s="191"/>
      <c r="K18" s="191"/>
      <c r="L18" s="191"/>
      <c r="M18" s="191"/>
      <c r="N18" s="191"/>
      <c r="O18" s="191"/>
      <c r="P18" s="191"/>
      <c r="Q18" s="191"/>
      <c r="R18" s="191"/>
      <c r="S18" s="191"/>
      <c r="T18" s="191"/>
      <c r="U18" s="191"/>
      <c r="V18" s="191"/>
      <c r="W18" s="191"/>
      <c r="X18" s="191"/>
      <c r="Y18" s="191"/>
      <c r="Z18" s="191"/>
      <c r="AA18" s="191"/>
      <c r="AB18" s="191"/>
      <c r="AC18" s="191"/>
      <c r="AD18" s="191"/>
      <c r="AE18" s="191"/>
      <c r="AF18" s="191"/>
      <c r="AG18" s="191"/>
      <c r="AH18" s="191"/>
      <c r="AI18" s="191"/>
      <c r="AJ18" s="191"/>
      <c r="AK18" s="191"/>
      <c r="AL18" s="191"/>
      <c r="AM18" s="191"/>
      <c r="AN18" s="191"/>
      <c r="AO18" s="191"/>
      <c r="AP18" s="191"/>
      <c r="AQ18" s="191"/>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N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305">
        <f>'Level Calculation Drone Survey'!$Z863</f>
        <v>263.07529999999991</v>
      </c>
      <c r="CN18" s="305">
        <f>'Level Calculation Drone Survey'!$Z863</f>
        <v>263.07529999999991</v>
      </c>
      <c r="CO18" s="305">
        <f>'Level Calculation Drone Survey'!$Z863</f>
        <v>263.07529999999991</v>
      </c>
      <c r="CP18" s="305">
        <f>'Level Calculation Drone Survey'!$Z863</f>
        <v>263.07529999999991</v>
      </c>
      <c r="CQ18" s="305">
        <f>'Level Calculation Drone Survey'!$Z863</f>
        <v>263.07529999999991</v>
      </c>
      <c r="CR18" s="305">
        <f>'Level Calculation Drone Survey'!$Z863</f>
        <v>263.07529999999991</v>
      </c>
      <c r="CS18" s="305">
        <f>'Level Calculation Drone Survey'!$Z863</f>
        <v>263.07529999999991</v>
      </c>
      <c r="CT18" s="278">
        <v>264.14609999999999</v>
      </c>
      <c r="CU18" s="191"/>
      <c r="CV18" s="191"/>
      <c r="CW18" s="191"/>
      <c r="CX18" s="191"/>
      <c r="CY18" s="191"/>
      <c r="CZ18" s="191"/>
      <c r="DA18" s="191"/>
      <c r="DB18" s="191"/>
      <c r="DC18" s="318">
        <f>'Level Calculation Drone Survey'!$Z845</f>
        <v>263.12529999999992</v>
      </c>
      <c r="DD18" s="318">
        <f>'Level Calculation Drone Survey'!$Z845</f>
        <v>263.12529999999992</v>
      </c>
      <c r="DE18" s="318">
        <f>'Level Calculation Drone Survey'!$Z845</f>
        <v>263.12529999999992</v>
      </c>
      <c r="DF18" s="318">
        <f>'Level Calculation Drone Survey'!$Z845</f>
        <v>263.12529999999992</v>
      </c>
      <c r="DG18" s="318">
        <f>'Level Calculation Drone Survey'!$Z845</f>
        <v>263.12529999999992</v>
      </c>
      <c r="DH18" s="318">
        <f>'Level Calculation Drone Survey'!$Z845</f>
        <v>263.12529999999992</v>
      </c>
      <c r="DI18" s="318">
        <f>'Level Calculation Drone Survey'!$Z845</f>
        <v>263.12529999999992</v>
      </c>
      <c r="DJ18" s="313">
        <f>'Level Calculation Drone Survey'!$Z837</f>
        <v>262.84002222222216</v>
      </c>
      <c r="DK18" s="313">
        <f>'Level Calculation Drone Survey'!$Z837</f>
        <v>262.84002222222216</v>
      </c>
      <c r="DL18" s="191"/>
      <c r="DM18" s="191"/>
      <c r="DN18" s="191"/>
      <c r="DO18" s="191"/>
      <c r="DP18" s="191"/>
      <c r="DQ18" s="191"/>
      <c r="DR18" s="191"/>
      <c r="DS18" s="191"/>
      <c r="DT18" s="191"/>
      <c r="DU18" s="305">
        <f>'Level Calculation Drone Survey'!$Z833</f>
        <v>262.85489999999987</v>
      </c>
      <c r="DV18" s="305">
        <f>'Level Calculation Drone Survey'!$Z833</f>
        <v>262.85489999999987</v>
      </c>
      <c r="DW18" s="279">
        <f>'Level Calculation Drone Survey'!$Z11</f>
        <v>262.9548999999999</v>
      </c>
      <c r="DX18" s="279">
        <f>'Level Calculation Drone Survey'!$Z11</f>
        <v>262.9548999999999</v>
      </c>
      <c r="DY18" s="279">
        <f>'Level Calculation Drone Survey'!$Z11</f>
        <v>262.9548999999999</v>
      </c>
      <c r="DZ18" s="279">
        <f>'Level Calculation Drone Survey'!$Z11</f>
        <v>262.9548999999999</v>
      </c>
      <c r="EA18" s="279">
        <f>'Level Calculation Drone Survey'!$Z11</f>
        <v>262.9548999999999</v>
      </c>
      <c r="EB18" s="279">
        <f>'Level Calculation Drone Survey'!$Z11</f>
        <v>262.9548999999999</v>
      </c>
      <c r="EC18" s="279">
        <f>'Level Calculation Drone Survey'!$Z11</f>
        <v>262.9548999999999</v>
      </c>
      <c r="ED18" s="279">
        <f>'Level Calculation Drone Survey'!$Z11</f>
        <v>262.9548999999999</v>
      </c>
      <c r="EE18" s="279">
        <f>'Level Calculation Drone Survey'!$Z11</f>
        <v>262.9548999999999</v>
      </c>
      <c r="EF18" s="279">
        <f>'Level Calculation Drone Survey'!$Z11</f>
        <v>262.9548999999999</v>
      </c>
      <c r="EG18" s="279">
        <f>'Level Calculation Drone Survey'!$Z11</f>
        <v>262.9548999999999</v>
      </c>
      <c r="EH18" s="279">
        <f>'Level Calculation Drone Survey'!$Z11</f>
        <v>262.9548999999999</v>
      </c>
      <c r="EI18" s="279">
        <f>'Level Calculation Drone Survey'!$Z11</f>
        <v>262.9548999999999</v>
      </c>
      <c r="EJ18" s="279">
        <f>'Level Calculation Drone Survey'!$Z11</f>
        <v>262.9548999999999</v>
      </c>
      <c r="EK18" s="279">
        <f>'Level Calculation Drone Survey'!$Z11</f>
        <v>262.9548999999999</v>
      </c>
      <c r="EL18" s="279">
        <f>'Level Calculation Drone Survey'!$Z11</f>
        <v>262.9548999999999</v>
      </c>
      <c r="EM18" s="279">
        <f>'Level Calculation Drone Survey'!$Z11</f>
        <v>262.9548999999999</v>
      </c>
      <c r="EN18" s="318">
        <f>'Level Calculation Drone Survey'!$Z799</f>
        <v>262.90489999999988</v>
      </c>
      <c r="EO18" s="318">
        <f>'Level Calculation Drone Survey'!$Z799</f>
        <v>262.90489999999988</v>
      </c>
      <c r="EP18" s="318">
        <f>'Level Calculation Drone Survey'!$Z799</f>
        <v>262.90489999999988</v>
      </c>
      <c r="EQ18" s="318">
        <f>'Level Calculation Drone Survey'!$Z799</f>
        <v>262.90489999999988</v>
      </c>
      <c r="ER18" s="191"/>
      <c r="ES18" s="191"/>
      <c r="ET18" s="191"/>
      <c r="EU18" s="191"/>
      <c r="EV18" s="191"/>
      <c r="EW18" s="191"/>
      <c r="EX18" s="191"/>
      <c r="EY18" s="191"/>
    </row>
    <row r="19" spans="1:155" ht="45" customHeight="1" x14ac:dyDescent="0.45">
      <c r="A19" s="277">
        <v>90</v>
      </c>
      <c r="B19" s="191"/>
      <c r="C19" s="191"/>
      <c r="D19" s="191"/>
      <c r="E19" s="191"/>
      <c r="F19" s="191"/>
      <c r="G19" s="191"/>
      <c r="H19" s="191"/>
      <c r="I19" s="191"/>
      <c r="J19" s="191"/>
      <c r="K19" s="191"/>
      <c r="L19" s="191"/>
      <c r="M19" s="191"/>
      <c r="N19" s="191"/>
      <c r="O19" s="191"/>
      <c r="P19" s="191"/>
      <c r="Q19" s="191"/>
      <c r="R19" s="191"/>
      <c r="S19" s="191"/>
      <c r="T19" s="191"/>
      <c r="U19" s="191"/>
      <c r="V19" s="191"/>
      <c r="W19" s="191"/>
      <c r="X19" s="191"/>
      <c r="Y19" s="191"/>
      <c r="Z19" s="191"/>
      <c r="AA19" s="191"/>
      <c r="AB19" s="191"/>
      <c r="AC19" s="191"/>
      <c r="AD19" s="191"/>
      <c r="AE19" s="191"/>
      <c r="AF19" s="191"/>
      <c r="AG19" s="191"/>
      <c r="AH19" s="191"/>
      <c r="AI19" s="191"/>
      <c r="AJ19" s="191"/>
      <c r="AK19" s="191"/>
      <c r="AL19" s="191"/>
      <c r="AM19" s="191"/>
      <c r="AN19" s="191"/>
      <c r="AO19" s="191"/>
      <c r="AP19" s="191"/>
      <c r="AQ19" s="191"/>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N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305">
        <f>'Level Calculation Drone Survey'!$Z864</f>
        <v>263.07529999999991</v>
      </c>
      <c r="CM19" s="305">
        <f>'Level Calculation Drone Survey'!$Z864</f>
        <v>263.07529999999991</v>
      </c>
      <c r="CN19" s="305">
        <f>'Level Calculation Drone Survey'!$Z864</f>
        <v>263.07529999999991</v>
      </c>
      <c r="CO19" s="305">
        <f>'Level Calculation Drone Survey'!$Z864</f>
        <v>263.07529999999991</v>
      </c>
      <c r="CP19" s="305">
        <f>'Level Calculation Drone Survey'!$Z864</f>
        <v>263.07529999999991</v>
      </c>
      <c r="CQ19" s="305">
        <f>'Level Calculation Drone Survey'!$Z864</f>
        <v>263.07529999999991</v>
      </c>
      <c r="CR19" s="305">
        <f>'Level Calculation Drone Survey'!$Z864</f>
        <v>263.07529999999991</v>
      </c>
      <c r="CS19" s="305">
        <f>'Level Calculation Drone Survey'!$Z864</f>
        <v>263.07529999999991</v>
      </c>
      <c r="CT19" s="278">
        <v>264.14550000000003</v>
      </c>
      <c r="CU19" s="191"/>
      <c r="CV19" s="191"/>
      <c r="CW19" s="191"/>
      <c r="CX19" s="191"/>
      <c r="CY19" s="191"/>
      <c r="CZ19" s="191"/>
      <c r="DA19" s="191"/>
      <c r="DB19" s="191"/>
      <c r="DC19" s="318">
        <f>'Level Calculation Drone Survey'!$Z846</f>
        <v>263.12529999999992</v>
      </c>
      <c r="DD19" s="318">
        <f>'Level Calculation Drone Survey'!$Z846</f>
        <v>263.12529999999992</v>
      </c>
      <c r="DE19" s="318">
        <f>'Level Calculation Drone Survey'!$Z846</f>
        <v>263.12529999999992</v>
      </c>
      <c r="DF19" s="318">
        <f>'Level Calculation Drone Survey'!$Z846</f>
        <v>263.12529999999992</v>
      </c>
      <c r="DG19" s="318">
        <f>'Level Calculation Drone Survey'!$Z846</f>
        <v>263.12529999999992</v>
      </c>
      <c r="DH19" s="318">
        <f>'Level Calculation Drone Survey'!$Z846</f>
        <v>263.12529999999992</v>
      </c>
      <c r="DI19" s="318">
        <f>'Level Calculation Drone Survey'!$Z846</f>
        <v>263.12529999999992</v>
      </c>
      <c r="DJ19" s="313">
        <f>'Level Calculation Drone Survey'!$Z838</f>
        <v>262.84002222222216</v>
      </c>
      <c r="DK19" s="313">
        <f>'Level Calculation Drone Survey'!$Z838</f>
        <v>262.84002222222216</v>
      </c>
      <c r="DL19" s="313">
        <f>'Level Calculation Drone Survey'!$Z838</f>
        <v>262.84002222222216</v>
      </c>
      <c r="DM19" s="313">
        <f>'Level Calculation Drone Survey'!$Z838</f>
        <v>262.84002222222216</v>
      </c>
      <c r="DN19" s="313">
        <f>'Level Calculation Drone Survey'!$Z838</f>
        <v>262.84002222222216</v>
      </c>
      <c r="DO19" s="313">
        <f>'Level Calculation Drone Survey'!$Z838</f>
        <v>262.84002222222216</v>
      </c>
      <c r="DP19" s="313">
        <f>'Level Calculation Drone Survey'!$Z838</f>
        <v>262.84002222222216</v>
      </c>
      <c r="DQ19" s="313">
        <f>'Level Calculation Drone Survey'!$Z838</f>
        <v>262.84002222222216</v>
      </c>
      <c r="DR19" s="313">
        <f>'Level Calculation Drone Survey'!$Z838</f>
        <v>262.84002222222216</v>
      </c>
      <c r="DS19" s="191"/>
      <c r="DT19" s="191"/>
      <c r="DU19" s="305">
        <f>DU18</f>
        <v>262.85489999999987</v>
      </c>
      <c r="DV19" s="305">
        <f>DV18</f>
        <v>262.85489999999987</v>
      </c>
      <c r="DW19" s="279">
        <f>'Level Calculation Drone Survey'!$Z12</f>
        <v>262.90489999999988</v>
      </c>
      <c r="DX19" s="279">
        <f>'Level Calculation Drone Survey'!$Z12</f>
        <v>262.90489999999988</v>
      </c>
      <c r="DY19" s="279">
        <f>'Level Calculation Drone Survey'!$Z12</f>
        <v>262.90489999999988</v>
      </c>
      <c r="DZ19" s="279">
        <f>'Level Calculation Drone Survey'!$Z12</f>
        <v>262.90489999999988</v>
      </c>
      <c r="EA19" s="279">
        <f>'Level Calculation Drone Survey'!$Z12</f>
        <v>262.90489999999988</v>
      </c>
      <c r="EB19" s="279">
        <f>'Level Calculation Drone Survey'!$Z12</f>
        <v>262.90489999999988</v>
      </c>
      <c r="EC19" s="279">
        <f>'Level Calculation Drone Survey'!$Z12</f>
        <v>262.90489999999988</v>
      </c>
      <c r="ED19" s="279">
        <f>'Level Calculation Drone Survey'!$Z12</f>
        <v>262.90489999999988</v>
      </c>
      <c r="EE19" s="279">
        <f>'Level Calculation Drone Survey'!$Z12</f>
        <v>262.90489999999988</v>
      </c>
      <c r="EF19" s="279">
        <f>'Level Calculation Drone Survey'!$Z12</f>
        <v>262.90489999999988</v>
      </c>
      <c r="EG19" s="279">
        <f>'Level Calculation Drone Survey'!$Z12</f>
        <v>262.90489999999988</v>
      </c>
      <c r="EH19" s="279">
        <f>'Level Calculation Drone Survey'!$Z12</f>
        <v>262.90489999999988</v>
      </c>
      <c r="EI19" s="279">
        <f>'Level Calculation Drone Survey'!$Z12</f>
        <v>262.90489999999988</v>
      </c>
      <c r="EJ19" s="279">
        <f>'Level Calculation Drone Survey'!$Z12</f>
        <v>262.90489999999988</v>
      </c>
      <c r="EK19" s="279">
        <f>'Level Calculation Drone Survey'!$Z12</f>
        <v>262.90489999999988</v>
      </c>
      <c r="EL19" s="279">
        <f>'Level Calculation Drone Survey'!$Z12</f>
        <v>262.90489999999988</v>
      </c>
      <c r="EM19" s="279">
        <f>'Level Calculation Drone Survey'!$Z12</f>
        <v>262.90489999999988</v>
      </c>
      <c r="EN19" s="318">
        <f>'Level Calculation Drone Survey'!$Z800</f>
        <v>262.85489999999987</v>
      </c>
      <c r="EO19" s="318">
        <f>'Level Calculation Drone Survey'!$Z800</f>
        <v>262.85489999999987</v>
      </c>
      <c r="EP19" s="318">
        <f>'Level Calculation Drone Survey'!$Z800</f>
        <v>262.85489999999987</v>
      </c>
      <c r="EQ19" s="318">
        <f>'Level Calculation Drone Survey'!$Z800</f>
        <v>262.85489999999987</v>
      </c>
      <c r="ER19" s="318">
        <f>'Level Calculation Drone Survey'!$Z800</f>
        <v>262.85489999999987</v>
      </c>
      <c r="ES19" s="191"/>
      <c r="ET19" s="191"/>
      <c r="EU19" s="191"/>
      <c r="EV19" s="191"/>
      <c r="EW19" s="191"/>
      <c r="EX19" s="191"/>
      <c r="EY19" s="191"/>
    </row>
    <row r="20" spans="1:155" ht="45" customHeight="1" x14ac:dyDescent="0.45">
      <c r="A20" s="277">
        <v>95</v>
      </c>
      <c r="B20" s="191"/>
      <c r="C20" s="191"/>
      <c r="D20" s="191"/>
      <c r="E20" s="191"/>
      <c r="F20" s="191"/>
      <c r="G20" s="191"/>
      <c r="H20" s="191"/>
      <c r="I20" s="191"/>
      <c r="J20" s="191"/>
      <c r="K20" s="191"/>
      <c r="L20" s="191"/>
      <c r="M20" s="191"/>
      <c r="N20" s="191"/>
      <c r="O20" s="191"/>
      <c r="P20" s="191"/>
      <c r="Q20" s="191"/>
      <c r="R20" s="191"/>
      <c r="S20" s="191"/>
      <c r="T20" s="191"/>
      <c r="U20" s="191"/>
      <c r="V20" s="191"/>
      <c r="W20" s="191"/>
      <c r="X20" s="191"/>
      <c r="Y20" s="191"/>
      <c r="Z20" s="191"/>
      <c r="AA20" s="191"/>
      <c r="AB20" s="191"/>
      <c r="AC20" s="191"/>
      <c r="AD20" s="191"/>
      <c r="AE20" s="191"/>
      <c r="AF20" s="191"/>
      <c r="AG20" s="191"/>
      <c r="AH20" s="191"/>
      <c r="AI20" s="191"/>
      <c r="AJ20" s="191"/>
      <c r="AK20" s="191"/>
      <c r="AL20" s="191"/>
      <c r="AM20" s="191"/>
      <c r="AN20" s="191"/>
      <c r="AO20" s="191"/>
      <c r="AP20" s="191"/>
      <c r="AQ20" s="191"/>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N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305">
        <f>'Level Calculation Drone Survey'!$Z865</f>
        <v>263.07529999999991</v>
      </c>
      <c r="CK20" s="305">
        <f>'Level Calculation Drone Survey'!$Z865</f>
        <v>263.07529999999991</v>
      </c>
      <c r="CL20" s="305">
        <f>'Level Calculation Drone Survey'!$Z865</f>
        <v>263.07529999999991</v>
      </c>
      <c r="CM20" s="305">
        <f>'Level Calculation Drone Survey'!$Z865</f>
        <v>263.07529999999991</v>
      </c>
      <c r="CN20" s="305">
        <f>'Level Calculation Drone Survey'!$Z865</f>
        <v>263.07529999999991</v>
      </c>
      <c r="CO20" s="305">
        <f>'Level Calculation Drone Survey'!$Z865</f>
        <v>263.07529999999991</v>
      </c>
      <c r="CP20" s="305">
        <f>'Level Calculation Drone Survey'!$Z865</f>
        <v>263.07529999999991</v>
      </c>
      <c r="CQ20" s="305">
        <f>'Level Calculation Drone Survey'!$Z865</f>
        <v>263.07529999999991</v>
      </c>
      <c r="CR20" s="305">
        <f>'Level Calculation Drone Survey'!$Z865</f>
        <v>263.07529999999991</v>
      </c>
      <c r="CS20" s="305">
        <f>'Level Calculation Drone Survey'!$Z865</f>
        <v>263.07529999999991</v>
      </c>
      <c r="CT20" s="278">
        <v>264.19009999999997</v>
      </c>
      <c r="CU20" s="191"/>
      <c r="CV20" s="191"/>
      <c r="CW20" s="191"/>
      <c r="CX20" s="191"/>
      <c r="CY20" s="191"/>
      <c r="CZ20" s="191"/>
      <c r="DA20" s="191"/>
      <c r="DB20" s="318">
        <f>'Level Calculation Drone Survey'!$Z847</f>
        <v>263.12529999999992</v>
      </c>
      <c r="DC20" s="318">
        <f>'Level Calculation Drone Survey'!$Z847</f>
        <v>263.12529999999992</v>
      </c>
      <c r="DD20" s="318">
        <f>'Level Calculation Drone Survey'!$Z847</f>
        <v>263.12529999999992</v>
      </c>
      <c r="DE20" s="318">
        <f>'Level Calculation Drone Survey'!$Z847</f>
        <v>263.12529999999992</v>
      </c>
      <c r="DF20" s="318">
        <f>'Level Calculation Drone Survey'!$Z847</f>
        <v>263.12529999999992</v>
      </c>
      <c r="DG20" s="318">
        <f>'Level Calculation Drone Survey'!$Z847</f>
        <v>263.12529999999992</v>
      </c>
      <c r="DH20" s="318">
        <f>'Level Calculation Drone Survey'!$Z847</f>
        <v>263.12529999999992</v>
      </c>
      <c r="DI20" s="318">
        <f>'Level Calculation Drone Survey'!$Z847</f>
        <v>263.12529999999992</v>
      </c>
      <c r="DJ20" s="313">
        <f>'Level Calculation Drone Survey'!$Z839</f>
        <v>262.84002222222216</v>
      </c>
      <c r="DK20" s="313">
        <f>'Level Calculation Drone Survey'!$Z839</f>
        <v>262.84002222222216</v>
      </c>
      <c r="DL20" s="313">
        <f>'Level Calculation Drone Survey'!$Z839</f>
        <v>262.84002222222216</v>
      </c>
      <c r="DM20" s="313">
        <f>'Level Calculation Drone Survey'!$Z839</f>
        <v>262.84002222222216</v>
      </c>
      <c r="DN20" s="313">
        <f>'Level Calculation Drone Survey'!$Z839</f>
        <v>262.84002222222216</v>
      </c>
      <c r="DO20" s="313">
        <f>'Level Calculation Drone Survey'!$Z839</f>
        <v>262.84002222222216</v>
      </c>
      <c r="DP20" s="313">
        <f>'Level Calculation Drone Survey'!$Z839</f>
        <v>262.84002222222216</v>
      </c>
      <c r="DQ20" s="313">
        <f>'Level Calculation Drone Survey'!$Z839</f>
        <v>262.84002222222216</v>
      </c>
      <c r="DR20" s="313">
        <f>'Level Calculation Drone Survey'!$Z839</f>
        <v>262.84002222222216</v>
      </c>
      <c r="DS20" s="313">
        <f>'Level Calculation Drone Survey'!$Z839</f>
        <v>262.84002222222216</v>
      </c>
      <c r="DT20" s="313">
        <f>'Level Calculation Drone Survey'!$Z839</f>
        <v>262.84002222222216</v>
      </c>
      <c r="DU20" s="313">
        <f>'Level Calculation Drone Survey'!$Z839</f>
        <v>262.84002222222216</v>
      </c>
      <c r="DV20" s="313">
        <f>'Level Calculation Drone Survey'!$Z839</f>
        <v>262.84002222222216</v>
      </c>
      <c r="DW20" s="313">
        <f>'Level Calculation Drone Survey'!$Z839</f>
        <v>262.84002222222216</v>
      </c>
      <c r="DX20" s="313">
        <f>'Level Calculation Drone Survey'!$Z839</f>
        <v>262.84002222222216</v>
      </c>
      <c r="DY20" s="313">
        <f>'Level Calculation Drone Survey'!$Z839</f>
        <v>262.84002222222216</v>
      </c>
      <c r="DZ20" s="313">
        <f>'Level Calculation Drone Survey'!$Z839</f>
        <v>262.84002222222216</v>
      </c>
      <c r="EA20" s="313">
        <f>'Level Calculation Drone Survey'!$Z839</f>
        <v>262.84002222222216</v>
      </c>
      <c r="EB20" s="313">
        <f>'Level Calculation Drone Survey'!$Z839</f>
        <v>262.84002222222216</v>
      </c>
      <c r="EC20" s="305">
        <f>'Level Calculation Drone Survey'!$Z807</f>
        <v>262.80489999999986</v>
      </c>
      <c r="ED20" s="305">
        <f>'Level Calculation Drone Survey'!$Z807</f>
        <v>262.80489999999986</v>
      </c>
      <c r="EE20" s="305">
        <f>'Level Calculation Drone Survey'!$Z807</f>
        <v>262.80489999999986</v>
      </c>
      <c r="EF20" s="305">
        <f>'Level Calculation Drone Survey'!$Z807</f>
        <v>262.80489999999986</v>
      </c>
      <c r="EG20" s="305">
        <f>'Level Calculation Drone Survey'!$Z807</f>
        <v>262.80489999999986</v>
      </c>
      <c r="EH20" s="305">
        <f>'Level Calculation Drone Survey'!$Z807</f>
        <v>262.80489999999986</v>
      </c>
      <c r="EI20" s="305">
        <f>'Level Calculation Drone Survey'!$Z807</f>
        <v>262.80489999999986</v>
      </c>
      <c r="EJ20" s="305">
        <f>'Level Calculation Drone Survey'!$Z807</f>
        <v>262.80489999999986</v>
      </c>
      <c r="EK20" s="305">
        <f>'Level Calculation Drone Survey'!$Z807</f>
        <v>262.80489999999986</v>
      </c>
      <c r="EL20" s="305">
        <f>'Level Calculation Drone Survey'!$Z807</f>
        <v>262.80489999999986</v>
      </c>
      <c r="EM20" s="305">
        <f>'Level Calculation Drone Survey'!$Z807</f>
        <v>262.80489999999986</v>
      </c>
      <c r="EN20" s="318">
        <f>'Level Calculation Drone Survey'!$Z801</f>
        <v>262.85489999999987</v>
      </c>
      <c r="EO20" s="318">
        <f>'Level Calculation Drone Survey'!$Z801</f>
        <v>262.85489999999987</v>
      </c>
      <c r="EP20" s="318">
        <f>'Level Calculation Drone Survey'!$Z801</f>
        <v>262.85489999999987</v>
      </c>
      <c r="EQ20" s="318">
        <f>'Level Calculation Drone Survey'!$Z801</f>
        <v>262.85489999999987</v>
      </c>
      <c r="ER20" s="318">
        <f>'Level Calculation Drone Survey'!$Z801</f>
        <v>262.85489999999987</v>
      </c>
      <c r="ES20" s="318">
        <f>'Level Calculation Drone Survey'!$Z801</f>
        <v>262.85489999999987</v>
      </c>
      <c r="ET20" s="318">
        <f>'Level Calculation Drone Survey'!$Z801</f>
        <v>262.85489999999987</v>
      </c>
      <c r="EU20" s="318">
        <f>'Level Calculation Drone Survey'!$Z801</f>
        <v>262.85489999999987</v>
      </c>
      <c r="EV20" s="191"/>
      <c r="EW20" s="191"/>
      <c r="EX20" s="191"/>
      <c r="EY20" s="191"/>
    </row>
    <row r="21" spans="1:155" ht="45" customHeight="1" x14ac:dyDescent="0.45">
      <c r="A21" s="277">
        <v>100</v>
      </c>
      <c r="B21" s="191"/>
      <c r="C21" s="191"/>
      <c r="D21" s="191"/>
      <c r="E21" s="191"/>
      <c r="F21" s="191"/>
      <c r="G21" s="191"/>
      <c r="H21" s="191"/>
      <c r="I21" s="191"/>
      <c r="J21" s="191"/>
      <c r="K21" s="191"/>
      <c r="L21" s="191"/>
      <c r="M21" s="191"/>
      <c r="N21" s="191"/>
      <c r="O21" s="191"/>
      <c r="P21" s="191"/>
      <c r="Q21" s="191"/>
      <c r="R21" s="191"/>
      <c r="S21" s="191"/>
      <c r="T21" s="191"/>
      <c r="U21" s="191"/>
      <c r="V21" s="191"/>
      <c r="W21" s="191"/>
      <c r="X21" s="191"/>
      <c r="Y21" s="191"/>
      <c r="Z21" s="191"/>
      <c r="AA21" s="191"/>
      <c r="AB21" s="191"/>
      <c r="AC21" s="191"/>
      <c r="AD21" s="191"/>
      <c r="AE21" s="191"/>
      <c r="AF21" s="191"/>
      <c r="AG21" s="191"/>
      <c r="AH21" s="191"/>
      <c r="AI21" s="191"/>
      <c r="AJ21" s="191"/>
      <c r="AK21" s="191"/>
      <c r="AL21" s="191"/>
      <c r="AM21" s="191"/>
      <c r="AN21" s="191"/>
      <c r="AO21" s="191"/>
      <c r="AP21" s="191"/>
      <c r="AQ21" s="191"/>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N21" s="191"/>
      <c r="BO21" s="191"/>
      <c r="BP21" s="191"/>
      <c r="BQ21" s="191"/>
      <c r="BR21" s="191"/>
      <c r="BS21" s="191"/>
      <c r="BT21" s="191"/>
      <c r="BU21" s="191"/>
      <c r="BV21" s="191"/>
      <c r="BW21" s="191"/>
      <c r="BX21" s="191"/>
      <c r="BY21" s="191"/>
      <c r="BZ21" s="191"/>
      <c r="CA21" s="191"/>
      <c r="CB21" s="191"/>
      <c r="CC21" s="191"/>
      <c r="CD21" s="191"/>
      <c r="CE21" s="191"/>
      <c r="CF21" s="191"/>
      <c r="CG21" s="191"/>
      <c r="CH21" s="191"/>
      <c r="CI21" s="305">
        <f>'Level Calculation Drone Survey'!$Z866</f>
        <v>263.07529999999991</v>
      </c>
      <c r="CJ21" s="305">
        <f>'Level Calculation Drone Survey'!$Z866</f>
        <v>263.07529999999991</v>
      </c>
      <c r="CK21" s="305">
        <f>'Level Calculation Drone Survey'!$Z866</f>
        <v>263.07529999999991</v>
      </c>
      <c r="CL21" s="305">
        <f>'Level Calculation Drone Survey'!$Z866</f>
        <v>263.07529999999991</v>
      </c>
      <c r="CM21" s="305">
        <f>'Level Calculation Drone Survey'!$Z866</f>
        <v>263.07529999999991</v>
      </c>
      <c r="CN21" s="305">
        <f>'Level Calculation Drone Survey'!$Z866</f>
        <v>263.07529999999991</v>
      </c>
      <c r="CO21" s="305">
        <f>'Level Calculation Drone Survey'!$Z866</f>
        <v>263.07529999999991</v>
      </c>
      <c r="CP21" s="305">
        <f>'Level Calculation Drone Survey'!$Z866</f>
        <v>263.07529999999991</v>
      </c>
      <c r="CQ21" s="305">
        <f>'Level Calculation Drone Survey'!$Z866</f>
        <v>263.07529999999991</v>
      </c>
      <c r="CR21" s="305">
        <f>'Level Calculation Drone Survey'!$Z866</f>
        <v>263.07529999999991</v>
      </c>
      <c r="CS21" s="305">
        <f>'Level Calculation Drone Survey'!$Z866</f>
        <v>263.07529999999991</v>
      </c>
      <c r="CT21" s="278">
        <v>264.46089999999998</v>
      </c>
      <c r="CU21" s="191"/>
      <c r="CV21" s="191"/>
      <c r="CW21" s="191"/>
      <c r="CX21" s="191"/>
      <c r="CY21" s="191"/>
      <c r="CZ21" s="191"/>
      <c r="DA21" s="191"/>
      <c r="DB21" s="318">
        <f>'Level Calculation Drone Survey'!$Z848</f>
        <v>263.12529999999992</v>
      </c>
      <c r="DC21" s="318">
        <f>'Level Calculation Drone Survey'!$Z848</f>
        <v>263.12529999999992</v>
      </c>
      <c r="DD21" s="318">
        <f>'Level Calculation Drone Survey'!$Z848</f>
        <v>263.12529999999992</v>
      </c>
      <c r="DE21" s="318">
        <f>'Level Calculation Drone Survey'!$Z848</f>
        <v>263.12529999999992</v>
      </c>
      <c r="DF21" s="318">
        <f>'Level Calculation Drone Survey'!$Z848</f>
        <v>263.12529999999992</v>
      </c>
      <c r="DG21" s="318">
        <f>'Level Calculation Drone Survey'!$Z848</f>
        <v>263.12529999999992</v>
      </c>
      <c r="DH21" s="318">
        <f>'Level Calculation Drone Survey'!$Z848</f>
        <v>263.12529999999992</v>
      </c>
      <c r="DI21" s="318">
        <f>'Level Calculation Drone Survey'!$Z848</f>
        <v>263.12529999999992</v>
      </c>
      <c r="DJ21" s="279">
        <f>'Level Calculation Drone Survey'!$Z46</f>
        <v>263.14002222222217</v>
      </c>
      <c r="DK21" s="279">
        <f>'Level Calculation Drone Survey'!$Z46</f>
        <v>263.14002222222217</v>
      </c>
      <c r="DL21" s="279">
        <f>'Level Calculation Drone Survey'!$Z46</f>
        <v>263.14002222222217</v>
      </c>
      <c r="DM21" s="279">
        <f>'Level Calculation Drone Survey'!$Z46</f>
        <v>263.14002222222217</v>
      </c>
      <c r="DN21" s="279">
        <f>'Level Calculation Drone Survey'!$Z46</f>
        <v>263.14002222222217</v>
      </c>
      <c r="DO21" s="279">
        <f>'Level Calculation Drone Survey'!$Z46</f>
        <v>263.14002222222217</v>
      </c>
      <c r="DP21" s="279">
        <f>'Level Calculation Drone Survey'!$Z46</f>
        <v>263.14002222222217</v>
      </c>
      <c r="DQ21" s="279">
        <f>'Level Calculation Drone Survey'!$Z46</f>
        <v>263.14002222222217</v>
      </c>
      <c r="DR21" s="279">
        <f>'Level Calculation Drone Survey'!$Z46</f>
        <v>263.14002222222217</v>
      </c>
      <c r="DS21" s="279">
        <f>'Level Calculation Drone Survey'!$Z46</f>
        <v>263.14002222222217</v>
      </c>
      <c r="DT21" s="279">
        <f>'Level Calculation Drone Survey'!$Z46</f>
        <v>263.14002222222217</v>
      </c>
      <c r="DU21" s="279">
        <f>'Level Calculation Drone Survey'!$Z46</f>
        <v>263.14002222222217</v>
      </c>
      <c r="DV21" s="279">
        <f>'Level Calculation Drone Survey'!$Z46</f>
        <v>263.14002222222217</v>
      </c>
      <c r="DW21" s="279">
        <f>'Level Calculation Drone Survey'!$Z46</f>
        <v>263.14002222222217</v>
      </c>
      <c r="DX21" s="279">
        <f>'Level Calculation Drone Survey'!$Z46</f>
        <v>263.14002222222217</v>
      </c>
      <c r="DY21" s="279">
        <f>'Level Calculation Drone Survey'!$Z46</f>
        <v>263.14002222222217</v>
      </c>
      <c r="DZ21" s="279">
        <f>'Level Calculation Drone Survey'!$Z46</f>
        <v>263.14002222222217</v>
      </c>
      <c r="EA21" s="279">
        <f>'Level Calculation Drone Survey'!$Z46</f>
        <v>263.14002222222217</v>
      </c>
      <c r="EB21" s="305">
        <f>EB22-5/100</f>
        <v>262.88516315789462</v>
      </c>
      <c r="EC21" s="279">
        <f>'Level Calculation Drone Survey'!$Z13</f>
        <v>262.93516315789464</v>
      </c>
      <c r="ED21" s="279">
        <f>'Level Calculation Drone Survey'!$Z13</f>
        <v>262.93516315789464</v>
      </c>
      <c r="EE21" s="279">
        <f>'Level Calculation Drone Survey'!$Z13</f>
        <v>262.93516315789464</v>
      </c>
      <c r="EF21" s="279">
        <f>'Level Calculation Drone Survey'!$Z13</f>
        <v>262.93516315789464</v>
      </c>
      <c r="EG21" s="279">
        <f>'Level Calculation Drone Survey'!$Z13</f>
        <v>262.93516315789464</v>
      </c>
      <c r="EH21" s="279">
        <f>'Level Calculation Drone Survey'!$Z13</f>
        <v>262.93516315789464</v>
      </c>
      <c r="EI21" s="279">
        <f>'Level Calculation Drone Survey'!$Z13</f>
        <v>262.93516315789464</v>
      </c>
      <c r="EJ21" s="279">
        <f>'Level Calculation Drone Survey'!$Z13</f>
        <v>262.93516315789464</v>
      </c>
      <c r="EK21" s="279">
        <f>'Level Calculation Drone Survey'!$Z13</f>
        <v>262.93516315789464</v>
      </c>
      <c r="EL21" s="279">
        <f>'Level Calculation Drone Survey'!$Z13</f>
        <v>262.93516315789464</v>
      </c>
      <c r="EM21" s="279">
        <f>'Level Calculation Drone Survey'!$Z13</f>
        <v>262.93516315789464</v>
      </c>
      <c r="EN21" s="279">
        <f>'Level Calculation Drone Survey'!$Z13</f>
        <v>262.93516315789464</v>
      </c>
      <c r="EO21" s="279">
        <f>'Level Calculation Drone Survey'!$Z13</f>
        <v>262.93516315789464</v>
      </c>
      <c r="EP21" s="279">
        <f>'Level Calculation Drone Survey'!$Z13</f>
        <v>262.93516315789464</v>
      </c>
      <c r="EQ21" s="279">
        <f>'Level Calculation Drone Survey'!$Z13</f>
        <v>262.93516315789464</v>
      </c>
      <c r="ER21" s="318">
        <f>'Level Calculation Drone Survey'!$Z802</f>
        <v>262.85489999999987</v>
      </c>
      <c r="ES21" s="318">
        <f>'Level Calculation Drone Survey'!$Z802</f>
        <v>262.85489999999987</v>
      </c>
      <c r="ET21" s="318">
        <f>'Level Calculation Drone Survey'!$Z802</f>
        <v>262.85489999999987</v>
      </c>
      <c r="EU21" s="318">
        <f>'Level Calculation Drone Survey'!$Z802</f>
        <v>262.85489999999987</v>
      </c>
      <c r="EV21" s="318">
        <f>'Level Calculation Drone Survey'!$Z802</f>
        <v>262.85489999999987</v>
      </c>
      <c r="EW21" s="318">
        <f>'Level Calculation Drone Survey'!$Z802</f>
        <v>262.85489999999987</v>
      </c>
      <c r="EX21" s="191"/>
      <c r="EY21" s="191"/>
    </row>
    <row r="22" spans="1:155" ht="45" customHeight="1" x14ac:dyDescent="0.45">
      <c r="A22" s="277">
        <v>105</v>
      </c>
      <c r="B22" s="191"/>
      <c r="C22" s="191"/>
      <c r="D22" s="191"/>
      <c r="E22" s="191"/>
      <c r="F22" s="191"/>
      <c r="G22" s="191"/>
      <c r="H22" s="191"/>
      <c r="I22" s="191"/>
      <c r="J22" s="191"/>
      <c r="K22" s="191"/>
      <c r="L22" s="191"/>
      <c r="M22" s="191"/>
      <c r="N22" s="191"/>
      <c r="O22" s="191"/>
      <c r="P22" s="191"/>
      <c r="Q22" s="191"/>
      <c r="R22" s="191"/>
      <c r="S22" s="191"/>
      <c r="T22" s="191"/>
      <c r="U22" s="191"/>
      <c r="V22" s="191"/>
      <c r="W22" s="191"/>
      <c r="X22" s="191"/>
      <c r="Y22" s="191"/>
      <c r="Z22" s="191"/>
      <c r="AA22" s="191"/>
      <c r="AB22" s="191"/>
      <c r="AC22" s="191"/>
      <c r="AD22" s="191"/>
      <c r="AE22" s="191"/>
      <c r="AF22" s="191"/>
      <c r="AG22" s="191"/>
      <c r="AH22" s="191"/>
      <c r="AI22" s="191"/>
      <c r="AJ22" s="191"/>
      <c r="AK22" s="191"/>
      <c r="AL22" s="191"/>
      <c r="AM22" s="191"/>
      <c r="AN22" s="191"/>
      <c r="AO22" s="191"/>
      <c r="AP22" s="191"/>
      <c r="AQ22" s="191"/>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N22" s="191"/>
      <c r="BO22" s="191"/>
      <c r="BP22" s="191"/>
      <c r="BQ22" s="191"/>
      <c r="BR22" s="191"/>
      <c r="BS22" s="191"/>
      <c r="BT22" s="191"/>
      <c r="BU22" s="191"/>
      <c r="BV22" s="191"/>
      <c r="BW22" s="191"/>
      <c r="BX22" s="191"/>
      <c r="BY22" s="191"/>
      <c r="BZ22" s="191"/>
      <c r="CA22" s="191"/>
      <c r="CB22" s="191"/>
      <c r="CC22" s="191"/>
      <c r="CD22" s="191"/>
      <c r="CE22" s="191"/>
      <c r="CF22" s="191"/>
      <c r="CG22" s="278">
        <v>264.10570000000001</v>
      </c>
      <c r="CH22" s="305">
        <f>'Level Calculation Drone Survey'!$Z867</f>
        <v>263.07529999999991</v>
      </c>
      <c r="CI22" s="305">
        <f>'Level Calculation Drone Survey'!$Z867</f>
        <v>263.07529999999991</v>
      </c>
      <c r="CJ22" s="305">
        <f>'Level Calculation Drone Survey'!$Z867</f>
        <v>263.07529999999991</v>
      </c>
      <c r="CK22" s="305">
        <f>'Level Calculation Drone Survey'!$Z867</f>
        <v>263.07529999999991</v>
      </c>
      <c r="CL22" s="305">
        <f>'Level Calculation Drone Survey'!$Z867</f>
        <v>263.07529999999991</v>
      </c>
      <c r="CM22" s="305">
        <f>'Level Calculation Drone Survey'!$Z867</f>
        <v>263.07529999999991</v>
      </c>
      <c r="CN22" s="305">
        <f>'Level Calculation Drone Survey'!$Z867</f>
        <v>263.07529999999991</v>
      </c>
      <c r="CO22" s="305">
        <f>'Level Calculation Drone Survey'!$Z867</f>
        <v>263.07529999999991</v>
      </c>
      <c r="CP22" s="305">
        <f>'Level Calculation Drone Survey'!$Z867</f>
        <v>263.07529999999991</v>
      </c>
      <c r="CQ22" s="305">
        <f>'Level Calculation Drone Survey'!$Z867</f>
        <v>263.07529999999991</v>
      </c>
      <c r="CR22" s="305">
        <f>'Level Calculation Drone Survey'!$Z867</f>
        <v>263.07529999999991</v>
      </c>
      <c r="CS22" s="305">
        <f>'Level Calculation Drone Survey'!$Z867</f>
        <v>263.07529999999991</v>
      </c>
      <c r="CT22" s="191"/>
      <c r="CU22" s="191"/>
      <c r="CV22" s="191"/>
      <c r="CW22" s="191"/>
      <c r="CX22" s="191"/>
      <c r="CY22" s="191"/>
      <c r="CZ22" s="191"/>
      <c r="DA22" s="191"/>
      <c r="DB22" s="318">
        <f>'Level Calculation Drone Survey'!$Z849</f>
        <v>263.12529999999992</v>
      </c>
      <c r="DC22" s="318">
        <f>'Level Calculation Drone Survey'!$Z849</f>
        <v>263.12529999999992</v>
      </c>
      <c r="DD22" s="318">
        <f>'Level Calculation Drone Survey'!$Z849</f>
        <v>263.12529999999992</v>
      </c>
      <c r="DE22" s="318">
        <f>'Level Calculation Drone Survey'!$Z849</f>
        <v>263.12529999999992</v>
      </c>
      <c r="DF22" s="318">
        <f>'Level Calculation Drone Survey'!$Z849</f>
        <v>263.12529999999992</v>
      </c>
      <c r="DG22" s="318">
        <f>'Level Calculation Drone Survey'!$Z849</f>
        <v>263.12529999999992</v>
      </c>
      <c r="DH22" s="318">
        <f>'Level Calculation Drone Survey'!$Z849</f>
        <v>263.12529999999992</v>
      </c>
      <c r="DI22" s="318">
        <f>'Level Calculation Drone Survey'!$Z849</f>
        <v>263.12529999999992</v>
      </c>
      <c r="DJ22" s="279">
        <f>'Level Calculation Drone Survey'!$Z47</f>
        <v>263.19002222222218</v>
      </c>
      <c r="DK22" s="279">
        <f>'Level Calculation Drone Survey'!$Z47</f>
        <v>263.19002222222218</v>
      </c>
      <c r="DL22" s="279">
        <f>'Level Calculation Drone Survey'!$Z47</f>
        <v>263.19002222222218</v>
      </c>
      <c r="DM22" s="279">
        <f>'Level Calculation Drone Survey'!$Z47</f>
        <v>263.19002222222218</v>
      </c>
      <c r="DN22" s="279">
        <f>'Level Calculation Drone Survey'!$Z47</f>
        <v>263.19002222222218</v>
      </c>
      <c r="DO22" s="279">
        <f>'Level Calculation Drone Survey'!$Z47</f>
        <v>263.19002222222218</v>
      </c>
      <c r="DP22" s="279">
        <f>'Level Calculation Drone Survey'!$Z47</f>
        <v>263.19002222222218</v>
      </c>
      <c r="DQ22" s="279">
        <f>'Level Calculation Drone Survey'!$Z47</f>
        <v>263.19002222222218</v>
      </c>
      <c r="DR22" s="279">
        <f>'Level Calculation Drone Survey'!$Z47</f>
        <v>263.19002222222218</v>
      </c>
      <c r="DS22" s="279">
        <f>'Level Calculation Drone Survey'!$Z47</f>
        <v>263.19002222222218</v>
      </c>
      <c r="DT22" s="279">
        <f>'Level Calculation Drone Survey'!$Z47</f>
        <v>263.19002222222218</v>
      </c>
      <c r="DU22" s="279">
        <f>'Level Calculation Drone Survey'!$Z47</f>
        <v>263.19002222222218</v>
      </c>
      <c r="DV22" s="279">
        <f>'Level Calculation Drone Survey'!$Z47</f>
        <v>263.19002222222218</v>
      </c>
      <c r="DW22" s="279">
        <f>'Level Calculation Drone Survey'!$Z47</f>
        <v>263.19002222222218</v>
      </c>
      <c r="DX22" s="279">
        <f>'Level Calculation Drone Survey'!$Z47</f>
        <v>263.19002222222218</v>
      </c>
      <c r="DY22" s="279">
        <f>'Level Calculation Drone Survey'!$Z47</f>
        <v>263.19002222222218</v>
      </c>
      <c r="DZ22" s="279">
        <f>'Level Calculation Drone Survey'!$Z47</f>
        <v>263.19002222222218</v>
      </c>
      <c r="EA22" s="279">
        <f>'Level Calculation Drone Survey'!$Z47</f>
        <v>263.19002222222218</v>
      </c>
      <c r="EB22" s="305">
        <f>'Level Calculation Drone Survey'!$Z720</f>
        <v>262.93516315789464</v>
      </c>
      <c r="EC22" s="279">
        <f>'Level Calculation Drone Survey'!$Z14</f>
        <v>262.98516315789465</v>
      </c>
      <c r="ED22" s="279">
        <f>'Level Calculation Drone Survey'!$Z14</f>
        <v>262.98516315789465</v>
      </c>
      <c r="EE22" s="279">
        <f>'Level Calculation Drone Survey'!$Z14</f>
        <v>262.98516315789465</v>
      </c>
      <c r="EF22" s="279">
        <f>'Level Calculation Drone Survey'!$Z14</f>
        <v>262.98516315789465</v>
      </c>
      <c r="EG22" s="279">
        <f>'Level Calculation Drone Survey'!$Z14</f>
        <v>262.98516315789465</v>
      </c>
      <c r="EH22" s="279">
        <f>'Level Calculation Drone Survey'!$Z14</f>
        <v>262.98516315789465</v>
      </c>
      <c r="EI22" s="279">
        <f>'Level Calculation Drone Survey'!$Z14</f>
        <v>262.98516315789465</v>
      </c>
      <c r="EJ22" s="279">
        <f>'Level Calculation Drone Survey'!$Z14</f>
        <v>262.98516315789465</v>
      </c>
      <c r="EK22" s="279">
        <f>'Level Calculation Drone Survey'!$Z14</f>
        <v>262.98516315789465</v>
      </c>
      <c r="EL22" s="279">
        <f>'Level Calculation Drone Survey'!$Z14</f>
        <v>262.98516315789465</v>
      </c>
      <c r="EM22" s="279">
        <f>'Level Calculation Drone Survey'!$Z14</f>
        <v>262.98516315789465</v>
      </c>
      <c r="EN22" s="279">
        <f>'Level Calculation Drone Survey'!$Z14</f>
        <v>262.98516315789465</v>
      </c>
      <c r="EO22" s="279">
        <f>'Level Calculation Drone Survey'!$Z14</f>
        <v>262.98516315789465</v>
      </c>
      <c r="EP22" s="279">
        <f>'Level Calculation Drone Survey'!$Z14</f>
        <v>262.98516315789465</v>
      </c>
      <c r="EQ22" s="279">
        <f>'Level Calculation Drone Survey'!$Z14</f>
        <v>262.98516315789465</v>
      </c>
      <c r="ER22" s="279">
        <f>'Level Calculation Drone Survey'!$Z14</f>
        <v>262.98516315789465</v>
      </c>
      <c r="ES22" s="279">
        <f>'Level Calculation Drone Survey'!$Z14</f>
        <v>262.98516315789465</v>
      </c>
      <c r="ET22" s="279">
        <f>'Level Calculation Drone Survey'!$Z14</f>
        <v>262.98516315789465</v>
      </c>
      <c r="EU22" s="279">
        <f>'Level Calculation Drone Survey'!$Z14</f>
        <v>262.98516315789465</v>
      </c>
      <c r="EV22" s="305">
        <f>'Level Calculation Drone Survey'!$Z784</f>
        <v>262.88516315789462</v>
      </c>
      <c r="EW22" s="305">
        <f>'Level Calculation Drone Survey'!$Z784</f>
        <v>262.88516315789462</v>
      </c>
      <c r="EX22" s="305">
        <f>'Level Calculation Drone Survey'!$Z784</f>
        <v>262.88516315789462</v>
      </c>
      <c r="EY22" s="305">
        <f>'Level Calculation Drone Survey'!$Z784</f>
        <v>262.88516315789462</v>
      </c>
    </row>
    <row r="23" spans="1:155" ht="45" customHeight="1" x14ac:dyDescent="0.45">
      <c r="A23" s="277">
        <v>110</v>
      </c>
      <c r="B23" s="191"/>
      <c r="C23" s="191"/>
      <c r="D23" s="191"/>
      <c r="E23" s="191"/>
      <c r="F23" s="191"/>
      <c r="G23" s="191"/>
      <c r="H23" s="191"/>
      <c r="I23" s="191"/>
      <c r="J23" s="191"/>
      <c r="K23" s="191"/>
      <c r="L23" s="191"/>
      <c r="M23" s="191"/>
      <c r="N23" s="191"/>
      <c r="O23" s="191"/>
      <c r="P23" s="191"/>
      <c r="Q23" s="191"/>
      <c r="R23" s="191"/>
      <c r="S23" s="191"/>
      <c r="T23" s="191"/>
      <c r="U23" s="191"/>
      <c r="V23" s="191"/>
      <c r="W23" s="191"/>
      <c r="X23" s="191"/>
      <c r="Y23" s="191"/>
      <c r="Z23" s="191"/>
      <c r="AA23" s="191"/>
      <c r="AB23" s="191"/>
      <c r="AC23" s="191"/>
      <c r="AD23" s="191"/>
      <c r="AE23" s="191"/>
      <c r="AF23" s="191"/>
      <c r="AG23" s="191"/>
      <c r="AH23" s="191"/>
      <c r="AI23" s="191"/>
      <c r="AJ23" s="191"/>
      <c r="AK23" s="191"/>
      <c r="AL23" s="191"/>
      <c r="AM23" s="191"/>
      <c r="AN23" s="191"/>
      <c r="AO23" s="191"/>
      <c r="AP23" s="191"/>
      <c r="AQ23" s="191"/>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N23" s="191"/>
      <c r="BO23" s="191"/>
      <c r="BP23" s="191"/>
      <c r="BQ23" s="191"/>
      <c r="BR23" s="191"/>
      <c r="BS23" s="191"/>
      <c r="BT23" s="191"/>
      <c r="BU23" s="191"/>
      <c r="BV23" s="191"/>
      <c r="BW23" s="191"/>
      <c r="BX23" s="191"/>
      <c r="BY23" s="191"/>
      <c r="BZ23" s="191"/>
      <c r="CA23" s="191"/>
      <c r="CB23" s="191"/>
      <c r="CC23" s="191"/>
      <c r="CD23" s="191"/>
      <c r="CE23" s="191"/>
      <c r="CF23" s="305">
        <f>'Level Calculation Drone Survey'!$Z868</f>
        <v>263.07529999999991</v>
      </c>
      <c r="CG23" s="305">
        <f>'Level Calculation Drone Survey'!$Z868</f>
        <v>263.07529999999991</v>
      </c>
      <c r="CH23" s="305">
        <f>'Level Calculation Drone Survey'!$Z868</f>
        <v>263.07529999999991</v>
      </c>
      <c r="CI23" s="305">
        <f>'Level Calculation Drone Survey'!$Z868</f>
        <v>263.07529999999991</v>
      </c>
      <c r="CJ23" s="305">
        <f>'Level Calculation Drone Survey'!$Z868</f>
        <v>263.07529999999991</v>
      </c>
      <c r="CK23" s="305">
        <f>'Level Calculation Drone Survey'!$Z868</f>
        <v>263.07529999999991</v>
      </c>
      <c r="CL23" s="305">
        <f>'Level Calculation Drone Survey'!$Z868</f>
        <v>263.07529999999991</v>
      </c>
      <c r="CM23" s="305">
        <f>'Level Calculation Drone Survey'!$Z868</f>
        <v>263.07529999999991</v>
      </c>
      <c r="CN23" s="305">
        <f>'Level Calculation Drone Survey'!$Z868</f>
        <v>263.07529999999991</v>
      </c>
      <c r="CO23" s="305">
        <f>'Level Calculation Drone Survey'!$Z868</f>
        <v>263.07529999999991</v>
      </c>
      <c r="CP23" s="305">
        <f>'Level Calculation Drone Survey'!$Z868</f>
        <v>263.07529999999991</v>
      </c>
      <c r="CQ23" s="305">
        <f>'Level Calculation Drone Survey'!$Z868</f>
        <v>263.07529999999991</v>
      </c>
      <c r="CR23" s="305">
        <f>'Level Calculation Drone Survey'!$Z868</f>
        <v>263.07529999999991</v>
      </c>
      <c r="CS23" s="305">
        <f>'Level Calculation Drone Survey'!$Z868</f>
        <v>263.07529999999991</v>
      </c>
      <c r="CT23" s="191"/>
      <c r="CU23" s="191"/>
      <c r="CV23" s="191"/>
      <c r="CW23" s="191"/>
      <c r="CX23" s="191"/>
      <c r="CY23" s="191"/>
      <c r="CZ23" s="191"/>
      <c r="DA23" s="191"/>
      <c r="DB23" s="318">
        <f>'Level Calculation Drone Survey'!$Z850</f>
        <v>263.12529999999992</v>
      </c>
      <c r="DC23" s="318">
        <f>'Level Calculation Drone Survey'!$Z850</f>
        <v>263.12529999999992</v>
      </c>
      <c r="DD23" s="318">
        <f>'Level Calculation Drone Survey'!$Z850</f>
        <v>263.12529999999992</v>
      </c>
      <c r="DE23" s="318">
        <f>'Level Calculation Drone Survey'!$Z850</f>
        <v>263.12529999999992</v>
      </c>
      <c r="DF23" s="318">
        <f>'Level Calculation Drone Survey'!$Z850</f>
        <v>263.12529999999992</v>
      </c>
      <c r="DG23" s="318">
        <f>'Level Calculation Drone Survey'!$Z850</f>
        <v>263.12529999999992</v>
      </c>
      <c r="DH23" s="318">
        <f>'Level Calculation Drone Survey'!$Z850</f>
        <v>263.12529999999992</v>
      </c>
      <c r="DI23" s="318">
        <f>'Level Calculation Drone Survey'!$Z850</f>
        <v>263.12529999999992</v>
      </c>
      <c r="DJ23" s="279">
        <f>'Level Calculation Drone Survey'!$Z48</f>
        <v>263.24002222222219</v>
      </c>
      <c r="DK23" s="279">
        <f>'Level Calculation Drone Survey'!$Z48</f>
        <v>263.24002222222219</v>
      </c>
      <c r="DL23" s="279">
        <f>'Level Calculation Drone Survey'!$Z48</f>
        <v>263.24002222222219</v>
      </c>
      <c r="DM23" s="279">
        <f>'Level Calculation Drone Survey'!$Z48</f>
        <v>263.24002222222219</v>
      </c>
      <c r="DN23" s="279">
        <f>'Level Calculation Drone Survey'!$Z48</f>
        <v>263.24002222222219</v>
      </c>
      <c r="DO23" s="279">
        <f>'Level Calculation Drone Survey'!$Z48</f>
        <v>263.24002222222219</v>
      </c>
      <c r="DP23" s="279">
        <f>'Level Calculation Drone Survey'!$Z48</f>
        <v>263.24002222222219</v>
      </c>
      <c r="DQ23" s="279">
        <f>'Level Calculation Drone Survey'!$Z48</f>
        <v>263.24002222222219</v>
      </c>
      <c r="DR23" s="279">
        <f>'Level Calculation Drone Survey'!$Z48</f>
        <v>263.24002222222219</v>
      </c>
      <c r="DS23" s="279">
        <f>'Level Calculation Drone Survey'!$Z48</f>
        <v>263.24002222222219</v>
      </c>
      <c r="DT23" s="279">
        <f>'Level Calculation Drone Survey'!$Z48</f>
        <v>263.24002222222219</v>
      </c>
      <c r="DU23" s="279">
        <f>'Level Calculation Drone Survey'!$Z48</f>
        <v>263.24002222222219</v>
      </c>
      <c r="DV23" s="279">
        <f>'Level Calculation Drone Survey'!$Z48</f>
        <v>263.24002222222219</v>
      </c>
      <c r="DW23" s="279">
        <f>'Level Calculation Drone Survey'!$Z48</f>
        <v>263.24002222222219</v>
      </c>
      <c r="DX23" s="279">
        <f>'Level Calculation Drone Survey'!$Z48</f>
        <v>263.24002222222219</v>
      </c>
      <c r="DY23" s="279">
        <f>'Level Calculation Drone Survey'!$Z48</f>
        <v>263.24002222222219</v>
      </c>
      <c r="DZ23" s="279">
        <f>'Level Calculation Drone Survey'!$Z48</f>
        <v>263.24002222222219</v>
      </c>
      <c r="EA23" s="279">
        <f>'Level Calculation Drone Survey'!$Z48</f>
        <v>263.24002222222219</v>
      </c>
      <c r="EB23" s="305">
        <f>'Level Calculation Drone Survey'!$Z721</f>
        <v>262.98516315789465</v>
      </c>
      <c r="EC23" s="279">
        <f>'Level Calculation Drone Survey'!$Z15</f>
        <v>263.03516315789466</v>
      </c>
      <c r="ED23" s="279">
        <f>'Level Calculation Drone Survey'!$Z15</f>
        <v>263.03516315789466</v>
      </c>
      <c r="EE23" s="279">
        <f>'Level Calculation Drone Survey'!$Z15</f>
        <v>263.03516315789466</v>
      </c>
      <c r="EF23" s="279">
        <f>'Level Calculation Drone Survey'!$Z15</f>
        <v>263.03516315789466</v>
      </c>
      <c r="EG23" s="279">
        <f>'Level Calculation Drone Survey'!$Z15</f>
        <v>263.03516315789466</v>
      </c>
      <c r="EH23" s="279">
        <f>'Level Calculation Drone Survey'!$Z15</f>
        <v>263.03516315789466</v>
      </c>
      <c r="EI23" s="279">
        <f>'Level Calculation Drone Survey'!$Z15</f>
        <v>263.03516315789466</v>
      </c>
      <c r="EJ23" s="279">
        <f>'Level Calculation Drone Survey'!$Z15</f>
        <v>263.03516315789466</v>
      </c>
      <c r="EK23" s="279">
        <f>'Level Calculation Drone Survey'!$Z15</f>
        <v>263.03516315789466</v>
      </c>
      <c r="EL23" s="279">
        <f>'Level Calculation Drone Survey'!$Z15</f>
        <v>263.03516315789466</v>
      </c>
      <c r="EM23" s="279">
        <f>'Level Calculation Drone Survey'!$Z15</f>
        <v>263.03516315789466</v>
      </c>
      <c r="EN23" s="279">
        <f>'Level Calculation Drone Survey'!$Z15</f>
        <v>263.03516315789466</v>
      </c>
      <c r="EO23" s="279">
        <f>'Level Calculation Drone Survey'!$Z15</f>
        <v>263.03516315789466</v>
      </c>
      <c r="EP23" s="279">
        <f>'Level Calculation Drone Survey'!$Z15</f>
        <v>263.03516315789466</v>
      </c>
      <c r="EQ23" s="279">
        <f>'Level Calculation Drone Survey'!$Z15</f>
        <v>263.03516315789466</v>
      </c>
      <c r="ER23" s="279">
        <f>'Level Calculation Drone Survey'!$Z15</f>
        <v>263.03516315789466</v>
      </c>
      <c r="ES23" s="279">
        <f>'Level Calculation Drone Survey'!$Z15</f>
        <v>263.03516315789466</v>
      </c>
      <c r="ET23" s="279">
        <f>'Level Calculation Drone Survey'!$Z15</f>
        <v>263.03516315789466</v>
      </c>
      <c r="EU23" s="279">
        <f>'Level Calculation Drone Survey'!$Z15</f>
        <v>263.03516315789466</v>
      </c>
      <c r="EV23" s="305">
        <f>'Level Calculation Drone Survey'!$Z785</f>
        <v>262.93516315789464</v>
      </c>
      <c r="EW23" s="305">
        <f>'Level Calculation Drone Survey'!$Z785</f>
        <v>262.93516315789464</v>
      </c>
      <c r="EX23" s="305">
        <f>'Level Calculation Drone Survey'!$Z785</f>
        <v>262.93516315789464</v>
      </c>
      <c r="EY23" s="305">
        <f>'Level Calculation Drone Survey'!$Z785</f>
        <v>262.93516315789464</v>
      </c>
    </row>
    <row r="24" spans="1:155" ht="45" customHeight="1" x14ac:dyDescent="0.45">
      <c r="A24" s="277">
        <v>115</v>
      </c>
      <c r="B24" s="191"/>
      <c r="C24" s="191"/>
      <c r="D24" s="191"/>
      <c r="E24" s="191"/>
      <c r="F24" s="191"/>
      <c r="G24" s="191"/>
      <c r="H24" s="191"/>
      <c r="I24" s="191"/>
      <c r="J24" s="191"/>
      <c r="K24" s="191"/>
      <c r="L24" s="191"/>
      <c r="M24" s="191"/>
      <c r="N24" s="191"/>
      <c r="O24" s="191"/>
      <c r="P24" s="191"/>
      <c r="Q24" s="191"/>
      <c r="R24" s="191"/>
      <c r="S24" s="191"/>
      <c r="T24" s="191"/>
      <c r="U24" s="191"/>
      <c r="V24" s="191"/>
      <c r="W24" s="191"/>
      <c r="X24" s="191"/>
      <c r="Y24" s="191"/>
      <c r="Z24" s="191"/>
      <c r="AA24" s="191"/>
      <c r="AB24" s="191"/>
      <c r="AC24" s="191"/>
      <c r="AD24" s="191"/>
      <c r="AE24" s="191"/>
      <c r="AF24" s="191"/>
      <c r="AG24" s="191"/>
      <c r="AH24" s="191"/>
      <c r="AI24" s="191"/>
      <c r="AJ24" s="191"/>
      <c r="AK24" s="191"/>
      <c r="AL24" s="191"/>
      <c r="AM24" s="191"/>
      <c r="AN24" s="191"/>
      <c r="AO24" s="191"/>
      <c r="AP24" s="191"/>
      <c r="AQ24" s="191"/>
      <c r="AR24" s="191"/>
      <c r="AS24" s="191"/>
      <c r="AT24" s="191"/>
      <c r="AU24" s="191"/>
      <c r="AV24" s="191"/>
      <c r="AW24" s="191"/>
      <c r="AX24" s="191"/>
      <c r="AY24" s="191"/>
      <c r="AZ24" s="191"/>
      <c r="BA24" s="191"/>
      <c r="BB24" s="191"/>
      <c r="BC24" s="191"/>
      <c r="BD24" s="191"/>
      <c r="BE24" s="191"/>
      <c r="BF24" s="191"/>
      <c r="BG24" s="191"/>
      <c r="BH24" s="305">
        <f>'Level Calculation Drone Survey'!$Z$884</f>
        <v>263.43983999999989</v>
      </c>
      <c r="BI24" s="305">
        <f>'Level Calculation Drone Survey'!$Z$884</f>
        <v>263.43983999999989</v>
      </c>
      <c r="BJ24" s="305">
        <f>'Level Calculation Drone Survey'!$Z$884</f>
        <v>263.43983999999989</v>
      </c>
      <c r="BK24" s="305">
        <f>'Level Calculation Drone Survey'!$Z$884</f>
        <v>263.43983999999989</v>
      </c>
      <c r="BL24" s="305">
        <f>'Level Calculation Drone Survey'!$Z$884</f>
        <v>263.43983999999989</v>
      </c>
      <c r="BM24" s="305">
        <f>'Level Calculation Drone Survey'!$Z$884</f>
        <v>263.43983999999989</v>
      </c>
      <c r="BN24" s="305">
        <f>'Level Calculation Drone Survey'!$Z$884</f>
        <v>263.43983999999989</v>
      </c>
      <c r="BO24" s="305">
        <f>'Level Calculation Drone Survey'!$Z$884</f>
        <v>263.43983999999989</v>
      </c>
      <c r="BP24" s="305">
        <f>'Level Calculation Drone Survey'!$Z$884</f>
        <v>263.43983999999989</v>
      </c>
      <c r="BQ24" s="305">
        <f>'Level Calculation Drone Survey'!$Z$884</f>
        <v>263.43983999999989</v>
      </c>
      <c r="BR24" s="191"/>
      <c r="BS24" s="191"/>
      <c r="BT24" s="191"/>
      <c r="BU24" s="191"/>
      <c r="BV24" s="191"/>
      <c r="BW24" s="191"/>
      <c r="BX24" s="191"/>
      <c r="BY24" s="191"/>
      <c r="BZ24" s="191"/>
      <c r="CA24" s="191"/>
      <c r="CB24" s="191"/>
      <c r="CC24" s="191"/>
      <c r="CD24" s="191"/>
      <c r="CE24" s="278">
        <v>263.43520000000001</v>
      </c>
      <c r="CF24" s="313">
        <f>CF25-5/100</f>
        <v>263.22529999999989</v>
      </c>
      <c r="CG24" s="279">
        <f>'Level Calculation Drone Survey'!$Z83</f>
        <v>263.2752999999999</v>
      </c>
      <c r="CH24" s="279">
        <f>'Level Calculation Drone Survey'!$Z83</f>
        <v>263.2752999999999</v>
      </c>
      <c r="CI24" s="279">
        <f>'Level Calculation Drone Survey'!$Z83</f>
        <v>263.2752999999999</v>
      </c>
      <c r="CJ24" s="279">
        <f>'Level Calculation Drone Survey'!$Z83</f>
        <v>263.2752999999999</v>
      </c>
      <c r="CK24" s="279">
        <f>'Level Calculation Drone Survey'!$Z83</f>
        <v>263.2752999999999</v>
      </c>
      <c r="CL24" s="279">
        <f>'Level Calculation Drone Survey'!$Z83</f>
        <v>263.2752999999999</v>
      </c>
      <c r="CM24" s="279">
        <f>'Level Calculation Drone Survey'!$Z83</f>
        <v>263.2752999999999</v>
      </c>
      <c r="CN24" s="279">
        <f>'Level Calculation Drone Survey'!$Z83</f>
        <v>263.2752999999999</v>
      </c>
      <c r="CO24" s="305">
        <f>'Level Calculation Drone Survey'!$Z869</f>
        <v>263.07529999999991</v>
      </c>
      <c r="CP24" s="305">
        <f>'Level Calculation Drone Survey'!$Z869</f>
        <v>263.07529999999991</v>
      </c>
      <c r="CQ24" s="305">
        <f>'Level Calculation Drone Survey'!$Z869</f>
        <v>263.07529999999991</v>
      </c>
      <c r="CR24" s="305">
        <f>'Level Calculation Drone Survey'!$Z869</f>
        <v>263.07529999999991</v>
      </c>
      <c r="CS24" s="305">
        <f>'Level Calculation Drone Survey'!$Z869</f>
        <v>263.07529999999991</v>
      </c>
      <c r="CT24" s="278">
        <v>264.22070000000002</v>
      </c>
      <c r="CU24" s="278">
        <v>263.98039999999997</v>
      </c>
      <c r="CV24" s="278">
        <v>263.9348</v>
      </c>
      <c r="CW24" s="191"/>
      <c r="CX24" s="191"/>
      <c r="CY24" s="191"/>
      <c r="CZ24" s="191"/>
      <c r="DA24" s="191"/>
      <c r="DB24" s="318">
        <f>'Level Calculation Drone Survey'!$Z851</f>
        <v>263.12529999999992</v>
      </c>
      <c r="DC24" s="318">
        <f>'Level Calculation Drone Survey'!$Z851</f>
        <v>263.12529999999992</v>
      </c>
      <c r="DD24" s="318">
        <f>'Level Calculation Drone Survey'!$Z851</f>
        <v>263.12529999999992</v>
      </c>
      <c r="DE24" s="318">
        <f>'Level Calculation Drone Survey'!$Z851</f>
        <v>263.12529999999992</v>
      </c>
      <c r="DF24" s="318">
        <f>'Level Calculation Drone Survey'!$Z851</f>
        <v>263.12529999999992</v>
      </c>
      <c r="DG24" s="318">
        <f>'Level Calculation Drone Survey'!$Z851</f>
        <v>263.12529999999992</v>
      </c>
      <c r="DH24" s="318">
        <f>'Level Calculation Drone Survey'!$Z851</f>
        <v>263.12529999999992</v>
      </c>
      <c r="DI24" s="318">
        <f>'Level Calculation Drone Survey'!$Z851</f>
        <v>263.12529999999992</v>
      </c>
      <c r="DJ24" s="279">
        <f>'Level Calculation Drone Survey'!$Z49</f>
        <v>263.29002222222221</v>
      </c>
      <c r="DK24" s="279">
        <f>'Level Calculation Drone Survey'!$Z49</f>
        <v>263.29002222222221</v>
      </c>
      <c r="DL24" s="279">
        <f>'Level Calculation Drone Survey'!$Z49</f>
        <v>263.29002222222221</v>
      </c>
      <c r="DM24" s="279">
        <f>'Level Calculation Drone Survey'!$Z49</f>
        <v>263.29002222222221</v>
      </c>
      <c r="DN24" s="279">
        <f>'Level Calculation Drone Survey'!$Z49</f>
        <v>263.29002222222221</v>
      </c>
      <c r="DO24" s="279">
        <f>'Level Calculation Drone Survey'!$Z49</f>
        <v>263.29002222222221</v>
      </c>
      <c r="DP24" s="279">
        <f>'Level Calculation Drone Survey'!$Z49</f>
        <v>263.29002222222221</v>
      </c>
      <c r="DQ24" s="279">
        <f>'Level Calculation Drone Survey'!$Z49</f>
        <v>263.29002222222221</v>
      </c>
      <c r="DR24" s="279">
        <f>'Level Calculation Drone Survey'!$Z49</f>
        <v>263.29002222222221</v>
      </c>
      <c r="DS24" s="279">
        <f>'Level Calculation Drone Survey'!$Z49</f>
        <v>263.29002222222221</v>
      </c>
      <c r="DT24" s="279">
        <f>'Level Calculation Drone Survey'!$Z49</f>
        <v>263.29002222222221</v>
      </c>
      <c r="DU24" s="279">
        <f>'Level Calculation Drone Survey'!$Z49</f>
        <v>263.29002222222221</v>
      </c>
      <c r="DV24" s="279">
        <f>'Level Calculation Drone Survey'!$Z49</f>
        <v>263.29002222222221</v>
      </c>
      <c r="DW24" s="279">
        <f>'Level Calculation Drone Survey'!$Z49</f>
        <v>263.29002222222221</v>
      </c>
      <c r="DX24" s="279">
        <f>'Level Calculation Drone Survey'!$Z49</f>
        <v>263.29002222222221</v>
      </c>
      <c r="DY24" s="279">
        <f>'Level Calculation Drone Survey'!$Z49</f>
        <v>263.29002222222221</v>
      </c>
      <c r="DZ24" s="279">
        <f>'Level Calculation Drone Survey'!$Z49</f>
        <v>263.29002222222221</v>
      </c>
      <c r="EA24" s="279">
        <f>'Level Calculation Drone Survey'!$Z49</f>
        <v>263.29002222222221</v>
      </c>
      <c r="EB24" s="305">
        <f>'Level Calculation Drone Survey'!$Z722</f>
        <v>263.03516315789466</v>
      </c>
      <c r="EC24" s="279">
        <f>'Level Calculation Drone Survey'!$Z16</f>
        <v>263.08516315789467</v>
      </c>
      <c r="ED24" s="279">
        <f>'Level Calculation Drone Survey'!$Z16</f>
        <v>263.08516315789467</v>
      </c>
      <c r="EE24" s="279">
        <f>'Level Calculation Drone Survey'!$Z16</f>
        <v>263.08516315789467</v>
      </c>
      <c r="EF24" s="279">
        <f>'Level Calculation Drone Survey'!$Z16</f>
        <v>263.08516315789467</v>
      </c>
      <c r="EG24" s="279">
        <f>'Level Calculation Drone Survey'!$Z16</f>
        <v>263.08516315789467</v>
      </c>
      <c r="EH24" s="279">
        <f>'Level Calculation Drone Survey'!$Z16</f>
        <v>263.08516315789467</v>
      </c>
      <c r="EI24" s="279">
        <f>'Level Calculation Drone Survey'!$Z16</f>
        <v>263.08516315789467</v>
      </c>
      <c r="EJ24" s="279">
        <f>'Level Calculation Drone Survey'!$Z16</f>
        <v>263.08516315789467</v>
      </c>
      <c r="EK24" s="279">
        <f>'Level Calculation Drone Survey'!$Z16</f>
        <v>263.08516315789467</v>
      </c>
      <c r="EL24" s="279">
        <f>'Level Calculation Drone Survey'!$Z16</f>
        <v>263.08516315789467</v>
      </c>
      <c r="EM24" s="279">
        <f>'Level Calculation Drone Survey'!$Z16</f>
        <v>263.08516315789467</v>
      </c>
      <c r="EN24" s="279">
        <f>'Level Calculation Drone Survey'!$Z16</f>
        <v>263.08516315789467</v>
      </c>
      <c r="EO24" s="279">
        <f>'Level Calculation Drone Survey'!$Z16</f>
        <v>263.08516315789467</v>
      </c>
      <c r="EP24" s="279">
        <f>'Level Calculation Drone Survey'!$Z16</f>
        <v>263.08516315789467</v>
      </c>
      <c r="EQ24" s="279">
        <f>'Level Calculation Drone Survey'!$Z16</f>
        <v>263.08516315789467</v>
      </c>
      <c r="ER24" s="279">
        <f>'Level Calculation Drone Survey'!$Z16</f>
        <v>263.08516315789467</v>
      </c>
      <c r="ES24" s="279">
        <f>'Level Calculation Drone Survey'!$Z16</f>
        <v>263.08516315789467</v>
      </c>
      <c r="ET24" s="279">
        <f>'Level Calculation Drone Survey'!$Z16</f>
        <v>263.08516315789467</v>
      </c>
      <c r="EU24" s="279">
        <f>'Level Calculation Drone Survey'!$Z16</f>
        <v>263.08516315789467</v>
      </c>
      <c r="EV24" s="305">
        <f>'Level Calculation Drone Survey'!$Z786</f>
        <v>262.98516315789465</v>
      </c>
      <c r="EW24" s="305">
        <f>'Level Calculation Drone Survey'!$Z786</f>
        <v>262.98516315789465</v>
      </c>
      <c r="EX24" s="305">
        <f>'Level Calculation Drone Survey'!$Z786</f>
        <v>262.98516315789465</v>
      </c>
      <c r="EY24" s="305">
        <f>'Level Calculation Drone Survey'!$Z786</f>
        <v>262.98516315789465</v>
      </c>
    </row>
    <row r="25" spans="1:155" ht="45" customHeight="1" x14ac:dyDescent="0.45">
      <c r="A25" s="277">
        <v>120</v>
      </c>
      <c r="B25" s="191"/>
      <c r="C25" s="191"/>
      <c r="D25" s="191"/>
      <c r="E25" s="191"/>
      <c r="F25" s="191"/>
      <c r="G25" s="191"/>
      <c r="H25" s="191"/>
      <c r="I25" s="191"/>
      <c r="J25" s="191"/>
      <c r="K25" s="191"/>
      <c r="L25" s="191"/>
      <c r="M25" s="191"/>
      <c r="N25" s="191"/>
      <c r="O25" s="191"/>
      <c r="P25" s="191"/>
      <c r="Q25" s="191"/>
      <c r="R25" s="191"/>
      <c r="S25" s="191"/>
      <c r="T25" s="191"/>
      <c r="U25" s="191"/>
      <c r="V25" s="191"/>
      <c r="W25" s="191"/>
      <c r="X25" s="191"/>
      <c r="Y25" s="191"/>
      <c r="Z25" s="191"/>
      <c r="AA25" s="191"/>
      <c r="AB25" s="191"/>
      <c r="AC25" s="191"/>
      <c r="AD25" s="191"/>
      <c r="AE25" s="191"/>
      <c r="AF25" s="191"/>
      <c r="AG25" s="191"/>
      <c r="AH25" s="191"/>
      <c r="AI25" s="191"/>
      <c r="AJ25" s="191"/>
      <c r="AK25" s="191"/>
      <c r="AL25" s="191"/>
      <c r="AM25" s="191"/>
      <c r="AN25" s="191"/>
      <c r="AO25" s="191"/>
      <c r="AP25" s="191"/>
      <c r="AQ25" s="191"/>
      <c r="AR25" s="191"/>
      <c r="AS25" s="191"/>
      <c r="AT25" s="191"/>
      <c r="AU25" s="191"/>
      <c r="AV25" s="191"/>
      <c r="AW25" s="191"/>
      <c r="AX25" s="191"/>
      <c r="AY25" s="191"/>
      <c r="AZ25" s="191"/>
      <c r="BA25" s="278">
        <v>263.56139999999999</v>
      </c>
      <c r="BB25" s="278">
        <v>263.97859999999997</v>
      </c>
      <c r="BC25" s="305">
        <f>'Level Calculation Drone Survey'!$Z$884</f>
        <v>263.43983999999989</v>
      </c>
      <c r="BD25" s="305">
        <f>'Level Calculation Drone Survey'!$Z$884</f>
        <v>263.43983999999989</v>
      </c>
      <c r="BE25" s="305">
        <f>'Level Calculation Drone Survey'!$Z$884</f>
        <v>263.43983999999989</v>
      </c>
      <c r="BF25" s="305">
        <f>'Level Calculation Drone Survey'!$Z$884</f>
        <v>263.43983999999989</v>
      </c>
      <c r="BG25" s="305">
        <f>'Level Calculation Drone Survey'!$Z$884</f>
        <v>263.43983999999989</v>
      </c>
      <c r="BH25" s="305">
        <f>'Level Calculation Drone Survey'!$Z$884</f>
        <v>263.43983999999989</v>
      </c>
      <c r="BI25" s="305">
        <f>'Level Calculation Drone Survey'!$Z$884</f>
        <v>263.43983999999989</v>
      </c>
      <c r="BJ25" s="305">
        <f>'Level Calculation Drone Survey'!$Z$884</f>
        <v>263.43983999999989</v>
      </c>
      <c r="BK25" s="305">
        <f>'Level Calculation Drone Survey'!$Z$884</f>
        <v>263.43983999999989</v>
      </c>
      <c r="BL25" s="305">
        <f>'Level Calculation Drone Survey'!$Z$884</f>
        <v>263.43983999999989</v>
      </c>
      <c r="BM25" s="305">
        <f>'Level Calculation Drone Survey'!$Z$884</f>
        <v>263.43983999999989</v>
      </c>
      <c r="BN25" s="305">
        <f>'Level Calculation Drone Survey'!$Z$884</f>
        <v>263.43983999999989</v>
      </c>
      <c r="BO25" s="305">
        <f>'Level Calculation Drone Survey'!$Z$884</f>
        <v>263.43983999999989</v>
      </c>
      <c r="BP25" s="305">
        <f>'Level Calculation Drone Survey'!$Z$884</f>
        <v>263.43983999999989</v>
      </c>
      <c r="BQ25" s="305">
        <f>'Level Calculation Drone Survey'!$Z$884</f>
        <v>263.43983999999989</v>
      </c>
      <c r="BR25" s="305">
        <f>'Level Calculation Drone Survey'!$Z$884</f>
        <v>263.43983999999989</v>
      </c>
      <c r="BS25" s="305">
        <f>'Level Calculation Drone Survey'!$Z$884</f>
        <v>263.43983999999989</v>
      </c>
      <c r="BT25" s="305">
        <f>'Level Calculation Drone Survey'!$Z$884</f>
        <v>263.43983999999989</v>
      </c>
      <c r="BU25" s="305">
        <f>'Level Calculation Drone Survey'!$Z$884</f>
        <v>263.43983999999989</v>
      </c>
      <c r="BV25" s="191"/>
      <c r="BW25" s="191"/>
      <c r="BX25" s="191"/>
      <c r="BY25" s="191"/>
      <c r="BZ25" s="191"/>
      <c r="CA25" s="191"/>
      <c r="CB25" s="191"/>
      <c r="CC25" s="191"/>
      <c r="CD25" s="313">
        <f>'Level Calculation Drone Survey'!$Z875</f>
        <v>263.2752999999999</v>
      </c>
      <c r="CE25" s="313">
        <f>'Level Calculation Drone Survey'!$Z875</f>
        <v>263.2752999999999</v>
      </c>
      <c r="CF25" s="313">
        <f>'Level Calculation Drone Survey'!$Z875</f>
        <v>263.2752999999999</v>
      </c>
      <c r="CG25" s="279">
        <f>'Level Calculation Drone Survey'!$Z84</f>
        <v>263.32529999999991</v>
      </c>
      <c r="CH25" s="279">
        <f>'Level Calculation Drone Survey'!$Z84</f>
        <v>263.32529999999991</v>
      </c>
      <c r="CI25" s="279">
        <f>'Level Calculation Drone Survey'!$Z84</f>
        <v>263.32529999999991</v>
      </c>
      <c r="CJ25" s="279">
        <f>'Level Calculation Drone Survey'!$Z84</f>
        <v>263.32529999999991</v>
      </c>
      <c r="CK25" s="279">
        <f>'Level Calculation Drone Survey'!$Z84</f>
        <v>263.32529999999991</v>
      </c>
      <c r="CL25" s="279">
        <f>'Level Calculation Drone Survey'!$Z84</f>
        <v>263.32529999999991</v>
      </c>
      <c r="CM25" s="279">
        <f>'Level Calculation Drone Survey'!$Z84</f>
        <v>263.32529999999991</v>
      </c>
      <c r="CN25" s="279">
        <f>'Level Calculation Drone Survey'!$Z84</f>
        <v>263.32529999999991</v>
      </c>
      <c r="CO25" s="313">
        <f>'Level Calculation Drone Survey'!$Z855</f>
        <v>263.12529999999992</v>
      </c>
      <c r="CP25" s="313">
        <f>'Level Calculation Drone Survey'!$Z855</f>
        <v>263.12529999999992</v>
      </c>
      <c r="CQ25" s="313">
        <f>'Level Calculation Drone Survey'!$Z855</f>
        <v>263.12529999999992</v>
      </c>
      <c r="CR25" s="313">
        <f>'Level Calculation Drone Survey'!$Z855</f>
        <v>263.12529999999992</v>
      </c>
      <c r="CS25" s="313">
        <f>'Level Calculation Drone Survey'!$Z855</f>
        <v>263.12529999999992</v>
      </c>
      <c r="CT25" s="313">
        <f>'Level Calculation Drone Survey'!$Z855</f>
        <v>263.12529999999992</v>
      </c>
      <c r="CU25" s="313">
        <f>'Level Calculation Drone Survey'!$Z855</f>
        <v>263.12529999999992</v>
      </c>
      <c r="CV25" s="313">
        <f>'Level Calculation Drone Survey'!$Z855</f>
        <v>263.12529999999992</v>
      </c>
      <c r="CW25" s="313">
        <f>'Level Calculation Drone Survey'!$Z855</f>
        <v>263.12529999999992</v>
      </c>
      <c r="CX25" s="313">
        <f>'Level Calculation Drone Survey'!$Z855</f>
        <v>263.12529999999992</v>
      </c>
      <c r="CY25" s="313">
        <f>'Level Calculation Drone Survey'!$Z855</f>
        <v>263.12529999999992</v>
      </c>
      <c r="CZ25" s="313">
        <f>'Level Calculation Drone Survey'!$Z855</f>
        <v>263.12529999999992</v>
      </c>
      <c r="DA25" s="313">
        <f>'Level Calculation Drone Survey'!$Z855</f>
        <v>263.12529999999992</v>
      </c>
      <c r="DB25" s="318">
        <f>'Level Calculation Drone Survey'!$Z852</f>
        <v>263.12529999999992</v>
      </c>
      <c r="DC25" s="318">
        <f>'Level Calculation Drone Survey'!$Z852</f>
        <v>263.12529999999992</v>
      </c>
      <c r="DD25" s="318">
        <f>'Level Calculation Drone Survey'!$Z852</f>
        <v>263.12529999999992</v>
      </c>
      <c r="DE25" s="318">
        <f>'Level Calculation Drone Survey'!$Z852</f>
        <v>263.12529999999992</v>
      </c>
      <c r="DF25" s="318">
        <f>'Level Calculation Drone Survey'!$Z852</f>
        <v>263.12529999999992</v>
      </c>
      <c r="DG25" s="318">
        <f>'Level Calculation Drone Survey'!$Z852</f>
        <v>263.12529999999992</v>
      </c>
      <c r="DH25" s="318">
        <f>'Level Calculation Drone Survey'!$Z852</f>
        <v>263.12529999999992</v>
      </c>
      <c r="DI25" s="318">
        <f>'Level Calculation Drone Survey'!$Z852</f>
        <v>263.12529999999992</v>
      </c>
      <c r="DJ25" s="279">
        <f>'Level Calculation Drone Survey'!$Z50</f>
        <v>263.34002222222222</v>
      </c>
      <c r="DK25" s="279">
        <f>'Level Calculation Drone Survey'!$Z50</f>
        <v>263.34002222222222</v>
      </c>
      <c r="DL25" s="279">
        <f>'Level Calculation Drone Survey'!$Z50</f>
        <v>263.34002222222222</v>
      </c>
      <c r="DM25" s="279">
        <f>'Level Calculation Drone Survey'!$Z50</f>
        <v>263.34002222222222</v>
      </c>
      <c r="DN25" s="279">
        <f>'Level Calculation Drone Survey'!$Z50</f>
        <v>263.34002222222222</v>
      </c>
      <c r="DO25" s="279">
        <f>'Level Calculation Drone Survey'!$Z50</f>
        <v>263.34002222222222</v>
      </c>
      <c r="DP25" s="279">
        <f>'Level Calculation Drone Survey'!$Z50</f>
        <v>263.34002222222222</v>
      </c>
      <c r="DQ25" s="279">
        <f>'Level Calculation Drone Survey'!$Z50</f>
        <v>263.34002222222222</v>
      </c>
      <c r="DR25" s="279">
        <f>'Level Calculation Drone Survey'!$Z50</f>
        <v>263.34002222222222</v>
      </c>
      <c r="DS25" s="279">
        <f>'Level Calculation Drone Survey'!$Z50</f>
        <v>263.34002222222222</v>
      </c>
      <c r="DT25" s="279">
        <f>'Level Calculation Drone Survey'!$Z50</f>
        <v>263.34002222222222</v>
      </c>
      <c r="DU25" s="279">
        <f>'Level Calculation Drone Survey'!$Z50</f>
        <v>263.34002222222222</v>
      </c>
      <c r="DV25" s="279">
        <f>'Level Calculation Drone Survey'!$Z50</f>
        <v>263.34002222222222</v>
      </c>
      <c r="DW25" s="279">
        <f>'Level Calculation Drone Survey'!$Z50</f>
        <v>263.34002222222222</v>
      </c>
      <c r="DX25" s="279">
        <f>'Level Calculation Drone Survey'!$Z50</f>
        <v>263.34002222222222</v>
      </c>
      <c r="DY25" s="279">
        <f>'Level Calculation Drone Survey'!$Z50</f>
        <v>263.34002222222222</v>
      </c>
      <c r="DZ25" s="279">
        <f>'Level Calculation Drone Survey'!$Z50</f>
        <v>263.34002222222222</v>
      </c>
      <c r="EA25" s="279">
        <f>'Level Calculation Drone Survey'!$Z50</f>
        <v>263.34002222222222</v>
      </c>
      <c r="EB25" s="305">
        <f>'Level Calculation Drone Survey'!$Z723</f>
        <v>263.08516315789467</v>
      </c>
      <c r="EC25" s="279">
        <f>'Level Calculation Drone Survey'!$Z17</f>
        <v>263.13516315789468</v>
      </c>
      <c r="ED25" s="279">
        <f>'Level Calculation Drone Survey'!$Z17</f>
        <v>263.13516315789468</v>
      </c>
      <c r="EE25" s="279">
        <f>'Level Calculation Drone Survey'!$Z17</f>
        <v>263.13516315789468</v>
      </c>
      <c r="EF25" s="279">
        <f>'Level Calculation Drone Survey'!$Z17</f>
        <v>263.13516315789468</v>
      </c>
      <c r="EG25" s="279">
        <f>'Level Calculation Drone Survey'!$Z17</f>
        <v>263.13516315789468</v>
      </c>
      <c r="EH25" s="279">
        <f>'Level Calculation Drone Survey'!$Z17</f>
        <v>263.13516315789468</v>
      </c>
      <c r="EI25" s="279">
        <f>'Level Calculation Drone Survey'!$Z17</f>
        <v>263.13516315789468</v>
      </c>
      <c r="EJ25" s="279">
        <f>'Level Calculation Drone Survey'!$Z17</f>
        <v>263.13516315789468</v>
      </c>
      <c r="EK25" s="279">
        <f>'Level Calculation Drone Survey'!$Z17</f>
        <v>263.13516315789468</v>
      </c>
      <c r="EL25" s="279">
        <f>'Level Calculation Drone Survey'!$Z17</f>
        <v>263.13516315789468</v>
      </c>
      <c r="EM25" s="279">
        <f>'Level Calculation Drone Survey'!$Z17</f>
        <v>263.13516315789468</v>
      </c>
      <c r="EN25" s="279">
        <f>'Level Calculation Drone Survey'!$Z17</f>
        <v>263.13516315789468</v>
      </c>
      <c r="EO25" s="279">
        <f>'Level Calculation Drone Survey'!$Z17</f>
        <v>263.13516315789468</v>
      </c>
      <c r="EP25" s="279">
        <f>'Level Calculation Drone Survey'!$Z17</f>
        <v>263.13516315789468</v>
      </c>
      <c r="EQ25" s="279">
        <f>'Level Calculation Drone Survey'!$Z17</f>
        <v>263.13516315789468</v>
      </c>
      <c r="ER25" s="279">
        <f>'Level Calculation Drone Survey'!$Z17</f>
        <v>263.13516315789468</v>
      </c>
      <c r="ES25" s="279">
        <f>'Level Calculation Drone Survey'!$Z17</f>
        <v>263.13516315789468</v>
      </c>
      <c r="ET25" s="279">
        <f>'Level Calculation Drone Survey'!$Z17</f>
        <v>263.13516315789468</v>
      </c>
      <c r="EU25" s="279">
        <f>'Level Calculation Drone Survey'!$Z17</f>
        <v>263.13516315789468</v>
      </c>
      <c r="EV25" s="305">
        <f>'Level Calculation Drone Survey'!$Z787</f>
        <v>263.03516315789466</v>
      </c>
      <c r="EW25" s="305">
        <f>'Level Calculation Drone Survey'!$Z787</f>
        <v>263.03516315789466</v>
      </c>
      <c r="EX25" s="305">
        <f>'Level Calculation Drone Survey'!$Z787</f>
        <v>263.03516315789466</v>
      </c>
      <c r="EY25" s="305">
        <f>'Level Calculation Drone Survey'!$Z787</f>
        <v>263.03516315789466</v>
      </c>
    </row>
    <row r="26" spans="1:155" ht="45" customHeight="1" x14ac:dyDescent="0.45">
      <c r="A26" s="277">
        <v>125</v>
      </c>
      <c r="B26" s="191"/>
      <c r="C26" s="191"/>
      <c r="D26" s="191"/>
      <c r="E26" s="191"/>
      <c r="F26" s="191"/>
      <c r="G26" s="191"/>
      <c r="H26" s="191"/>
      <c r="I26" s="191"/>
      <c r="J26" s="191"/>
      <c r="K26" s="191"/>
      <c r="L26" s="191"/>
      <c r="M26" s="191"/>
      <c r="N26" s="191"/>
      <c r="O26" s="191"/>
      <c r="P26" s="191"/>
      <c r="Q26" s="191"/>
      <c r="R26" s="191"/>
      <c r="S26" s="191"/>
      <c r="T26" s="191"/>
      <c r="U26" s="191"/>
      <c r="V26" s="191"/>
      <c r="W26" s="191"/>
      <c r="X26" s="191"/>
      <c r="Y26" s="191"/>
      <c r="Z26" s="191"/>
      <c r="AA26" s="191"/>
      <c r="AB26" s="191"/>
      <c r="AC26" s="191"/>
      <c r="AD26" s="191"/>
      <c r="AE26" s="191"/>
      <c r="AF26" s="191"/>
      <c r="AG26" s="191"/>
      <c r="AH26" s="191"/>
      <c r="AI26" s="191"/>
      <c r="AJ26" s="191"/>
      <c r="AK26" s="191"/>
      <c r="AL26" s="191"/>
      <c r="AM26" s="191"/>
      <c r="AN26" s="191"/>
      <c r="AO26" s="191"/>
      <c r="AP26" s="191"/>
      <c r="AQ26" s="191"/>
      <c r="AR26" s="191"/>
      <c r="AS26" s="191"/>
      <c r="AT26" s="191"/>
      <c r="AU26" s="191"/>
      <c r="AV26" s="191"/>
      <c r="AW26" s="191"/>
      <c r="AX26" s="191"/>
      <c r="AY26" s="191"/>
      <c r="AZ26" s="191"/>
      <c r="BA26" s="278">
        <v>264.05470000000003</v>
      </c>
      <c r="BB26" s="305">
        <f>'Level Calculation Drone Survey'!$Z$884</f>
        <v>263.43983999999989</v>
      </c>
      <c r="BC26" s="305">
        <f>'Level Calculation Drone Survey'!$Z$884</f>
        <v>263.43983999999989</v>
      </c>
      <c r="BD26" s="305">
        <f>'Level Calculation Drone Survey'!$Z$884</f>
        <v>263.43983999999989</v>
      </c>
      <c r="BE26" s="305">
        <f>'Level Calculation Drone Survey'!$Z$884</f>
        <v>263.43983999999989</v>
      </c>
      <c r="BF26" s="305">
        <f>'Level Calculation Drone Survey'!$Z$884</f>
        <v>263.43983999999989</v>
      </c>
      <c r="BG26" s="305">
        <f>'Level Calculation Drone Survey'!$Z$884</f>
        <v>263.43983999999989</v>
      </c>
      <c r="BH26" s="305">
        <f>'Level Calculation Drone Survey'!$Z$884</f>
        <v>263.43983999999989</v>
      </c>
      <c r="BI26" s="305">
        <f>'Level Calculation Drone Survey'!$Z$884</f>
        <v>263.43983999999989</v>
      </c>
      <c r="BJ26" s="305">
        <f>'Level Calculation Drone Survey'!$Z$884</f>
        <v>263.43983999999989</v>
      </c>
      <c r="BK26" s="305">
        <f>'Level Calculation Drone Survey'!$Z$884</f>
        <v>263.43983999999989</v>
      </c>
      <c r="BL26" s="305">
        <f>'Level Calculation Drone Survey'!$Z$884</f>
        <v>263.43983999999989</v>
      </c>
      <c r="BM26" s="305">
        <f>'Level Calculation Drone Survey'!$Z$884</f>
        <v>263.43983999999989</v>
      </c>
      <c r="BN26" s="305">
        <f>'Level Calculation Drone Survey'!$Z$884</f>
        <v>263.43983999999989</v>
      </c>
      <c r="BO26" s="305">
        <f>'Level Calculation Drone Survey'!$Z$884</f>
        <v>263.43983999999989</v>
      </c>
      <c r="BP26" s="305">
        <f>'Level Calculation Drone Survey'!$Z$884</f>
        <v>263.43983999999989</v>
      </c>
      <c r="BQ26" s="305">
        <f>'Level Calculation Drone Survey'!$Z$884</f>
        <v>263.43983999999989</v>
      </c>
      <c r="BR26" s="305">
        <f>'Level Calculation Drone Survey'!$Z$884</f>
        <v>263.43983999999989</v>
      </c>
      <c r="BS26" s="305">
        <f>'Level Calculation Drone Survey'!$Z$884</f>
        <v>263.43983999999989</v>
      </c>
      <c r="BT26" s="305">
        <f>'Level Calculation Drone Survey'!$Z$884</f>
        <v>263.43983999999989</v>
      </c>
      <c r="BU26" s="305">
        <f>'Level Calculation Drone Survey'!$Z$884</f>
        <v>263.43983999999989</v>
      </c>
      <c r="BV26" s="305">
        <f>'Level Calculation Drone Survey'!$Z$884</f>
        <v>263.43983999999989</v>
      </c>
      <c r="BW26" s="191"/>
      <c r="BX26" s="191"/>
      <c r="BY26" s="191"/>
      <c r="BZ26" s="191"/>
      <c r="CA26" s="191"/>
      <c r="CB26" s="191"/>
      <c r="CC26" s="313">
        <f>'Level Calculation Drone Survey'!$Z876</f>
        <v>263.32529999999991</v>
      </c>
      <c r="CD26" s="313">
        <f>'Level Calculation Drone Survey'!$Z876</f>
        <v>263.32529999999991</v>
      </c>
      <c r="CE26" s="313">
        <f>'Level Calculation Drone Survey'!$Z876</f>
        <v>263.32529999999991</v>
      </c>
      <c r="CF26" s="313">
        <f>'Level Calculation Drone Survey'!$Z876</f>
        <v>263.32529999999991</v>
      </c>
      <c r="CG26" s="279">
        <f>'Level Calculation Drone Survey'!$Z85</f>
        <v>263.37529999999992</v>
      </c>
      <c r="CH26" s="279">
        <f>'Level Calculation Drone Survey'!$Z85</f>
        <v>263.37529999999992</v>
      </c>
      <c r="CI26" s="279">
        <f>'Level Calculation Drone Survey'!$Z85</f>
        <v>263.37529999999992</v>
      </c>
      <c r="CJ26" s="279">
        <f>'Level Calculation Drone Survey'!$Z85</f>
        <v>263.37529999999992</v>
      </c>
      <c r="CK26" s="279">
        <f>'Level Calculation Drone Survey'!$Z85</f>
        <v>263.37529999999992</v>
      </c>
      <c r="CL26" s="279">
        <f>'Level Calculation Drone Survey'!$Z85</f>
        <v>263.37529999999992</v>
      </c>
      <c r="CM26" s="279">
        <f>'Level Calculation Drone Survey'!$Z85</f>
        <v>263.37529999999992</v>
      </c>
      <c r="CN26" s="279">
        <f>'Level Calculation Drone Survey'!$Z85</f>
        <v>263.37529999999992</v>
      </c>
      <c r="CO26" s="305">
        <f>'Level Calculation Drone Survey'!$Z648</f>
        <v>263.15006666666653</v>
      </c>
      <c r="CP26" s="305">
        <f>'Level Calculation Drone Survey'!$Z648</f>
        <v>263.15006666666653</v>
      </c>
      <c r="CQ26" s="279">
        <f>'Level Calculation Drone Survey'!$Z67</f>
        <v>263.19006666666655</v>
      </c>
      <c r="CR26" s="279">
        <f>'Level Calculation Drone Survey'!$Z67</f>
        <v>263.19006666666655</v>
      </c>
      <c r="CS26" s="279">
        <f>'Level Calculation Drone Survey'!$Z67</f>
        <v>263.19006666666655</v>
      </c>
      <c r="CT26" s="279">
        <f>'Level Calculation Drone Survey'!$Z67</f>
        <v>263.19006666666655</v>
      </c>
      <c r="CU26" s="279">
        <f>'Level Calculation Drone Survey'!$Z67</f>
        <v>263.19006666666655</v>
      </c>
      <c r="CV26" s="279">
        <f>'Level Calculation Drone Survey'!$Z67</f>
        <v>263.19006666666655</v>
      </c>
      <c r="CW26" s="279">
        <f>'Level Calculation Drone Survey'!$Z67</f>
        <v>263.19006666666655</v>
      </c>
      <c r="CX26" s="279">
        <f>'Level Calculation Drone Survey'!$Z67</f>
        <v>263.19006666666655</v>
      </c>
      <c r="CY26" s="279">
        <f>'Level Calculation Drone Survey'!$Z67</f>
        <v>263.19006666666655</v>
      </c>
      <c r="CZ26" s="279">
        <f>'Level Calculation Drone Survey'!$Z67</f>
        <v>263.19006666666655</v>
      </c>
      <c r="DA26" s="279">
        <f>'Level Calculation Drone Survey'!$Z67</f>
        <v>263.19006666666655</v>
      </c>
      <c r="DB26" s="279">
        <f>'Level Calculation Drone Survey'!$Z67</f>
        <v>263.19006666666655</v>
      </c>
      <c r="DC26" s="279">
        <f>'Level Calculation Drone Survey'!$Z67</f>
        <v>263.19006666666655</v>
      </c>
      <c r="DD26" s="279">
        <f>'Level Calculation Drone Survey'!$Z67</f>
        <v>263.19006666666655</v>
      </c>
      <c r="DE26" s="279">
        <f>'Level Calculation Drone Survey'!$Z67</f>
        <v>263.19006666666655</v>
      </c>
      <c r="DF26" s="279">
        <f>'Level Calculation Drone Survey'!$Z67</f>
        <v>263.19006666666655</v>
      </c>
      <c r="DG26" s="279">
        <f>'Level Calculation Drone Survey'!$Z67</f>
        <v>263.19006666666655</v>
      </c>
      <c r="DH26" s="279">
        <f>'Level Calculation Drone Survey'!$Z67</f>
        <v>263.19006666666655</v>
      </c>
      <c r="DI26" s="305">
        <f>'Level Calculation Drone Survey'!$Z675</f>
        <v>263.19006666666655</v>
      </c>
      <c r="DJ26" s="279">
        <f>'Level Calculation Drone Survey'!$Z51</f>
        <v>263.39002222222223</v>
      </c>
      <c r="DK26" s="279">
        <f>'Level Calculation Drone Survey'!$Z51</f>
        <v>263.39002222222223</v>
      </c>
      <c r="DL26" s="279">
        <f>'Level Calculation Drone Survey'!$Z51</f>
        <v>263.39002222222223</v>
      </c>
      <c r="DM26" s="279">
        <f>'Level Calculation Drone Survey'!$Z51</f>
        <v>263.39002222222223</v>
      </c>
      <c r="DN26" s="279">
        <f>'Level Calculation Drone Survey'!$Z51</f>
        <v>263.39002222222223</v>
      </c>
      <c r="DO26" s="279">
        <f>'Level Calculation Drone Survey'!$Z51</f>
        <v>263.39002222222223</v>
      </c>
      <c r="DP26" s="279">
        <f>'Level Calculation Drone Survey'!$Z51</f>
        <v>263.39002222222223</v>
      </c>
      <c r="DQ26" s="279">
        <f>'Level Calculation Drone Survey'!$Z51</f>
        <v>263.39002222222223</v>
      </c>
      <c r="DR26" s="279">
        <f>'Level Calculation Drone Survey'!$Z51</f>
        <v>263.39002222222223</v>
      </c>
      <c r="DS26" s="279">
        <f>'Level Calculation Drone Survey'!$Z51</f>
        <v>263.39002222222223</v>
      </c>
      <c r="DT26" s="279">
        <f>'Level Calculation Drone Survey'!$Z51</f>
        <v>263.39002222222223</v>
      </c>
      <c r="DU26" s="279">
        <f>'Level Calculation Drone Survey'!$Z51</f>
        <v>263.39002222222223</v>
      </c>
      <c r="DV26" s="279">
        <f>'Level Calculation Drone Survey'!$Z51</f>
        <v>263.39002222222223</v>
      </c>
      <c r="DW26" s="279">
        <f>'Level Calculation Drone Survey'!$Z51</f>
        <v>263.39002222222223</v>
      </c>
      <c r="DX26" s="279">
        <f>'Level Calculation Drone Survey'!$Z51</f>
        <v>263.39002222222223</v>
      </c>
      <c r="DY26" s="279">
        <f>'Level Calculation Drone Survey'!$Z51</f>
        <v>263.39002222222223</v>
      </c>
      <c r="DZ26" s="279">
        <f>'Level Calculation Drone Survey'!$Z51</f>
        <v>263.39002222222223</v>
      </c>
      <c r="EA26" s="279">
        <f>'Level Calculation Drone Survey'!$Z51</f>
        <v>263.39002222222223</v>
      </c>
      <c r="EB26" s="305">
        <f>'Level Calculation Drone Survey'!$Z724</f>
        <v>263.13516315789468</v>
      </c>
      <c r="EC26" s="279">
        <f>'Level Calculation Drone Survey'!$Z18</f>
        <v>263.18516315789469</v>
      </c>
      <c r="ED26" s="279">
        <f>'Level Calculation Drone Survey'!$Z18</f>
        <v>263.18516315789469</v>
      </c>
      <c r="EE26" s="279">
        <f>'Level Calculation Drone Survey'!$Z18</f>
        <v>263.18516315789469</v>
      </c>
      <c r="EF26" s="279">
        <f>'Level Calculation Drone Survey'!$Z18</f>
        <v>263.18516315789469</v>
      </c>
      <c r="EG26" s="279">
        <f>'Level Calculation Drone Survey'!$Z18</f>
        <v>263.18516315789469</v>
      </c>
      <c r="EH26" s="279">
        <f>'Level Calculation Drone Survey'!$Z18</f>
        <v>263.18516315789469</v>
      </c>
      <c r="EI26" s="279">
        <f>'Level Calculation Drone Survey'!$Z18</f>
        <v>263.18516315789469</v>
      </c>
      <c r="EJ26" s="279">
        <f>'Level Calculation Drone Survey'!$Z18</f>
        <v>263.18516315789469</v>
      </c>
      <c r="EK26" s="279">
        <f>'Level Calculation Drone Survey'!$Z18</f>
        <v>263.18516315789469</v>
      </c>
      <c r="EL26" s="279">
        <f>'Level Calculation Drone Survey'!$Z18</f>
        <v>263.18516315789469</v>
      </c>
      <c r="EM26" s="279">
        <f>'Level Calculation Drone Survey'!$Z18</f>
        <v>263.18516315789469</v>
      </c>
      <c r="EN26" s="279">
        <f>'Level Calculation Drone Survey'!$Z18</f>
        <v>263.18516315789469</v>
      </c>
      <c r="EO26" s="279">
        <f>'Level Calculation Drone Survey'!$Z18</f>
        <v>263.18516315789469</v>
      </c>
      <c r="EP26" s="279">
        <f>'Level Calculation Drone Survey'!$Z18</f>
        <v>263.18516315789469</v>
      </c>
      <c r="EQ26" s="279">
        <f>'Level Calculation Drone Survey'!$Z18</f>
        <v>263.18516315789469</v>
      </c>
      <c r="ER26" s="279">
        <f>'Level Calculation Drone Survey'!$Z18</f>
        <v>263.18516315789469</v>
      </c>
      <c r="ES26" s="279">
        <f>'Level Calculation Drone Survey'!$Z18</f>
        <v>263.18516315789469</v>
      </c>
      <c r="ET26" s="279">
        <f>'Level Calculation Drone Survey'!$Z18</f>
        <v>263.18516315789469</v>
      </c>
      <c r="EU26" s="279">
        <f>'Level Calculation Drone Survey'!$Z18</f>
        <v>263.18516315789469</v>
      </c>
      <c r="EV26" s="305">
        <f>'Level Calculation Drone Survey'!$Z788</f>
        <v>263.08516315789467</v>
      </c>
      <c r="EW26" s="305">
        <f>'Level Calculation Drone Survey'!$Z788</f>
        <v>263.08516315789467</v>
      </c>
      <c r="EX26" s="305">
        <f>'Level Calculation Drone Survey'!$Z788</f>
        <v>263.08516315789467</v>
      </c>
      <c r="EY26" s="278">
        <v>262.83150000000001</v>
      </c>
    </row>
    <row r="27" spans="1:155" ht="45" customHeight="1" x14ac:dyDescent="0.45">
      <c r="A27" s="277">
        <v>130</v>
      </c>
      <c r="B27" s="191"/>
      <c r="C27" s="191"/>
      <c r="D27" s="191"/>
      <c r="E27" s="191"/>
      <c r="F27" s="191"/>
      <c r="G27" s="191"/>
      <c r="H27" s="191"/>
      <c r="I27" s="191"/>
      <c r="J27" s="191"/>
      <c r="K27" s="191"/>
      <c r="L27" s="191"/>
      <c r="M27" s="191"/>
      <c r="N27" s="191"/>
      <c r="O27" s="191"/>
      <c r="P27" s="191"/>
      <c r="Q27" s="191"/>
      <c r="R27" s="191"/>
      <c r="S27" s="191"/>
      <c r="T27" s="191"/>
      <c r="U27" s="191"/>
      <c r="V27" s="191"/>
      <c r="W27" s="191"/>
      <c r="X27" s="191"/>
      <c r="Y27" s="191"/>
      <c r="Z27" s="191"/>
      <c r="AA27" s="191"/>
      <c r="AB27" s="191"/>
      <c r="AC27" s="191"/>
      <c r="AD27" s="191"/>
      <c r="AE27" s="191"/>
      <c r="AF27" s="191"/>
      <c r="AG27" s="191"/>
      <c r="AH27" s="191"/>
      <c r="AI27" s="191"/>
      <c r="AJ27" s="191"/>
      <c r="AK27" s="191"/>
      <c r="AL27" s="191"/>
      <c r="AM27" s="191"/>
      <c r="AN27" s="191"/>
      <c r="AO27" s="191"/>
      <c r="AP27" s="191"/>
      <c r="AQ27" s="191"/>
      <c r="AR27" s="191"/>
      <c r="AS27" s="191"/>
      <c r="AT27" s="191"/>
      <c r="AU27" s="191"/>
      <c r="AV27" s="191"/>
      <c r="AW27" s="191"/>
      <c r="AX27" s="191"/>
      <c r="AY27" s="191"/>
      <c r="AZ27" s="191"/>
      <c r="BA27" s="313">
        <f>'Level Calculation Drone Survey'!$Z580</f>
        <v>263.43983999999989</v>
      </c>
      <c r="BB27" s="279">
        <f>'Level Calculation Drone Survey'!$Z101</f>
        <v>263.57483999999988</v>
      </c>
      <c r="BC27" s="279">
        <f>'Level Calculation Drone Survey'!$Z101</f>
        <v>263.57483999999988</v>
      </c>
      <c r="BD27" s="279">
        <f>'Level Calculation Drone Survey'!$Z101</f>
        <v>263.57483999999988</v>
      </c>
      <c r="BE27" s="279">
        <f>'Level Calculation Drone Survey'!$Z101</f>
        <v>263.57483999999988</v>
      </c>
      <c r="BF27" s="279">
        <f>'Level Calculation Drone Survey'!$Z101</f>
        <v>263.57483999999988</v>
      </c>
      <c r="BG27" s="279">
        <f>'Level Calculation Drone Survey'!$Z101</f>
        <v>263.57483999999988</v>
      </c>
      <c r="BH27" s="279">
        <f>'Level Calculation Drone Survey'!$Z101</f>
        <v>263.57483999999988</v>
      </c>
      <c r="BI27" s="279">
        <f>'Level Calculation Drone Survey'!$Z101</f>
        <v>263.57483999999988</v>
      </c>
      <c r="BJ27" s="279">
        <f>'Level Calculation Drone Survey'!$Z101</f>
        <v>263.57483999999988</v>
      </c>
      <c r="BK27" s="279">
        <f>'Level Calculation Drone Survey'!$Z101</f>
        <v>263.57483999999988</v>
      </c>
      <c r="BL27" s="279">
        <f>'Level Calculation Drone Survey'!$Z101</f>
        <v>263.57483999999988</v>
      </c>
      <c r="BM27" s="279">
        <f>'Level Calculation Drone Survey'!$Z101</f>
        <v>263.57483999999988</v>
      </c>
      <c r="BN27" s="279">
        <f>'Level Calculation Drone Survey'!$Z101</f>
        <v>263.57483999999988</v>
      </c>
      <c r="BO27" s="279">
        <f>'Level Calculation Drone Survey'!$Z101</f>
        <v>263.57483999999988</v>
      </c>
      <c r="BP27" s="279">
        <f>'Level Calculation Drone Survey'!$Z101</f>
        <v>263.57483999999988</v>
      </c>
      <c r="BQ27" s="279">
        <f>'Level Calculation Drone Survey'!$Z101</f>
        <v>263.57483999999988</v>
      </c>
      <c r="BR27" s="279">
        <f>'Level Calculation Drone Survey'!$Z101</f>
        <v>263.57483999999988</v>
      </c>
      <c r="BS27" s="279">
        <f>'Level Calculation Drone Survey'!$Z101</f>
        <v>263.57483999999988</v>
      </c>
      <c r="BT27" s="279">
        <f>'Level Calculation Drone Survey'!$Z101</f>
        <v>263.57483999999988</v>
      </c>
      <c r="BU27" s="279">
        <f>'Level Calculation Drone Survey'!$Z101</f>
        <v>263.57483999999988</v>
      </c>
      <c r="BV27" s="305">
        <f>'Level Calculation Drone Survey'!$Z610</f>
        <v>263.42529999999994</v>
      </c>
      <c r="BW27" s="278">
        <v>263.69760000000002</v>
      </c>
      <c r="BX27" s="278">
        <v>263.95999999999998</v>
      </c>
      <c r="BY27" s="191"/>
      <c r="BZ27" s="191"/>
      <c r="CA27" s="191"/>
      <c r="CB27" s="313">
        <f>'Level Calculation Drone Survey'!$Z877</f>
        <v>263.37529999999992</v>
      </c>
      <c r="CC27" s="313">
        <f>'Level Calculation Drone Survey'!$Z877</f>
        <v>263.37529999999992</v>
      </c>
      <c r="CD27" s="313">
        <f>'Level Calculation Drone Survey'!$Z877</f>
        <v>263.37529999999992</v>
      </c>
      <c r="CE27" s="313">
        <f>'Level Calculation Drone Survey'!$Z877</f>
        <v>263.37529999999992</v>
      </c>
      <c r="CF27" s="313">
        <f>'Level Calculation Drone Survey'!$Z877</f>
        <v>263.37529999999992</v>
      </c>
      <c r="CG27" s="279">
        <f>'Level Calculation Drone Survey'!$Z86</f>
        <v>263.42529999999994</v>
      </c>
      <c r="CH27" s="279">
        <f>'Level Calculation Drone Survey'!$Z86</f>
        <v>263.42529999999994</v>
      </c>
      <c r="CI27" s="279">
        <f>'Level Calculation Drone Survey'!$Z86</f>
        <v>263.42529999999994</v>
      </c>
      <c r="CJ27" s="279">
        <f>'Level Calculation Drone Survey'!$Z86</f>
        <v>263.42529999999994</v>
      </c>
      <c r="CK27" s="279">
        <f>'Level Calculation Drone Survey'!$Z86</f>
        <v>263.42529999999994</v>
      </c>
      <c r="CL27" s="279">
        <f>'Level Calculation Drone Survey'!$Z86</f>
        <v>263.42529999999994</v>
      </c>
      <c r="CM27" s="279">
        <f>'Level Calculation Drone Survey'!$Z86</f>
        <v>263.42529999999994</v>
      </c>
      <c r="CN27" s="279">
        <f>'Level Calculation Drone Survey'!$Z86</f>
        <v>263.42529999999994</v>
      </c>
      <c r="CO27" s="305">
        <f>'Level Calculation Drone Survey'!$Z649</f>
        <v>263.20006666666654</v>
      </c>
      <c r="CP27" s="305">
        <f>'Level Calculation Drone Survey'!$Z649</f>
        <v>263.20006666666654</v>
      </c>
      <c r="CQ27" s="279">
        <f>'Level Calculation Drone Survey'!$Z68</f>
        <v>263.24006666666656</v>
      </c>
      <c r="CR27" s="279">
        <f>'Level Calculation Drone Survey'!$Z68</f>
        <v>263.24006666666656</v>
      </c>
      <c r="CS27" s="279">
        <f>'Level Calculation Drone Survey'!$Z68</f>
        <v>263.24006666666656</v>
      </c>
      <c r="CT27" s="279">
        <f>'Level Calculation Drone Survey'!$Z68</f>
        <v>263.24006666666656</v>
      </c>
      <c r="CU27" s="279">
        <f>'Level Calculation Drone Survey'!$Z68</f>
        <v>263.24006666666656</v>
      </c>
      <c r="CV27" s="279">
        <f>'Level Calculation Drone Survey'!$Z68</f>
        <v>263.24006666666656</v>
      </c>
      <c r="CW27" s="279">
        <f>'Level Calculation Drone Survey'!$Z68</f>
        <v>263.24006666666656</v>
      </c>
      <c r="CX27" s="279">
        <f>'Level Calculation Drone Survey'!$Z68</f>
        <v>263.24006666666656</v>
      </c>
      <c r="CY27" s="279">
        <f>'Level Calculation Drone Survey'!$Z68</f>
        <v>263.24006666666656</v>
      </c>
      <c r="CZ27" s="279">
        <f>'Level Calculation Drone Survey'!$Z68</f>
        <v>263.24006666666656</v>
      </c>
      <c r="DA27" s="279">
        <f>'Level Calculation Drone Survey'!$Z68</f>
        <v>263.24006666666656</v>
      </c>
      <c r="DB27" s="279">
        <f>'Level Calculation Drone Survey'!$Z68</f>
        <v>263.24006666666656</v>
      </c>
      <c r="DC27" s="279">
        <f>'Level Calculation Drone Survey'!$Z68</f>
        <v>263.24006666666656</v>
      </c>
      <c r="DD27" s="279">
        <f>'Level Calculation Drone Survey'!$Z68</f>
        <v>263.24006666666656</v>
      </c>
      <c r="DE27" s="279">
        <f>'Level Calculation Drone Survey'!$Z68</f>
        <v>263.24006666666656</v>
      </c>
      <c r="DF27" s="279">
        <f>'Level Calculation Drone Survey'!$Z68</f>
        <v>263.24006666666656</v>
      </c>
      <c r="DG27" s="279">
        <f>'Level Calculation Drone Survey'!$Z68</f>
        <v>263.24006666666656</v>
      </c>
      <c r="DH27" s="279">
        <f>'Level Calculation Drone Survey'!$Z68</f>
        <v>263.24006666666656</v>
      </c>
      <c r="DI27" s="305">
        <f>'Level Calculation Drone Survey'!$Z676</f>
        <v>263.24006666666656</v>
      </c>
      <c r="DJ27" s="279">
        <f>'Level Calculation Drone Survey'!$Z52</f>
        <v>263.44002222222224</v>
      </c>
      <c r="DK27" s="279">
        <f>'Level Calculation Drone Survey'!$Z52</f>
        <v>263.44002222222224</v>
      </c>
      <c r="DL27" s="279">
        <f>'Level Calculation Drone Survey'!$Z52</f>
        <v>263.44002222222224</v>
      </c>
      <c r="DM27" s="279">
        <f>'Level Calculation Drone Survey'!$Z52</f>
        <v>263.44002222222224</v>
      </c>
      <c r="DN27" s="279">
        <f>'Level Calculation Drone Survey'!$Z52</f>
        <v>263.44002222222224</v>
      </c>
      <c r="DO27" s="279">
        <f>'Level Calculation Drone Survey'!$Z52</f>
        <v>263.44002222222224</v>
      </c>
      <c r="DP27" s="279">
        <f>'Level Calculation Drone Survey'!$Z52</f>
        <v>263.44002222222224</v>
      </c>
      <c r="DQ27" s="279">
        <f>'Level Calculation Drone Survey'!$Z52</f>
        <v>263.44002222222224</v>
      </c>
      <c r="DR27" s="279">
        <f>'Level Calculation Drone Survey'!$Z52</f>
        <v>263.44002222222224</v>
      </c>
      <c r="DS27" s="279">
        <f>'Level Calculation Drone Survey'!$Z52</f>
        <v>263.44002222222224</v>
      </c>
      <c r="DT27" s="279">
        <f>'Level Calculation Drone Survey'!$Z52</f>
        <v>263.44002222222224</v>
      </c>
      <c r="DU27" s="279">
        <f>'Level Calculation Drone Survey'!$Z52</f>
        <v>263.44002222222224</v>
      </c>
      <c r="DV27" s="279">
        <f>'Level Calculation Drone Survey'!$Z52</f>
        <v>263.44002222222224</v>
      </c>
      <c r="DW27" s="279">
        <f>'Level Calculation Drone Survey'!$Z52</f>
        <v>263.44002222222224</v>
      </c>
      <c r="DX27" s="279">
        <f>'Level Calculation Drone Survey'!$Z52</f>
        <v>263.44002222222224</v>
      </c>
      <c r="DY27" s="279">
        <f>'Level Calculation Drone Survey'!$Z52</f>
        <v>263.44002222222224</v>
      </c>
      <c r="DZ27" s="279">
        <f>'Level Calculation Drone Survey'!$Z52</f>
        <v>263.44002222222224</v>
      </c>
      <c r="EA27" s="279">
        <f>'Level Calculation Drone Survey'!$Z52</f>
        <v>263.44002222222224</v>
      </c>
      <c r="EB27" s="305">
        <f>'Level Calculation Drone Survey'!$Z725</f>
        <v>263.18516315789469</v>
      </c>
      <c r="EC27" s="279">
        <f>'Level Calculation Drone Survey'!$Z19</f>
        <v>263.2351631578947</v>
      </c>
      <c r="ED27" s="279">
        <f>'Level Calculation Drone Survey'!$Z19</f>
        <v>263.2351631578947</v>
      </c>
      <c r="EE27" s="279">
        <f>'Level Calculation Drone Survey'!$Z19</f>
        <v>263.2351631578947</v>
      </c>
      <c r="EF27" s="279">
        <f>'Level Calculation Drone Survey'!$Z19</f>
        <v>263.2351631578947</v>
      </c>
      <c r="EG27" s="279">
        <f>'Level Calculation Drone Survey'!$Z19</f>
        <v>263.2351631578947</v>
      </c>
      <c r="EH27" s="279">
        <f>'Level Calculation Drone Survey'!$Z19</f>
        <v>263.2351631578947</v>
      </c>
      <c r="EI27" s="279">
        <f>'Level Calculation Drone Survey'!$Z19</f>
        <v>263.2351631578947</v>
      </c>
      <c r="EJ27" s="279">
        <f>'Level Calculation Drone Survey'!$Z19</f>
        <v>263.2351631578947</v>
      </c>
      <c r="EK27" s="279">
        <f>'Level Calculation Drone Survey'!$Z19</f>
        <v>263.2351631578947</v>
      </c>
      <c r="EL27" s="279">
        <f>'Level Calculation Drone Survey'!$Z19</f>
        <v>263.2351631578947</v>
      </c>
      <c r="EM27" s="279">
        <f>'Level Calculation Drone Survey'!$Z19</f>
        <v>263.2351631578947</v>
      </c>
      <c r="EN27" s="279">
        <f>'Level Calculation Drone Survey'!$Z19</f>
        <v>263.2351631578947</v>
      </c>
      <c r="EO27" s="279">
        <f>'Level Calculation Drone Survey'!$Z19</f>
        <v>263.2351631578947</v>
      </c>
      <c r="EP27" s="279">
        <f>'Level Calculation Drone Survey'!$Z19</f>
        <v>263.2351631578947</v>
      </c>
      <c r="EQ27" s="279">
        <f>'Level Calculation Drone Survey'!$Z19</f>
        <v>263.2351631578947</v>
      </c>
      <c r="ER27" s="279">
        <f>'Level Calculation Drone Survey'!$Z19</f>
        <v>263.2351631578947</v>
      </c>
      <c r="ES27" s="279">
        <f>'Level Calculation Drone Survey'!$Z19</f>
        <v>263.2351631578947</v>
      </c>
      <c r="ET27" s="279">
        <f>'Level Calculation Drone Survey'!$Z19</f>
        <v>263.2351631578947</v>
      </c>
      <c r="EU27" s="279">
        <f>'Level Calculation Drone Survey'!$Z19</f>
        <v>263.2351631578947</v>
      </c>
      <c r="EV27" s="305">
        <f>'Level Calculation Drone Survey'!$Z789</f>
        <v>263.13516315789468</v>
      </c>
      <c r="EW27" s="305">
        <f>'Level Calculation Drone Survey'!$Z789</f>
        <v>263.13516315789468</v>
      </c>
      <c r="EX27" s="305">
        <f>'Level Calculation Drone Survey'!$Z789</f>
        <v>263.13516315789468</v>
      </c>
      <c r="EY27" s="191"/>
    </row>
    <row r="28" spans="1:155" ht="45" customHeight="1" x14ac:dyDescent="0.45">
      <c r="A28" s="277">
        <v>135</v>
      </c>
      <c r="B28" s="191"/>
      <c r="C28" s="191"/>
      <c r="D28" s="191"/>
      <c r="E28" s="191"/>
      <c r="F28" s="191"/>
      <c r="G28" s="191"/>
      <c r="H28" s="191"/>
      <c r="I28" s="191"/>
      <c r="J28" s="191"/>
      <c r="K28" s="191"/>
      <c r="L28" s="191"/>
      <c r="M28" s="191"/>
      <c r="N28" s="191"/>
      <c r="O28" s="191"/>
      <c r="P28" s="191"/>
      <c r="Q28" s="191"/>
      <c r="R28" s="191"/>
      <c r="S28" s="191"/>
      <c r="T28" s="191"/>
      <c r="U28" s="191"/>
      <c r="V28" s="191"/>
      <c r="W28" s="191"/>
      <c r="X28" s="191"/>
      <c r="Y28" s="191"/>
      <c r="Z28" s="191"/>
      <c r="AA28" s="191"/>
      <c r="AB28" s="191"/>
      <c r="AC28" s="191"/>
      <c r="AD28" s="191"/>
      <c r="AE28" s="191"/>
      <c r="AF28" s="191"/>
      <c r="AG28" s="191"/>
      <c r="AH28" s="191"/>
      <c r="AI28" s="191"/>
      <c r="AJ28" s="191"/>
      <c r="AK28" s="191"/>
      <c r="AL28" s="191"/>
      <c r="AM28" s="191"/>
      <c r="AN28" s="191"/>
      <c r="AO28" s="191"/>
      <c r="AP28" s="191"/>
      <c r="AQ28" s="191"/>
      <c r="AR28" s="191"/>
      <c r="AS28" s="191"/>
      <c r="AT28" s="191"/>
      <c r="AU28" s="191"/>
      <c r="AV28" s="191"/>
      <c r="AW28" s="191"/>
      <c r="AX28" s="191"/>
      <c r="AY28" s="191"/>
      <c r="AZ28" s="191"/>
      <c r="BA28" s="313">
        <f>'Level Calculation Drone Survey'!$Z581</f>
        <v>263.4898399999999</v>
      </c>
      <c r="BB28" s="279">
        <f>'Level Calculation Drone Survey'!$Z102</f>
        <v>263.62483999999989</v>
      </c>
      <c r="BC28" s="279">
        <f>'Level Calculation Drone Survey'!$Z102</f>
        <v>263.62483999999989</v>
      </c>
      <c r="BD28" s="279">
        <f>'Level Calculation Drone Survey'!$Z102</f>
        <v>263.62483999999989</v>
      </c>
      <c r="BE28" s="279">
        <f>'Level Calculation Drone Survey'!$Z102</f>
        <v>263.62483999999989</v>
      </c>
      <c r="BF28" s="279">
        <f>'Level Calculation Drone Survey'!$Z102</f>
        <v>263.62483999999989</v>
      </c>
      <c r="BG28" s="279">
        <f>'Level Calculation Drone Survey'!$Z102</f>
        <v>263.62483999999989</v>
      </c>
      <c r="BH28" s="279">
        <f>'Level Calculation Drone Survey'!$Z102</f>
        <v>263.62483999999989</v>
      </c>
      <c r="BI28" s="279">
        <f>'Level Calculation Drone Survey'!$Z102</f>
        <v>263.62483999999989</v>
      </c>
      <c r="BJ28" s="279">
        <f>'Level Calculation Drone Survey'!$Z102</f>
        <v>263.62483999999989</v>
      </c>
      <c r="BK28" s="279">
        <f>'Level Calculation Drone Survey'!$Z102</f>
        <v>263.62483999999989</v>
      </c>
      <c r="BL28" s="279">
        <f>'Level Calculation Drone Survey'!$Z102</f>
        <v>263.62483999999989</v>
      </c>
      <c r="BM28" s="279">
        <f>'Level Calculation Drone Survey'!$Z102</f>
        <v>263.62483999999989</v>
      </c>
      <c r="BN28" s="279">
        <f>'Level Calculation Drone Survey'!$Z102</f>
        <v>263.62483999999989</v>
      </c>
      <c r="BO28" s="279">
        <f>'Level Calculation Drone Survey'!$Z102</f>
        <v>263.62483999999989</v>
      </c>
      <c r="BP28" s="279">
        <f>'Level Calculation Drone Survey'!$Z102</f>
        <v>263.62483999999989</v>
      </c>
      <c r="BQ28" s="279">
        <f>'Level Calculation Drone Survey'!$Z102</f>
        <v>263.62483999999989</v>
      </c>
      <c r="BR28" s="279">
        <f>'Level Calculation Drone Survey'!$Z102</f>
        <v>263.62483999999989</v>
      </c>
      <c r="BS28" s="279">
        <f>'Level Calculation Drone Survey'!$Z102</f>
        <v>263.62483999999989</v>
      </c>
      <c r="BT28" s="279">
        <f>'Level Calculation Drone Survey'!$Z102</f>
        <v>263.62483999999989</v>
      </c>
      <c r="BU28" s="279">
        <f>'Level Calculation Drone Survey'!$Z102</f>
        <v>263.62483999999989</v>
      </c>
      <c r="BV28" s="305">
        <f>'Level Calculation Drone Survey'!$Z611</f>
        <v>263.42529999999994</v>
      </c>
      <c r="BW28" s="313">
        <f>'Level Calculation Drone Survey'!$Z878</f>
        <v>263.42529999999994</v>
      </c>
      <c r="BX28" s="313">
        <f>'Level Calculation Drone Survey'!$Z878</f>
        <v>263.42529999999994</v>
      </c>
      <c r="BY28" s="313">
        <f>'Level Calculation Drone Survey'!$Z878</f>
        <v>263.42529999999994</v>
      </c>
      <c r="BZ28" s="313">
        <f>'Level Calculation Drone Survey'!$Z878</f>
        <v>263.42529999999994</v>
      </c>
      <c r="CA28" s="313">
        <f>'Level Calculation Drone Survey'!$Z878</f>
        <v>263.42529999999994</v>
      </c>
      <c r="CB28" s="313">
        <f>'Level Calculation Drone Survey'!$Z878</f>
        <v>263.42529999999994</v>
      </c>
      <c r="CC28" s="313">
        <f>'Level Calculation Drone Survey'!$Z878</f>
        <v>263.42529999999994</v>
      </c>
      <c r="CD28" s="313">
        <f>'Level Calculation Drone Survey'!$Z878</f>
        <v>263.42529999999994</v>
      </c>
      <c r="CE28" s="313">
        <f>'Level Calculation Drone Survey'!$Z878</f>
        <v>263.42529999999994</v>
      </c>
      <c r="CF28" s="313">
        <f>'Level Calculation Drone Survey'!$Z878</f>
        <v>263.42529999999994</v>
      </c>
      <c r="CG28" s="279">
        <f>'Level Calculation Drone Survey'!$Z87</f>
        <v>263.47529999999995</v>
      </c>
      <c r="CH28" s="279">
        <f>'Level Calculation Drone Survey'!$Z87</f>
        <v>263.47529999999995</v>
      </c>
      <c r="CI28" s="279">
        <f>'Level Calculation Drone Survey'!$Z87</f>
        <v>263.47529999999995</v>
      </c>
      <c r="CJ28" s="279">
        <f>'Level Calculation Drone Survey'!$Z87</f>
        <v>263.47529999999995</v>
      </c>
      <c r="CK28" s="279">
        <f>'Level Calculation Drone Survey'!$Z87</f>
        <v>263.47529999999995</v>
      </c>
      <c r="CL28" s="279">
        <f>'Level Calculation Drone Survey'!$Z87</f>
        <v>263.47529999999995</v>
      </c>
      <c r="CM28" s="279">
        <f>'Level Calculation Drone Survey'!$Z87</f>
        <v>263.47529999999995</v>
      </c>
      <c r="CN28" s="279">
        <f>'Level Calculation Drone Survey'!$Z87</f>
        <v>263.47529999999995</v>
      </c>
      <c r="CO28" s="305">
        <f>'Level Calculation Drone Survey'!$Z650</f>
        <v>263.25006666666656</v>
      </c>
      <c r="CP28" s="305">
        <f>'Level Calculation Drone Survey'!$Z650</f>
        <v>263.25006666666656</v>
      </c>
      <c r="CQ28" s="279">
        <f>'Level Calculation Drone Survey'!$Z69</f>
        <v>263.29006666666658</v>
      </c>
      <c r="CR28" s="279">
        <f>'Level Calculation Drone Survey'!$Z69</f>
        <v>263.29006666666658</v>
      </c>
      <c r="CS28" s="279">
        <f>'Level Calculation Drone Survey'!$Z69</f>
        <v>263.29006666666658</v>
      </c>
      <c r="CT28" s="279">
        <f>'Level Calculation Drone Survey'!$Z69</f>
        <v>263.29006666666658</v>
      </c>
      <c r="CU28" s="279">
        <f>'Level Calculation Drone Survey'!$Z69</f>
        <v>263.29006666666658</v>
      </c>
      <c r="CV28" s="279">
        <f>'Level Calculation Drone Survey'!$Z69</f>
        <v>263.29006666666658</v>
      </c>
      <c r="CW28" s="279">
        <f>'Level Calculation Drone Survey'!$Z69</f>
        <v>263.29006666666658</v>
      </c>
      <c r="CX28" s="279">
        <f>'Level Calculation Drone Survey'!$Z69</f>
        <v>263.29006666666658</v>
      </c>
      <c r="CY28" s="279">
        <f>'Level Calculation Drone Survey'!$Z69</f>
        <v>263.29006666666658</v>
      </c>
      <c r="CZ28" s="279">
        <f>'Level Calculation Drone Survey'!$Z69</f>
        <v>263.29006666666658</v>
      </c>
      <c r="DA28" s="279">
        <f>'Level Calculation Drone Survey'!$Z69</f>
        <v>263.29006666666658</v>
      </c>
      <c r="DB28" s="279">
        <f>'Level Calculation Drone Survey'!$Z69</f>
        <v>263.29006666666658</v>
      </c>
      <c r="DC28" s="279">
        <f>'Level Calculation Drone Survey'!$Z69</f>
        <v>263.29006666666658</v>
      </c>
      <c r="DD28" s="279">
        <f>'Level Calculation Drone Survey'!$Z69</f>
        <v>263.29006666666658</v>
      </c>
      <c r="DE28" s="279">
        <f>'Level Calculation Drone Survey'!$Z69</f>
        <v>263.29006666666658</v>
      </c>
      <c r="DF28" s="279">
        <f>'Level Calculation Drone Survey'!$Z69</f>
        <v>263.29006666666658</v>
      </c>
      <c r="DG28" s="279">
        <f>'Level Calculation Drone Survey'!$Z69</f>
        <v>263.29006666666658</v>
      </c>
      <c r="DH28" s="279">
        <f>'Level Calculation Drone Survey'!$Z69</f>
        <v>263.29006666666658</v>
      </c>
      <c r="DI28" s="305">
        <f>'Level Calculation Drone Survey'!$Z677</f>
        <v>263.29006666666658</v>
      </c>
      <c r="DJ28" s="279">
        <f>'Level Calculation Drone Survey'!$Z53</f>
        <v>263.49002222222225</v>
      </c>
      <c r="DK28" s="279">
        <f>'Level Calculation Drone Survey'!$Z53</f>
        <v>263.49002222222225</v>
      </c>
      <c r="DL28" s="279">
        <f>'Level Calculation Drone Survey'!$Z53</f>
        <v>263.49002222222225</v>
      </c>
      <c r="DM28" s="279">
        <f>'Level Calculation Drone Survey'!$Z53</f>
        <v>263.49002222222225</v>
      </c>
      <c r="DN28" s="279">
        <f>'Level Calculation Drone Survey'!$Z53</f>
        <v>263.49002222222225</v>
      </c>
      <c r="DO28" s="279">
        <f>'Level Calculation Drone Survey'!$Z53</f>
        <v>263.49002222222225</v>
      </c>
      <c r="DP28" s="279">
        <f>'Level Calculation Drone Survey'!$Z53</f>
        <v>263.49002222222225</v>
      </c>
      <c r="DQ28" s="279">
        <f>'Level Calculation Drone Survey'!$Z53</f>
        <v>263.49002222222225</v>
      </c>
      <c r="DR28" s="279">
        <f>'Level Calculation Drone Survey'!$Z53</f>
        <v>263.49002222222225</v>
      </c>
      <c r="DS28" s="279">
        <f>'Level Calculation Drone Survey'!$Z53</f>
        <v>263.49002222222225</v>
      </c>
      <c r="DT28" s="279">
        <f>'Level Calculation Drone Survey'!$Z53</f>
        <v>263.49002222222225</v>
      </c>
      <c r="DU28" s="279">
        <f>'Level Calculation Drone Survey'!$Z53</f>
        <v>263.49002222222225</v>
      </c>
      <c r="DV28" s="279">
        <f>'Level Calculation Drone Survey'!$Z53</f>
        <v>263.49002222222225</v>
      </c>
      <c r="DW28" s="279">
        <f>'Level Calculation Drone Survey'!$Z53</f>
        <v>263.49002222222225</v>
      </c>
      <c r="DX28" s="279">
        <f>'Level Calculation Drone Survey'!$Z53</f>
        <v>263.49002222222225</v>
      </c>
      <c r="DY28" s="279">
        <f>'Level Calculation Drone Survey'!$Z53</f>
        <v>263.49002222222225</v>
      </c>
      <c r="DZ28" s="279">
        <f>'Level Calculation Drone Survey'!$Z53</f>
        <v>263.49002222222225</v>
      </c>
      <c r="EA28" s="279">
        <f>'Level Calculation Drone Survey'!$Z53</f>
        <v>263.49002222222225</v>
      </c>
      <c r="EB28" s="305">
        <f>'Level Calculation Drone Survey'!$Z726</f>
        <v>263.2351631578947</v>
      </c>
      <c r="EC28" s="279">
        <f>'Level Calculation Drone Survey'!$Z20</f>
        <v>263.28516315789471</v>
      </c>
      <c r="ED28" s="279">
        <f>'Level Calculation Drone Survey'!$Z20</f>
        <v>263.28516315789471</v>
      </c>
      <c r="EE28" s="279">
        <f>'Level Calculation Drone Survey'!$Z20</f>
        <v>263.28516315789471</v>
      </c>
      <c r="EF28" s="279">
        <f>'Level Calculation Drone Survey'!$Z20</f>
        <v>263.28516315789471</v>
      </c>
      <c r="EG28" s="279">
        <f>'Level Calculation Drone Survey'!$Z20</f>
        <v>263.28516315789471</v>
      </c>
      <c r="EH28" s="279">
        <f>'Level Calculation Drone Survey'!$Z20</f>
        <v>263.28516315789471</v>
      </c>
      <c r="EI28" s="279">
        <f>'Level Calculation Drone Survey'!$Z20</f>
        <v>263.28516315789471</v>
      </c>
      <c r="EJ28" s="279">
        <f>'Level Calculation Drone Survey'!$Z20</f>
        <v>263.28516315789471</v>
      </c>
      <c r="EK28" s="279">
        <f>'Level Calculation Drone Survey'!$Z20</f>
        <v>263.28516315789471</v>
      </c>
      <c r="EL28" s="279">
        <f>'Level Calculation Drone Survey'!$Z20</f>
        <v>263.28516315789471</v>
      </c>
      <c r="EM28" s="279">
        <f>'Level Calculation Drone Survey'!$Z20</f>
        <v>263.28516315789471</v>
      </c>
      <c r="EN28" s="279">
        <f>'Level Calculation Drone Survey'!$Z20</f>
        <v>263.28516315789471</v>
      </c>
      <c r="EO28" s="279">
        <f>'Level Calculation Drone Survey'!$Z20</f>
        <v>263.28516315789471</v>
      </c>
      <c r="EP28" s="279">
        <f>'Level Calculation Drone Survey'!$Z20</f>
        <v>263.28516315789471</v>
      </c>
      <c r="EQ28" s="279">
        <f>'Level Calculation Drone Survey'!$Z20</f>
        <v>263.28516315789471</v>
      </c>
      <c r="ER28" s="279">
        <f>'Level Calculation Drone Survey'!$Z20</f>
        <v>263.28516315789471</v>
      </c>
      <c r="ES28" s="279">
        <f>'Level Calculation Drone Survey'!$Z20</f>
        <v>263.28516315789471</v>
      </c>
      <c r="ET28" s="279">
        <f>'Level Calculation Drone Survey'!$Z20</f>
        <v>263.28516315789471</v>
      </c>
      <c r="EU28" s="279">
        <f>'Level Calculation Drone Survey'!$Z20</f>
        <v>263.28516315789471</v>
      </c>
      <c r="EV28" s="305">
        <f>'Level Calculation Drone Survey'!$Z790</f>
        <v>263.18516315789469</v>
      </c>
      <c r="EW28" s="305">
        <f>'Level Calculation Drone Survey'!$Z790</f>
        <v>263.18516315789469</v>
      </c>
      <c r="EX28" s="305">
        <f>'Level Calculation Drone Survey'!$Z790</f>
        <v>263.18516315789469</v>
      </c>
      <c r="EY28" s="191"/>
    </row>
    <row r="29" spans="1:155" ht="45" customHeight="1" x14ac:dyDescent="0.45">
      <c r="A29" s="277">
        <v>140</v>
      </c>
      <c r="B29" s="191"/>
      <c r="C29" s="191"/>
      <c r="D29" s="191"/>
      <c r="E29" s="191"/>
      <c r="F29" s="191"/>
      <c r="G29" s="191"/>
      <c r="H29" s="191"/>
      <c r="I29" s="191"/>
      <c r="J29" s="191"/>
      <c r="K29" s="191"/>
      <c r="L29" s="191"/>
      <c r="M29" s="191"/>
      <c r="N29" s="191"/>
      <c r="O29" s="191"/>
      <c r="P29" s="191"/>
      <c r="Q29" s="191"/>
      <c r="R29" s="191"/>
      <c r="S29" s="191"/>
      <c r="T29" s="191"/>
      <c r="U29" s="191"/>
      <c r="V29" s="191"/>
      <c r="W29" s="191"/>
      <c r="X29" s="191"/>
      <c r="Y29" s="191"/>
      <c r="Z29" s="191"/>
      <c r="AA29" s="191"/>
      <c r="AB29" s="191"/>
      <c r="AC29" s="191"/>
      <c r="AD29" s="191"/>
      <c r="AE29" s="191"/>
      <c r="AF29" s="191"/>
      <c r="AG29" s="191"/>
      <c r="AH29" s="191"/>
      <c r="AI29" s="191"/>
      <c r="AJ29" s="191"/>
      <c r="AK29" s="191"/>
      <c r="AL29" s="191"/>
      <c r="AM29" s="191"/>
      <c r="AN29" s="191"/>
      <c r="AO29" s="191"/>
      <c r="AP29" s="191"/>
      <c r="AQ29" s="191"/>
      <c r="AR29" s="191"/>
      <c r="AS29" s="191"/>
      <c r="AT29" s="191"/>
      <c r="AU29" s="191"/>
      <c r="AV29" s="191"/>
      <c r="AW29" s="191"/>
      <c r="AX29" s="191"/>
      <c r="AY29" s="191"/>
      <c r="AZ29" s="191"/>
      <c r="BA29" s="313">
        <f>'Level Calculation Drone Survey'!$Z582</f>
        <v>263.53983999999991</v>
      </c>
      <c r="BB29" s="279">
        <f>'Level Calculation Drone Survey'!$Z103</f>
        <v>263.6748399999999</v>
      </c>
      <c r="BC29" s="279">
        <f>'Level Calculation Drone Survey'!$Z103</f>
        <v>263.6748399999999</v>
      </c>
      <c r="BD29" s="279">
        <f>'Level Calculation Drone Survey'!$Z103</f>
        <v>263.6748399999999</v>
      </c>
      <c r="BE29" s="279">
        <f>'Level Calculation Drone Survey'!$Z103</f>
        <v>263.6748399999999</v>
      </c>
      <c r="BF29" s="279">
        <f>'Level Calculation Drone Survey'!$Z103</f>
        <v>263.6748399999999</v>
      </c>
      <c r="BG29" s="279">
        <f>'Level Calculation Drone Survey'!$Z103</f>
        <v>263.6748399999999</v>
      </c>
      <c r="BH29" s="279">
        <f>'Level Calculation Drone Survey'!$Z103</f>
        <v>263.6748399999999</v>
      </c>
      <c r="BI29" s="279">
        <f>'Level Calculation Drone Survey'!$Z103</f>
        <v>263.6748399999999</v>
      </c>
      <c r="BJ29" s="279">
        <f>'Level Calculation Drone Survey'!$Z103</f>
        <v>263.6748399999999</v>
      </c>
      <c r="BK29" s="279">
        <f>'Level Calculation Drone Survey'!$Z103</f>
        <v>263.6748399999999</v>
      </c>
      <c r="BL29" s="279">
        <f>'Level Calculation Drone Survey'!$Z103</f>
        <v>263.6748399999999</v>
      </c>
      <c r="BM29" s="279">
        <f>'Level Calculation Drone Survey'!$Z103</f>
        <v>263.6748399999999</v>
      </c>
      <c r="BN29" s="279">
        <f>'Level Calculation Drone Survey'!$Z103</f>
        <v>263.6748399999999</v>
      </c>
      <c r="BO29" s="279">
        <f>'Level Calculation Drone Survey'!$Z103</f>
        <v>263.6748399999999</v>
      </c>
      <c r="BP29" s="279">
        <f>'Level Calculation Drone Survey'!$Z103</f>
        <v>263.6748399999999</v>
      </c>
      <c r="BQ29" s="279">
        <f>'Level Calculation Drone Survey'!$Z103</f>
        <v>263.6748399999999</v>
      </c>
      <c r="BR29" s="279">
        <f>'Level Calculation Drone Survey'!$Z103</f>
        <v>263.6748399999999</v>
      </c>
      <c r="BS29" s="279">
        <f>'Level Calculation Drone Survey'!$Z103</f>
        <v>263.6748399999999</v>
      </c>
      <c r="BT29" s="279">
        <f>'Level Calculation Drone Survey'!$Z103</f>
        <v>263.6748399999999</v>
      </c>
      <c r="BU29" s="279">
        <f>'Level Calculation Drone Survey'!$Z103</f>
        <v>263.6748399999999</v>
      </c>
      <c r="BV29" s="305">
        <f>'Level Calculation Drone Survey'!$Z612</f>
        <v>263.47529999999995</v>
      </c>
      <c r="BW29" s="279">
        <f>'Level Calculation Drone Survey'!$Z88</f>
        <v>263.52529999999996</v>
      </c>
      <c r="BX29" s="279">
        <f>'Level Calculation Drone Survey'!$Z88</f>
        <v>263.52529999999996</v>
      </c>
      <c r="BY29" s="279">
        <f>'Level Calculation Drone Survey'!$Z88</f>
        <v>263.52529999999996</v>
      </c>
      <c r="BZ29" s="279">
        <f>'Level Calculation Drone Survey'!$Z88</f>
        <v>263.52529999999996</v>
      </c>
      <c r="CA29" s="279">
        <f>'Level Calculation Drone Survey'!$Z88</f>
        <v>263.52529999999996</v>
      </c>
      <c r="CB29" s="279">
        <f>'Level Calculation Drone Survey'!$Z88</f>
        <v>263.52529999999996</v>
      </c>
      <c r="CC29" s="279">
        <f>'Level Calculation Drone Survey'!$Z88</f>
        <v>263.52529999999996</v>
      </c>
      <c r="CD29" s="279">
        <f>'Level Calculation Drone Survey'!$Z88</f>
        <v>263.52529999999996</v>
      </c>
      <c r="CE29" s="279">
        <f>'Level Calculation Drone Survey'!$Z88</f>
        <v>263.52529999999996</v>
      </c>
      <c r="CF29" s="279">
        <f>'Level Calculation Drone Survey'!$Z88</f>
        <v>263.52529999999996</v>
      </c>
      <c r="CG29" s="279">
        <f>'Level Calculation Drone Survey'!$Z88</f>
        <v>263.52529999999996</v>
      </c>
      <c r="CH29" s="279">
        <f>'Level Calculation Drone Survey'!$Z88</f>
        <v>263.52529999999996</v>
      </c>
      <c r="CI29" s="279">
        <f>'Level Calculation Drone Survey'!$Z88</f>
        <v>263.52529999999996</v>
      </c>
      <c r="CJ29" s="279">
        <f>'Level Calculation Drone Survey'!$Z88</f>
        <v>263.52529999999996</v>
      </c>
      <c r="CK29" s="279">
        <f>'Level Calculation Drone Survey'!$Z88</f>
        <v>263.52529999999996</v>
      </c>
      <c r="CL29" s="279">
        <f>'Level Calculation Drone Survey'!$Z88</f>
        <v>263.52529999999996</v>
      </c>
      <c r="CM29" s="279">
        <f>'Level Calculation Drone Survey'!$Z88</f>
        <v>263.52529999999996</v>
      </c>
      <c r="CN29" s="279">
        <f>'Level Calculation Drone Survey'!$Z88</f>
        <v>263.52529999999996</v>
      </c>
      <c r="CO29" s="305">
        <f>'Level Calculation Drone Survey'!$Z651</f>
        <v>263.30006666666657</v>
      </c>
      <c r="CP29" s="305">
        <f>'Level Calculation Drone Survey'!$Z651</f>
        <v>263.30006666666657</v>
      </c>
      <c r="CQ29" s="279">
        <f>'Level Calculation Drone Survey'!$Z70</f>
        <v>263.34006666666659</v>
      </c>
      <c r="CR29" s="279">
        <f>'Level Calculation Drone Survey'!$Z70</f>
        <v>263.34006666666659</v>
      </c>
      <c r="CS29" s="279">
        <f>'Level Calculation Drone Survey'!$Z70</f>
        <v>263.34006666666659</v>
      </c>
      <c r="CT29" s="279">
        <f>'Level Calculation Drone Survey'!$Z70</f>
        <v>263.34006666666659</v>
      </c>
      <c r="CU29" s="279">
        <f>'Level Calculation Drone Survey'!$Z70</f>
        <v>263.34006666666659</v>
      </c>
      <c r="CV29" s="279">
        <f>'Level Calculation Drone Survey'!$Z70</f>
        <v>263.34006666666659</v>
      </c>
      <c r="CW29" s="279">
        <f>'Level Calculation Drone Survey'!$Z70</f>
        <v>263.34006666666659</v>
      </c>
      <c r="CX29" s="279">
        <f>'Level Calculation Drone Survey'!$Z70</f>
        <v>263.34006666666659</v>
      </c>
      <c r="CY29" s="279">
        <f>'Level Calculation Drone Survey'!$Z70</f>
        <v>263.34006666666659</v>
      </c>
      <c r="CZ29" s="279">
        <f>'Level Calculation Drone Survey'!$Z70</f>
        <v>263.34006666666659</v>
      </c>
      <c r="DA29" s="279">
        <f>'Level Calculation Drone Survey'!$Z70</f>
        <v>263.34006666666659</v>
      </c>
      <c r="DB29" s="279">
        <f>'Level Calculation Drone Survey'!$Z70</f>
        <v>263.34006666666659</v>
      </c>
      <c r="DC29" s="279">
        <f>'Level Calculation Drone Survey'!$Z70</f>
        <v>263.34006666666659</v>
      </c>
      <c r="DD29" s="279">
        <f>'Level Calculation Drone Survey'!$Z70</f>
        <v>263.34006666666659</v>
      </c>
      <c r="DE29" s="279">
        <f>'Level Calculation Drone Survey'!$Z70</f>
        <v>263.34006666666659</v>
      </c>
      <c r="DF29" s="279">
        <f>'Level Calculation Drone Survey'!$Z70</f>
        <v>263.34006666666659</v>
      </c>
      <c r="DG29" s="279">
        <f>'Level Calculation Drone Survey'!$Z70</f>
        <v>263.34006666666659</v>
      </c>
      <c r="DH29" s="279">
        <f>'Level Calculation Drone Survey'!$Z70</f>
        <v>263.34006666666659</v>
      </c>
      <c r="DI29" s="305">
        <f>'Level Calculation Drone Survey'!$Z678</f>
        <v>263.34006666666659</v>
      </c>
      <c r="DJ29" s="279">
        <f>'Level Calculation Drone Survey'!$Z54</f>
        <v>263.54002222222226</v>
      </c>
      <c r="DK29" s="279">
        <f>'Level Calculation Drone Survey'!$Z54</f>
        <v>263.54002222222226</v>
      </c>
      <c r="DL29" s="279">
        <f>'Level Calculation Drone Survey'!$Z54</f>
        <v>263.54002222222226</v>
      </c>
      <c r="DM29" s="279">
        <f>'Level Calculation Drone Survey'!$Z54</f>
        <v>263.54002222222226</v>
      </c>
      <c r="DN29" s="279">
        <f>'Level Calculation Drone Survey'!$Z54</f>
        <v>263.54002222222226</v>
      </c>
      <c r="DO29" s="279">
        <f>'Level Calculation Drone Survey'!$Z54</f>
        <v>263.54002222222226</v>
      </c>
      <c r="DP29" s="279">
        <f>'Level Calculation Drone Survey'!$Z54</f>
        <v>263.54002222222226</v>
      </c>
      <c r="DQ29" s="279">
        <f>'Level Calculation Drone Survey'!$Z54</f>
        <v>263.54002222222226</v>
      </c>
      <c r="DR29" s="279">
        <f>'Level Calculation Drone Survey'!$Z54</f>
        <v>263.54002222222226</v>
      </c>
      <c r="DS29" s="279">
        <f>'Level Calculation Drone Survey'!$Z54</f>
        <v>263.54002222222226</v>
      </c>
      <c r="DT29" s="279">
        <f>'Level Calculation Drone Survey'!$Z54</f>
        <v>263.54002222222226</v>
      </c>
      <c r="DU29" s="279">
        <f>'Level Calculation Drone Survey'!$Z54</f>
        <v>263.54002222222226</v>
      </c>
      <c r="DV29" s="279">
        <f>'Level Calculation Drone Survey'!$Z54</f>
        <v>263.54002222222226</v>
      </c>
      <c r="DW29" s="279">
        <f>'Level Calculation Drone Survey'!$Z54</f>
        <v>263.54002222222226</v>
      </c>
      <c r="DX29" s="279">
        <f>'Level Calculation Drone Survey'!$Z54</f>
        <v>263.54002222222226</v>
      </c>
      <c r="DY29" s="279">
        <f>'Level Calculation Drone Survey'!$Z54</f>
        <v>263.54002222222226</v>
      </c>
      <c r="DZ29" s="279">
        <f>'Level Calculation Drone Survey'!$Z54</f>
        <v>263.54002222222226</v>
      </c>
      <c r="EA29" s="279">
        <f>'Level Calculation Drone Survey'!$Z54</f>
        <v>263.54002222222226</v>
      </c>
      <c r="EB29" s="305">
        <f>'Level Calculation Drone Survey'!$Z727</f>
        <v>263.28516315789471</v>
      </c>
      <c r="EC29" s="279">
        <f>'Level Calculation Drone Survey'!$Z21</f>
        <v>263.33516315789473</v>
      </c>
      <c r="ED29" s="279">
        <f>'Level Calculation Drone Survey'!$Z21</f>
        <v>263.33516315789473</v>
      </c>
      <c r="EE29" s="279">
        <f>'Level Calculation Drone Survey'!$Z21</f>
        <v>263.33516315789473</v>
      </c>
      <c r="EF29" s="279">
        <f>'Level Calculation Drone Survey'!$Z21</f>
        <v>263.33516315789473</v>
      </c>
      <c r="EG29" s="279">
        <f>'Level Calculation Drone Survey'!$Z21</f>
        <v>263.33516315789473</v>
      </c>
      <c r="EH29" s="279">
        <f>'Level Calculation Drone Survey'!$Z21</f>
        <v>263.33516315789473</v>
      </c>
      <c r="EI29" s="279">
        <f>'Level Calculation Drone Survey'!$Z21</f>
        <v>263.33516315789473</v>
      </c>
      <c r="EJ29" s="279">
        <f>'Level Calculation Drone Survey'!$Z21</f>
        <v>263.33516315789473</v>
      </c>
      <c r="EK29" s="279">
        <f>'Level Calculation Drone Survey'!$Z21</f>
        <v>263.33516315789473</v>
      </c>
      <c r="EL29" s="279">
        <f>'Level Calculation Drone Survey'!$Z21</f>
        <v>263.33516315789473</v>
      </c>
      <c r="EM29" s="279">
        <f>'Level Calculation Drone Survey'!$Z21</f>
        <v>263.33516315789473</v>
      </c>
      <c r="EN29" s="279">
        <f>'Level Calculation Drone Survey'!$Z21</f>
        <v>263.33516315789473</v>
      </c>
      <c r="EO29" s="279">
        <f>'Level Calculation Drone Survey'!$Z21</f>
        <v>263.33516315789473</v>
      </c>
      <c r="EP29" s="279">
        <f>'Level Calculation Drone Survey'!$Z21</f>
        <v>263.33516315789473</v>
      </c>
      <c r="EQ29" s="279">
        <f>'Level Calculation Drone Survey'!$Z21</f>
        <v>263.33516315789473</v>
      </c>
      <c r="ER29" s="279">
        <f>'Level Calculation Drone Survey'!$Z21</f>
        <v>263.33516315789473</v>
      </c>
      <c r="ES29" s="279">
        <f>'Level Calculation Drone Survey'!$Z21</f>
        <v>263.33516315789473</v>
      </c>
      <c r="ET29" s="279">
        <f>'Level Calculation Drone Survey'!$Z21</f>
        <v>263.33516315789473</v>
      </c>
      <c r="EU29" s="279">
        <f>'Level Calculation Drone Survey'!$Z21</f>
        <v>263.33516315789473</v>
      </c>
      <c r="EV29" s="305">
        <f>'Level Calculation Drone Survey'!$Z791</f>
        <v>263.2351631578947</v>
      </c>
      <c r="EW29" s="305">
        <f>'Level Calculation Drone Survey'!$Z791</f>
        <v>263.2351631578947</v>
      </c>
      <c r="EX29" s="305">
        <f>'Level Calculation Drone Survey'!$Z791</f>
        <v>263.2351631578947</v>
      </c>
      <c r="EY29" s="191"/>
    </row>
    <row r="30" spans="1:155" ht="45" customHeight="1" x14ac:dyDescent="0.45">
      <c r="A30" s="277">
        <v>145</v>
      </c>
      <c r="B30" s="191"/>
      <c r="C30" s="191"/>
      <c r="D30" s="191"/>
      <c r="E30" s="191"/>
      <c r="F30" s="191"/>
      <c r="G30" s="191"/>
      <c r="H30" s="191"/>
      <c r="I30" s="191"/>
      <c r="J30" s="191"/>
      <c r="K30" s="191"/>
      <c r="L30" s="191"/>
      <c r="M30" s="191"/>
      <c r="N30" s="191"/>
      <c r="O30" s="191"/>
      <c r="P30" s="191"/>
      <c r="Q30" s="191"/>
      <c r="R30" s="191"/>
      <c r="S30" s="191"/>
      <c r="T30" s="191"/>
      <c r="U30" s="191"/>
      <c r="V30" s="191"/>
      <c r="W30" s="191"/>
      <c r="X30" s="191"/>
      <c r="Y30" s="191"/>
      <c r="Z30" s="191"/>
      <c r="AA30" s="191"/>
      <c r="AB30" s="191"/>
      <c r="AC30" s="191"/>
      <c r="AD30" s="191"/>
      <c r="AE30" s="191"/>
      <c r="AF30" s="191"/>
      <c r="AG30" s="191"/>
      <c r="AH30" s="191"/>
      <c r="AI30" s="191"/>
      <c r="AJ30" s="191"/>
      <c r="AK30" s="191"/>
      <c r="AL30" s="191"/>
      <c r="AM30" s="191"/>
      <c r="AN30" s="191"/>
      <c r="AO30" s="191"/>
      <c r="AP30" s="191"/>
      <c r="AQ30" s="191"/>
      <c r="AR30" s="191"/>
      <c r="AS30" s="191"/>
      <c r="AT30" s="191"/>
      <c r="AU30" s="191"/>
      <c r="AV30" s="191"/>
      <c r="AW30" s="191"/>
      <c r="AX30" s="191"/>
      <c r="AY30" s="191"/>
      <c r="AZ30" s="191"/>
      <c r="BA30" s="313">
        <f>'Level Calculation Drone Survey'!$Z583</f>
        <v>263.58983999999992</v>
      </c>
      <c r="BB30" s="279">
        <f>'Level Calculation Drone Survey'!$Z104</f>
        <v>263.72483999999992</v>
      </c>
      <c r="BC30" s="279">
        <f>'Level Calculation Drone Survey'!$Z104</f>
        <v>263.72483999999992</v>
      </c>
      <c r="BD30" s="279">
        <f>'Level Calculation Drone Survey'!$Z104</f>
        <v>263.72483999999992</v>
      </c>
      <c r="BE30" s="279">
        <f>'Level Calculation Drone Survey'!$Z104</f>
        <v>263.72483999999992</v>
      </c>
      <c r="BF30" s="279">
        <f>'Level Calculation Drone Survey'!$Z104</f>
        <v>263.72483999999992</v>
      </c>
      <c r="BG30" s="279">
        <f>'Level Calculation Drone Survey'!$Z104</f>
        <v>263.72483999999992</v>
      </c>
      <c r="BH30" s="279">
        <f>'Level Calculation Drone Survey'!$Z104</f>
        <v>263.72483999999992</v>
      </c>
      <c r="BI30" s="279">
        <f>'Level Calculation Drone Survey'!$Z104</f>
        <v>263.72483999999992</v>
      </c>
      <c r="BJ30" s="279">
        <f>'Level Calculation Drone Survey'!$Z104</f>
        <v>263.72483999999992</v>
      </c>
      <c r="BK30" s="279">
        <f>'Level Calculation Drone Survey'!$Z104</f>
        <v>263.72483999999992</v>
      </c>
      <c r="BL30" s="279">
        <f>'Level Calculation Drone Survey'!$Z104</f>
        <v>263.72483999999992</v>
      </c>
      <c r="BM30" s="279">
        <f>'Level Calculation Drone Survey'!$Z104</f>
        <v>263.72483999999992</v>
      </c>
      <c r="BN30" s="279">
        <f>'Level Calculation Drone Survey'!$Z104</f>
        <v>263.72483999999992</v>
      </c>
      <c r="BO30" s="279">
        <f>'Level Calculation Drone Survey'!$Z104</f>
        <v>263.72483999999992</v>
      </c>
      <c r="BP30" s="279">
        <f>'Level Calculation Drone Survey'!$Z104</f>
        <v>263.72483999999992</v>
      </c>
      <c r="BQ30" s="279">
        <f>'Level Calculation Drone Survey'!$Z104</f>
        <v>263.72483999999992</v>
      </c>
      <c r="BR30" s="279">
        <f>'Level Calculation Drone Survey'!$Z104</f>
        <v>263.72483999999992</v>
      </c>
      <c r="BS30" s="279">
        <f>'Level Calculation Drone Survey'!$Z104</f>
        <v>263.72483999999992</v>
      </c>
      <c r="BT30" s="279">
        <f>'Level Calculation Drone Survey'!$Z104</f>
        <v>263.72483999999992</v>
      </c>
      <c r="BU30" s="279">
        <f>'Level Calculation Drone Survey'!$Z104</f>
        <v>263.72483999999992</v>
      </c>
      <c r="BV30" s="305">
        <f>'Level Calculation Drone Survey'!$Z613</f>
        <v>263.52529999999996</v>
      </c>
      <c r="BW30" s="279">
        <f>'Level Calculation Drone Survey'!$Z89</f>
        <v>263.57529999999997</v>
      </c>
      <c r="BX30" s="279">
        <f>'Level Calculation Drone Survey'!$Z89</f>
        <v>263.57529999999997</v>
      </c>
      <c r="BY30" s="279">
        <f>'Level Calculation Drone Survey'!$Z89</f>
        <v>263.57529999999997</v>
      </c>
      <c r="BZ30" s="279">
        <f>'Level Calculation Drone Survey'!$Z89</f>
        <v>263.57529999999997</v>
      </c>
      <c r="CA30" s="279">
        <f>'Level Calculation Drone Survey'!$Z89</f>
        <v>263.57529999999997</v>
      </c>
      <c r="CB30" s="279">
        <f>'Level Calculation Drone Survey'!$Z89</f>
        <v>263.57529999999997</v>
      </c>
      <c r="CC30" s="279">
        <f>'Level Calculation Drone Survey'!$Z89</f>
        <v>263.57529999999997</v>
      </c>
      <c r="CD30" s="279">
        <f>'Level Calculation Drone Survey'!$Z89</f>
        <v>263.57529999999997</v>
      </c>
      <c r="CE30" s="279">
        <f>'Level Calculation Drone Survey'!$Z89</f>
        <v>263.57529999999997</v>
      </c>
      <c r="CF30" s="279">
        <f>'Level Calculation Drone Survey'!$Z89</f>
        <v>263.57529999999997</v>
      </c>
      <c r="CG30" s="279">
        <f>'Level Calculation Drone Survey'!$Z89</f>
        <v>263.57529999999997</v>
      </c>
      <c r="CH30" s="279">
        <f>'Level Calculation Drone Survey'!$Z89</f>
        <v>263.57529999999997</v>
      </c>
      <c r="CI30" s="279">
        <f>'Level Calculation Drone Survey'!$Z89</f>
        <v>263.57529999999997</v>
      </c>
      <c r="CJ30" s="279">
        <f>'Level Calculation Drone Survey'!$Z89</f>
        <v>263.57529999999997</v>
      </c>
      <c r="CK30" s="279">
        <f>'Level Calculation Drone Survey'!$Z89</f>
        <v>263.57529999999997</v>
      </c>
      <c r="CL30" s="279">
        <f>'Level Calculation Drone Survey'!$Z89</f>
        <v>263.57529999999997</v>
      </c>
      <c r="CM30" s="279">
        <f>'Level Calculation Drone Survey'!$Z89</f>
        <v>263.57529999999997</v>
      </c>
      <c r="CN30" s="279">
        <f>'Level Calculation Drone Survey'!$Z89</f>
        <v>263.57529999999997</v>
      </c>
      <c r="CO30" s="305">
        <f>'Level Calculation Drone Survey'!$Z652</f>
        <v>263.35006666666658</v>
      </c>
      <c r="CP30" s="305">
        <f>'Level Calculation Drone Survey'!$Z652</f>
        <v>263.35006666666658</v>
      </c>
      <c r="CQ30" s="279">
        <f>'Level Calculation Drone Survey'!$Z71</f>
        <v>263.3900666666666</v>
      </c>
      <c r="CR30" s="279">
        <f>'Level Calculation Drone Survey'!$Z71</f>
        <v>263.3900666666666</v>
      </c>
      <c r="CS30" s="279">
        <f>'Level Calculation Drone Survey'!$Z71</f>
        <v>263.3900666666666</v>
      </c>
      <c r="CT30" s="279">
        <f>'Level Calculation Drone Survey'!$Z71</f>
        <v>263.3900666666666</v>
      </c>
      <c r="CU30" s="279">
        <f>'Level Calculation Drone Survey'!$Z71</f>
        <v>263.3900666666666</v>
      </c>
      <c r="CV30" s="279">
        <f>'Level Calculation Drone Survey'!$Z71</f>
        <v>263.3900666666666</v>
      </c>
      <c r="CW30" s="279">
        <f>'Level Calculation Drone Survey'!$Z71</f>
        <v>263.3900666666666</v>
      </c>
      <c r="CX30" s="279">
        <f>'Level Calculation Drone Survey'!$Z71</f>
        <v>263.3900666666666</v>
      </c>
      <c r="CY30" s="279">
        <f>'Level Calculation Drone Survey'!$Z71</f>
        <v>263.3900666666666</v>
      </c>
      <c r="CZ30" s="279">
        <f>'Level Calculation Drone Survey'!$Z71</f>
        <v>263.3900666666666</v>
      </c>
      <c r="DA30" s="279">
        <f>'Level Calculation Drone Survey'!$Z71</f>
        <v>263.3900666666666</v>
      </c>
      <c r="DB30" s="279">
        <f>'Level Calculation Drone Survey'!$Z71</f>
        <v>263.3900666666666</v>
      </c>
      <c r="DC30" s="279">
        <f>'Level Calculation Drone Survey'!$Z71</f>
        <v>263.3900666666666</v>
      </c>
      <c r="DD30" s="279">
        <f>'Level Calculation Drone Survey'!$Z71</f>
        <v>263.3900666666666</v>
      </c>
      <c r="DE30" s="279">
        <f>'Level Calculation Drone Survey'!$Z71</f>
        <v>263.3900666666666</v>
      </c>
      <c r="DF30" s="279">
        <f>'Level Calculation Drone Survey'!$Z71</f>
        <v>263.3900666666666</v>
      </c>
      <c r="DG30" s="279">
        <f>'Level Calculation Drone Survey'!$Z71</f>
        <v>263.3900666666666</v>
      </c>
      <c r="DH30" s="279">
        <f>'Level Calculation Drone Survey'!$Z71</f>
        <v>263.3900666666666</v>
      </c>
      <c r="DI30" s="305">
        <f>'Level Calculation Drone Survey'!$Z679</f>
        <v>263.3900666666666</v>
      </c>
      <c r="DJ30" s="279">
        <f>'Level Calculation Drone Survey'!$Z55</f>
        <v>263.59002222222227</v>
      </c>
      <c r="DK30" s="279">
        <f>'Level Calculation Drone Survey'!$Z55</f>
        <v>263.59002222222227</v>
      </c>
      <c r="DL30" s="279">
        <f>'Level Calculation Drone Survey'!$Z55</f>
        <v>263.59002222222227</v>
      </c>
      <c r="DM30" s="279">
        <f>'Level Calculation Drone Survey'!$Z55</f>
        <v>263.59002222222227</v>
      </c>
      <c r="DN30" s="279">
        <f>'Level Calculation Drone Survey'!$Z55</f>
        <v>263.59002222222227</v>
      </c>
      <c r="DO30" s="279">
        <f>'Level Calculation Drone Survey'!$Z55</f>
        <v>263.59002222222227</v>
      </c>
      <c r="DP30" s="279">
        <f>'Level Calculation Drone Survey'!$Z55</f>
        <v>263.59002222222227</v>
      </c>
      <c r="DQ30" s="279">
        <f>'Level Calculation Drone Survey'!$Z55</f>
        <v>263.59002222222227</v>
      </c>
      <c r="DR30" s="279">
        <f>'Level Calculation Drone Survey'!$Z55</f>
        <v>263.59002222222227</v>
      </c>
      <c r="DS30" s="279">
        <f>'Level Calculation Drone Survey'!$Z55</f>
        <v>263.59002222222227</v>
      </c>
      <c r="DT30" s="279">
        <f>'Level Calculation Drone Survey'!$Z55</f>
        <v>263.59002222222227</v>
      </c>
      <c r="DU30" s="279">
        <f>'Level Calculation Drone Survey'!$Z55</f>
        <v>263.59002222222227</v>
      </c>
      <c r="DV30" s="279">
        <f>'Level Calculation Drone Survey'!$Z55</f>
        <v>263.59002222222227</v>
      </c>
      <c r="DW30" s="279">
        <f>'Level Calculation Drone Survey'!$Z55</f>
        <v>263.59002222222227</v>
      </c>
      <c r="DX30" s="279">
        <f>'Level Calculation Drone Survey'!$Z55</f>
        <v>263.59002222222227</v>
      </c>
      <c r="DY30" s="279">
        <f>'Level Calculation Drone Survey'!$Z55</f>
        <v>263.59002222222227</v>
      </c>
      <c r="DZ30" s="279">
        <f>'Level Calculation Drone Survey'!$Z55</f>
        <v>263.59002222222227</v>
      </c>
      <c r="EA30" s="279">
        <f>'Level Calculation Drone Survey'!$Z55</f>
        <v>263.59002222222227</v>
      </c>
      <c r="EB30" s="305">
        <f>'Level Calculation Drone Survey'!$Z728</f>
        <v>263.33516315789473</v>
      </c>
      <c r="EC30" s="279">
        <f>'Level Calculation Drone Survey'!$Z22</f>
        <v>263.38516315789474</v>
      </c>
      <c r="ED30" s="279">
        <f>'Level Calculation Drone Survey'!$Z22</f>
        <v>263.38516315789474</v>
      </c>
      <c r="EE30" s="279">
        <f>'Level Calculation Drone Survey'!$Z22</f>
        <v>263.38516315789474</v>
      </c>
      <c r="EF30" s="279">
        <f>'Level Calculation Drone Survey'!$Z22</f>
        <v>263.38516315789474</v>
      </c>
      <c r="EG30" s="279">
        <f>'Level Calculation Drone Survey'!$Z22</f>
        <v>263.38516315789474</v>
      </c>
      <c r="EH30" s="279">
        <f>'Level Calculation Drone Survey'!$Z22</f>
        <v>263.38516315789474</v>
      </c>
      <c r="EI30" s="279">
        <f>'Level Calculation Drone Survey'!$Z22</f>
        <v>263.38516315789474</v>
      </c>
      <c r="EJ30" s="279">
        <f>'Level Calculation Drone Survey'!$Z22</f>
        <v>263.38516315789474</v>
      </c>
      <c r="EK30" s="279">
        <f>'Level Calculation Drone Survey'!$Z22</f>
        <v>263.38516315789474</v>
      </c>
      <c r="EL30" s="279">
        <f>'Level Calculation Drone Survey'!$Z22</f>
        <v>263.38516315789474</v>
      </c>
      <c r="EM30" s="279">
        <f>'Level Calculation Drone Survey'!$Z22</f>
        <v>263.38516315789474</v>
      </c>
      <c r="EN30" s="279">
        <f>'Level Calculation Drone Survey'!$Z22</f>
        <v>263.38516315789474</v>
      </c>
      <c r="EO30" s="279">
        <f>'Level Calculation Drone Survey'!$Z22</f>
        <v>263.38516315789474</v>
      </c>
      <c r="EP30" s="279">
        <f>'Level Calculation Drone Survey'!$Z22</f>
        <v>263.38516315789474</v>
      </c>
      <c r="EQ30" s="279">
        <f>'Level Calculation Drone Survey'!$Z22</f>
        <v>263.38516315789474</v>
      </c>
      <c r="ER30" s="279">
        <f>'Level Calculation Drone Survey'!$Z22</f>
        <v>263.38516315789474</v>
      </c>
      <c r="ES30" s="279">
        <f>'Level Calculation Drone Survey'!$Z22</f>
        <v>263.38516315789474</v>
      </c>
      <c r="ET30" s="279">
        <f>'Level Calculation Drone Survey'!$Z22</f>
        <v>263.38516315789474</v>
      </c>
      <c r="EU30" s="279">
        <f>'Level Calculation Drone Survey'!$Z22</f>
        <v>263.38516315789474</v>
      </c>
      <c r="EV30" s="305">
        <f>'Level Calculation Drone Survey'!$Z792</f>
        <v>263.28516315789471</v>
      </c>
      <c r="EW30" s="305">
        <f>'Level Calculation Drone Survey'!$Z792</f>
        <v>263.28516315789471</v>
      </c>
      <c r="EX30" s="305">
        <f>'Level Calculation Drone Survey'!$Z792</f>
        <v>263.28516315789471</v>
      </c>
      <c r="EY30" s="191"/>
    </row>
    <row r="31" spans="1:155" ht="45" customHeight="1" x14ac:dyDescent="0.45">
      <c r="A31" s="277">
        <v>150</v>
      </c>
      <c r="B31" s="191"/>
      <c r="C31" s="191"/>
      <c r="D31" s="191"/>
      <c r="E31" s="191"/>
      <c r="F31" s="191"/>
      <c r="G31" s="191"/>
      <c r="H31" s="191"/>
      <c r="I31" s="191"/>
      <c r="J31" s="191"/>
      <c r="K31" s="191"/>
      <c r="L31" s="191"/>
      <c r="M31" s="191"/>
      <c r="N31" s="191"/>
      <c r="O31" s="191"/>
      <c r="P31" s="191"/>
      <c r="Q31" s="191"/>
      <c r="R31" s="191"/>
      <c r="S31" s="191"/>
      <c r="T31" s="191"/>
      <c r="U31" s="191"/>
      <c r="V31" s="191"/>
      <c r="W31" s="191"/>
      <c r="X31" s="191"/>
      <c r="Y31" s="191"/>
      <c r="Z31" s="191"/>
      <c r="AA31" s="191"/>
      <c r="AB31" s="191"/>
      <c r="AC31" s="191"/>
      <c r="AD31" s="191"/>
      <c r="AE31" s="191"/>
      <c r="AF31" s="191"/>
      <c r="AG31" s="191"/>
      <c r="AH31" s="191"/>
      <c r="AI31" s="191"/>
      <c r="AJ31" s="191"/>
      <c r="AK31" s="191"/>
      <c r="AL31" s="191"/>
      <c r="AM31" s="191"/>
      <c r="AN31" s="191"/>
      <c r="AO31" s="191"/>
      <c r="AP31" s="191"/>
      <c r="AQ31" s="191"/>
      <c r="AR31" s="191"/>
      <c r="AS31" s="191"/>
      <c r="AT31" s="191"/>
      <c r="AU31" s="191"/>
      <c r="AV31" s="191"/>
      <c r="AW31" s="191"/>
      <c r="AX31" s="191"/>
      <c r="AY31" s="191"/>
      <c r="AZ31" s="191"/>
      <c r="BA31" s="313">
        <f>'Level Calculation Drone Survey'!$Z584</f>
        <v>263.63983999999994</v>
      </c>
      <c r="BB31" s="279">
        <f>'Level Calculation Drone Survey'!$Z105</f>
        <v>263.77483999999993</v>
      </c>
      <c r="BC31" s="279">
        <f>'Level Calculation Drone Survey'!$Z105</f>
        <v>263.77483999999993</v>
      </c>
      <c r="BD31" s="279">
        <f>'Level Calculation Drone Survey'!$Z105</f>
        <v>263.77483999999993</v>
      </c>
      <c r="BE31" s="279">
        <f>'Level Calculation Drone Survey'!$Z105</f>
        <v>263.77483999999993</v>
      </c>
      <c r="BF31" s="279">
        <f>'Level Calculation Drone Survey'!$Z105</f>
        <v>263.77483999999993</v>
      </c>
      <c r="BG31" s="279">
        <f>'Level Calculation Drone Survey'!$Z105</f>
        <v>263.77483999999993</v>
      </c>
      <c r="BH31" s="279">
        <f>'Level Calculation Drone Survey'!$Z105</f>
        <v>263.77483999999993</v>
      </c>
      <c r="BI31" s="279">
        <f>'Level Calculation Drone Survey'!$Z105</f>
        <v>263.77483999999993</v>
      </c>
      <c r="BJ31" s="279">
        <f>'Level Calculation Drone Survey'!$Z105</f>
        <v>263.77483999999993</v>
      </c>
      <c r="BK31" s="279">
        <f>'Level Calculation Drone Survey'!$Z105</f>
        <v>263.77483999999993</v>
      </c>
      <c r="BL31" s="279">
        <f>'Level Calculation Drone Survey'!$Z105</f>
        <v>263.77483999999993</v>
      </c>
      <c r="BM31" s="279">
        <f>'Level Calculation Drone Survey'!$Z105</f>
        <v>263.77483999999993</v>
      </c>
      <c r="BN31" s="279">
        <f>'Level Calculation Drone Survey'!$Z105</f>
        <v>263.77483999999993</v>
      </c>
      <c r="BO31" s="279">
        <f>'Level Calculation Drone Survey'!$Z105</f>
        <v>263.77483999999993</v>
      </c>
      <c r="BP31" s="279">
        <f>'Level Calculation Drone Survey'!$Z105</f>
        <v>263.77483999999993</v>
      </c>
      <c r="BQ31" s="279">
        <f>'Level Calculation Drone Survey'!$Z105</f>
        <v>263.77483999999993</v>
      </c>
      <c r="BR31" s="279">
        <f>'Level Calculation Drone Survey'!$Z105</f>
        <v>263.77483999999993</v>
      </c>
      <c r="BS31" s="279">
        <f>'Level Calculation Drone Survey'!$Z105</f>
        <v>263.77483999999993</v>
      </c>
      <c r="BT31" s="279">
        <f>'Level Calculation Drone Survey'!$Z105</f>
        <v>263.77483999999993</v>
      </c>
      <c r="BU31" s="279">
        <f>'Level Calculation Drone Survey'!$Z105</f>
        <v>263.77483999999993</v>
      </c>
      <c r="BV31" s="305">
        <f>'Level Calculation Drone Survey'!$Z614</f>
        <v>263.57529999999997</v>
      </c>
      <c r="BW31" s="279">
        <f>'Level Calculation Drone Survey'!$Z90</f>
        <v>263.62529999999998</v>
      </c>
      <c r="BX31" s="279">
        <f>'Level Calculation Drone Survey'!$Z90</f>
        <v>263.62529999999998</v>
      </c>
      <c r="BY31" s="279">
        <f>'Level Calculation Drone Survey'!$Z90</f>
        <v>263.62529999999998</v>
      </c>
      <c r="BZ31" s="279">
        <f>'Level Calculation Drone Survey'!$Z90</f>
        <v>263.62529999999998</v>
      </c>
      <c r="CA31" s="279">
        <f>'Level Calculation Drone Survey'!$Z90</f>
        <v>263.62529999999998</v>
      </c>
      <c r="CB31" s="279">
        <f>'Level Calculation Drone Survey'!$Z90</f>
        <v>263.62529999999998</v>
      </c>
      <c r="CC31" s="279">
        <f>'Level Calculation Drone Survey'!$Z90</f>
        <v>263.62529999999998</v>
      </c>
      <c r="CD31" s="279">
        <f>'Level Calculation Drone Survey'!$Z90</f>
        <v>263.62529999999998</v>
      </c>
      <c r="CE31" s="279">
        <f>'Level Calculation Drone Survey'!$Z90</f>
        <v>263.62529999999998</v>
      </c>
      <c r="CF31" s="279">
        <f>'Level Calculation Drone Survey'!$Z90</f>
        <v>263.62529999999998</v>
      </c>
      <c r="CG31" s="279">
        <f>'Level Calculation Drone Survey'!$Z90</f>
        <v>263.62529999999998</v>
      </c>
      <c r="CH31" s="279">
        <f>'Level Calculation Drone Survey'!$Z90</f>
        <v>263.62529999999998</v>
      </c>
      <c r="CI31" s="279">
        <f>'Level Calculation Drone Survey'!$Z90</f>
        <v>263.62529999999998</v>
      </c>
      <c r="CJ31" s="279">
        <f>'Level Calculation Drone Survey'!$Z90</f>
        <v>263.62529999999998</v>
      </c>
      <c r="CK31" s="279">
        <f>'Level Calculation Drone Survey'!$Z90</f>
        <v>263.62529999999998</v>
      </c>
      <c r="CL31" s="279">
        <f>'Level Calculation Drone Survey'!$Z90</f>
        <v>263.62529999999998</v>
      </c>
      <c r="CM31" s="279">
        <f>'Level Calculation Drone Survey'!$Z90</f>
        <v>263.62529999999998</v>
      </c>
      <c r="CN31" s="279">
        <f>'Level Calculation Drone Survey'!$Z90</f>
        <v>263.62529999999998</v>
      </c>
      <c r="CO31" s="305">
        <f>'Level Calculation Drone Survey'!$Z653</f>
        <v>263.40006666666659</v>
      </c>
      <c r="CP31" s="305">
        <f>'Level Calculation Drone Survey'!$Z653</f>
        <v>263.40006666666659</v>
      </c>
      <c r="CQ31" s="279">
        <f>'Level Calculation Drone Survey'!$Z72</f>
        <v>263.44006666666661</v>
      </c>
      <c r="CR31" s="279">
        <f>'Level Calculation Drone Survey'!$Z72</f>
        <v>263.44006666666661</v>
      </c>
      <c r="CS31" s="279">
        <f>'Level Calculation Drone Survey'!$Z72</f>
        <v>263.44006666666661</v>
      </c>
      <c r="CT31" s="279">
        <f>'Level Calculation Drone Survey'!$Z72</f>
        <v>263.44006666666661</v>
      </c>
      <c r="CU31" s="279">
        <f>'Level Calculation Drone Survey'!$Z72</f>
        <v>263.44006666666661</v>
      </c>
      <c r="CV31" s="279">
        <f>'Level Calculation Drone Survey'!$Z72</f>
        <v>263.44006666666661</v>
      </c>
      <c r="CW31" s="279">
        <f>'Level Calculation Drone Survey'!$Z72</f>
        <v>263.44006666666661</v>
      </c>
      <c r="CX31" s="279">
        <f>'Level Calculation Drone Survey'!$Z72</f>
        <v>263.44006666666661</v>
      </c>
      <c r="CY31" s="279">
        <f>'Level Calculation Drone Survey'!$Z72</f>
        <v>263.44006666666661</v>
      </c>
      <c r="CZ31" s="279">
        <f>'Level Calculation Drone Survey'!$Z72</f>
        <v>263.44006666666661</v>
      </c>
      <c r="DA31" s="279">
        <f>'Level Calculation Drone Survey'!$Z72</f>
        <v>263.44006666666661</v>
      </c>
      <c r="DB31" s="279">
        <f>'Level Calculation Drone Survey'!$Z72</f>
        <v>263.44006666666661</v>
      </c>
      <c r="DC31" s="279">
        <f>'Level Calculation Drone Survey'!$Z72</f>
        <v>263.44006666666661</v>
      </c>
      <c r="DD31" s="279">
        <f>'Level Calculation Drone Survey'!$Z72</f>
        <v>263.44006666666661</v>
      </c>
      <c r="DE31" s="279">
        <f>'Level Calculation Drone Survey'!$Z72</f>
        <v>263.44006666666661</v>
      </c>
      <c r="DF31" s="279">
        <f>'Level Calculation Drone Survey'!$Z72</f>
        <v>263.44006666666661</v>
      </c>
      <c r="DG31" s="279">
        <f>'Level Calculation Drone Survey'!$Z72</f>
        <v>263.44006666666661</v>
      </c>
      <c r="DH31" s="279">
        <f>'Level Calculation Drone Survey'!$Z72</f>
        <v>263.44006666666661</v>
      </c>
      <c r="DI31" s="305">
        <f>'Level Calculation Drone Survey'!$Z680</f>
        <v>263.44006666666661</v>
      </c>
      <c r="DJ31" s="280">
        <f>'Level Calculation Drone Survey'!$Z56</f>
        <v>263.64002222222229</v>
      </c>
      <c r="DK31" s="280">
        <f>'Level Calculation Drone Survey'!$Z56</f>
        <v>263.64002222222229</v>
      </c>
      <c r="DL31" s="280">
        <f>'Level Calculation Drone Survey'!$Z56</f>
        <v>263.64002222222229</v>
      </c>
      <c r="DM31" s="280">
        <f>'Level Calculation Drone Survey'!$Z56</f>
        <v>263.64002222222229</v>
      </c>
      <c r="DN31" s="280">
        <f>'Level Calculation Drone Survey'!$Z56</f>
        <v>263.64002222222229</v>
      </c>
      <c r="DO31" s="280">
        <f>'Level Calculation Drone Survey'!$Z56</f>
        <v>263.64002222222229</v>
      </c>
      <c r="DP31" s="280">
        <f>'Level Calculation Drone Survey'!$Z56</f>
        <v>263.64002222222229</v>
      </c>
      <c r="DQ31" s="280">
        <f>'Level Calculation Drone Survey'!$Z56</f>
        <v>263.64002222222229</v>
      </c>
      <c r="DR31" s="280">
        <f>'Level Calculation Drone Survey'!$Z56</f>
        <v>263.64002222222229</v>
      </c>
      <c r="DS31" s="280">
        <f>'Level Calculation Drone Survey'!$Z56</f>
        <v>263.64002222222229</v>
      </c>
      <c r="DT31" s="280">
        <f>'Level Calculation Drone Survey'!$Z56</f>
        <v>263.64002222222229</v>
      </c>
      <c r="DU31" s="280">
        <f>'Level Calculation Drone Survey'!$Z56</f>
        <v>263.64002222222229</v>
      </c>
      <c r="DV31" s="280">
        <f>'Level Calculation Drone Survey'!$Z56</f>
        <v>263.64002222222229</v>
      </c>
      <c r="DW31" s="280">
        <f>'Level Calculation Drone Survey'!$Z56</f>
        <v>263.64002222222229</v>
      </c>
      <c r="DX31" s="280">
        <f>'Level Calculation Drone Survey'!$Z56</f>
        <v>263.64002222222229</v>
      </c>
      <c r="DY31" s="280">
        <f>'Level Calculation Drone Survey'!$Z56</f>
        <v>263.64002222222229</v>
      </c>
      <c r="DZ31" s="280">
        <f>'Level Calculation Drone Survey'!$Z56</f>
        <v>263.64002222222229</v>
      </c>
      <c r="EA31" s="280">
        <f>'Level Calculation Drone Survey'!$Z56</f>
        <v>263.64002222222229</v>
      </c>
      <c r="EB31" s="305">
        <f>'Level Calculation Drone Survey'!$Z729</f>
        <v>263.38516315789474</v>
      </c>
      <c r="EC31" s="280">
        <f>'Level Calculation Drone Survey'!$Z23</f>
        <v>263.43516315789475</v>
      </c>
      <c r="ED31" s="280">
        <f>'Level Calculation Drone Survey'!$Z23</f>
        <v>263.43516315789475</v>
      </c>
      <c r="EE31" s="280">
        <f>'Level Calculation Drone Survey'!$Z23</f>
        <v>263.43516315789475</v>
      </c>
      <c r="EF31" s="280">
        <f>'Level Calculation Drone Survey'!$Z23</f>
        <v>263.43516315789475</v>
      </c>
      <c r="EG31" s="280">
        <f>'Level Calculation Drone Survey'!$Z23</f>
        <v>263.43516315789475</v>
      </c>
      <c r="EH31" s="280">
        <f>'Level Calculation Drone Survey'!$Z23</f>
        <v>263.43516315789475</v>
      </c>
      <c r="EI31" s="280">
        <f>'Level Calculation Drone Survey'!$Z23</f>
        <v>263.43516315789475</v>
      </c>
      <c r="EJ31" s="280">
        <f>'Level Calculation Drone Survey'!$Z23</f>
        <v>263.43516315789475</v>
      </c>
      <c r="EK31" s="280">
        <f>'Level Calculation Drone Survey'!$Z23</f>
        <v>263.43516315789475</v>
      </c>
      <c r="EL31" s="280">
        <f>'Level Calculation Drone Survey'!$Z23</f>
        <v>263.43516315789475</v>
      </c>
      <c r="EM31" s="280">
        <f>'Level Calculation Drone Survey'!$Z23</f>
        <v>263.43516315789475</v>
      </c>
      <c r="EN31" s="280">
        <f>'Level Calculation Drone Survey'!$Z23</f>
        <v>263.43516315789475</v>
      </c>
      <c r="EO31" s="280">
        <f>'Level Calculation Drone Survey'!$Z23</f>
        <v>263.43516315789475</v>
      </c>
      <c r="EP31" s="280">
        <f>'Level Calculation Drone Survey'!$Z23</f>
        <v>263.43516315789475</v>
      </c>
      <c r="EQ31" s="280">
        <f>'Level Calculation Drone Survey'!$Z23</f>
        <v>263.43516315789475</v>
      </c>
      <c r="ER31" s="280">
        <f>'Level Calculation Drone Survey'!$Z23</f>
        <v>263.43516315789475</v>
      </c>
      <c r="ES31" s="280">
        <f>'Level Calculation Drone Survey'!$Z23</f>
        <v>263.43516315789475</v>
      </c>
      <c r="ET31" s="280">
        <f>'Level Calculation Drone Survey'!$Z23</f>
        <v>263.43516315789475</v>
      </c>
      <c r="EU31" s="280">
        <f>'Level Calculation Drone Survey'!$Z23</f>
        <v>263.43516315789475</v>
      </c>
      <c r="EV31" s="318">
        <f>'Level Calculation Drone Survey'!$Z770</f>
        <v>263.33516315789473</v>
      </c>
      <c r="EW31" s="318">
        <f>'Level Calculation Drone Survey'!$Z770</f>
        <v>263.33516315789473</v>
      </c>
      <c r="EX31" s="318">
        <f>'Level Calculation Drone Survey'!$Z770</f>
        <v>263.33516315789473</v>
      </c>
      <c r="EY31" s="191"/>
    </row>
    <row r="32" spans="1:155" ht="45" customHeight="1" x14ac:dyDescent="0.45">
      <c r="A32" s="277">
        <v>155</v>
      </c>
      <c r="B32" s="191"/>
      <c r="C32" s="191"/>
      <c r="D32" s="191"/>
      <c r="E32" s="191"/>
      <c r="F32" s="191"/>
      <c r="G32" s="191"/>
      <c r="H32" s="191"/>
      <c r="I32" s="191"/>
      <c r="J32" s="191"/>
      <c r="K32" s="191"/>
      <c r="L32" s="191"/>
      <c r="M32" s="191"/>
      <c r="N32" s="191"/>
      <c r="O32" s="191"/>
      <c r="P32" s="191"/>
      <c r="Q32" s="191"/>
      <c r="R32" s="191"/>
      <c r="S32" s="191"/>
      <c r="T32" s="191"/>
      <c r="U32" s="191"/>
      <c r="V32" s="191"/>
      <c r="W32" s="191"/>
      <c r="X32" s="191"/>
      <c r="Y32" s="191"/>
      <c r="Z32" s="191"/>
      <c r="AA32" s="191"/>
      <c r="AB32" s="191"/>
      <c r="AC32" s="191"/>
      <c r="AD32" s="191"/>
      <c r="AE32" s="191"/>
      <c r="AF32" s="191"/>
      <c r="AG32" s="191"/>
      <c r="AH32" s="191"/>
      <c r="AI32" s="191"/>
      <c r="AJ32" s="191"/>
      <c r="AK32" s="191"/>
      <c r="AL32" s="191"/>
      <c r="AM32" s="191"/>
      <c r="AN32" s="191"/>
      <c r="AO32" s="191"/>
      <c r="AP32" s="191"/>
      <c r="AQ32" s="191"/>
      <c r="AR32" s="191"/>
      <c r="AS32" s="191"/>
      <c r="AT32" s="191"/>
      <c r="AU32" s="191"/>
      <c r="AV32" s="191"/>
      <c r="AW32" s="191"/>
      <c r="AX32" s="191"/>
      <c r="AY32" s="191"/>
      <c r="AZ32" s="191"/>
      <c r="BA32" s="313">
        <f>'Level Calculation Drone Survey'!$Z585</f>
        <v>263.68983999999995</v>
      </c>
      <c r="BB32" s="279">
        <f>'Level Calculation Drone Survey'!$Z106</f>
        <v>263.82483999999994</v>
      </c>
      <c r="BC32" s="279">
        <f>'Level Calculation Drone Survey'!$Z106</f>
        <v>263.82483999999994</v>
      </c>
      <c r="BD32" s="279">
        <f>'Level Calculation Drone Survey'!$Z106</f>
        <v>263.82483999999994</v>
      </c>
      <c r="BE32" s="279">
        <f>'Level Calculation Drone Survey'!$Z106</f>
        <v>263.82483999999994</v>
      </c>
      <c r="BF32" s="279">
        <f>'Level Calculation Drone Survey'!$Z106</f>
        <v>263.82483999999994</v>
      </c>
      <c r="BG32" s="279">
        <f>'Level Calculation Drone Survey'!$Z106</f>
        <v>263.82483999999994</v>
      </c>
      <c r="BH32" s="279">
        <f>'Level Calculation Drone Survey'!$Z106</f>
        <v>263.82483999999994</v>
      </c>
      <c r="BI32" s="279">
        <f>'Level Calculation Drone Survey'!$Z106</f>
        <v>263.82483999999994</v>
      </c>
      <c r="BJ32" s="279">
        <f>'Level Calculation Drone Survey'!$Z106</f>
        <v>263.82483999999994</v>
      </c>
      <c r="BK32" s="279">
        <f>'Level Calculation Drone Survey'!$Z106</f>
        <v>263.82483999999994</v>
      </c>
      <c r="BL32" s="279">
        <f>'Level Calculation Drone Survey'!$Z106</f>
        <v>263.82483999999994</v>
      </c>
      <c r="BM32" s="279">
        <f>'Level Calculation Drone Survey'!$Z106</f>
        <v>263.82483999999994</v>
      </c>
      <c r="BN32" s="279">
        <f>'Level Calculation Drone Survey'!$Z106</f>
        <v>263.82483999999994</v>
      </c>
      <c r="BO32" s="279">
        <f>'Level Calculation Drone Survey'!$Z106</f>
        <v>263.82483999999994</v>
      </c>
      <c r="BP32" s="279">
        <f>'Level Calculation Drone Survey'!$Z106</f>
        <v>263.82483999999994</v>
      </c>
      <c r="BQ32" s="279">
        <f>'Level Calculation Drone Survey'!$Z106</f>
        <v>263.82483999999994</v>
      </c>
      <c r="BR32" s="279">
        <f>'Level Calculation Drone Survey'!$Z106</f>
        <v>263.82483999999994</v>
      </c>
      <c r="BS32" s="279">
        <f>'Level Calculation Drone Survey'!$Z106</f>
        <v>263.82483999999994</v>
      </c>
      <c r="BT32" s="279">
        <f>'Level Calculation Drone Survey'!$Z106</f>
        <v>263.82483999999994</v>
      </c>
      <c r="BU32" s="279">
        <f>'Level Calculation Drone Survey'!$Z106</f>
        <v>263.82483999999994</v>
      </c>
      <c r="BV32" s="305">
        <f>'Level Calculation Drone Survey'!$Z615</f>
        <v>263.62529999999998</v>
      </c>
      <c r="BW32" s="279">
        <f>'Level Calculation Drone Survey'!$Z91</f>
        <v>263.67529999999999</v>
      </c>
      <c r="BX32" s="279">
        <f>'Level Calculation Drone Survey'!$Z91</f>
        <v>263.67529999999999</v>
      </c>
      <c r="BY32" s="279">
        <f>'Level Calculation Drone Survey'!$Z91</f>
        <v>263.67529999999999</v>
      </c>
      <c r="BZ32" s="279">
        <f>'Level Calculation Drone Survey'!$Z91</f>
        <v>263.67529999999999</v>
      </c>
      <c r="CA32" s="279">
        <f>'Level Calculation Drone Survey'!$Z91</f>
        <v>263.67529999999999</v>
      </c>
      <c r="CB32" s="279">
        <f>'Level Calculation Drone Survey'!$Z91</f>
        <v>263.67529999999999</v>
      </c>
      <c r="CC32" s="279">
        <f>'Level Calculation Drone Survey'!$Z91</f>
        <v>263.67529999999999</v>
      </c>
      <c r="CD32" s="279">
        <f>'Level Calculation Drone Survey'!$Z91</f>
        <v>263.67529999999999</v>
      </c>
      <c r="CE32" s="279">
        <f>'Level Calculation Drone Survey'!$Z91</f>
        <v>263.67529999999999</v>
      </c>
      <c r="CF32" s="279">
        <f>'Level Calculation Drone Survey'!$Z91</f>
        <v>263.67529999999999</v>
      </c>
      <c r="CG32" s="279">
        <f>'Level Calculation Drone Survey'!$Z91</f>
        <v>263.67529999999999</v>
      </c>
      <c r="CH32" s="279">
        <f>'Level Calculation Drone Survey'!$Z91</f>
        <v>263.67529999999999</v>
      </c>
      <c r="CI32" s="279">
        <f>'Level Calculation Drone Survey'!$Z91</f>
        <v>263.67529999999999</v>
      </c>
      <c r="CJ32" s="279">
        <f>'Level Calculation Drone Survey'!$Z91</f>
        <v>263.67529999999999</v>
      </c>
      <c r="CK32" s="279">
        <f>'Level Calculation Drone Survey'!$Z91</f>
        <v>263.67529999999999</v>
      </c>
      <c r="CL32" s="279">
        <f>'Level Calculation Drone Survey'!$Z91</f>
        <v>263.67529999999999</v>
      </c>
      <c r="CM32" s="279">
        <f>'Level Calculation Drone Survey'!$Z91</f>
        <v>263.67529999999999</v>
      </c>
      <c r="CN32" s="279">
        <f>'Level Calculation Drone Survey'!$Z91</f>
        <v>263.67529999999999</v>
      </c>
      <c r="CO32" s="305">
        <f>'Level Calculation Drone Survey'!$Z654</f>
        <v>263.4500666666666</v>
      </c>
      <c r="CP32" s="305">
        <f>'Level Calculation Drone Survey'!$Z654</f>
        <v>263.4500666666666</v>
      </c>
      <c r="CQ32" s="279">
        <f>'Level Calculation Drone Survey'!$Z73</f>
        <v>263.49006666666662</v>
      </c>
      <c r="CR32" s="279">
        <f>'Level Calculation Drone Survey'!$Z73</f>
        <v>263.49006666666662</v>
      </c>
      <c r="CS32" s="279">
        <f>'Level Calculation Drone Survey'!$Z73</f>
        <v>263.49006666666662</v>
      </c>
      <c r="CT32" s="279">
        <f>'Level Calculation Drone Survey'!$Z73</f>
        <v>263.49006666666662</v>
      </c>
      <c r="CU32" s="279">
        <f>'Level Calculation Drone Survey'!$Z73</f>
        <v>263.49006666666662</v>
      </c>
      <c r="CV32" s="279">
        <f>'Level Calculation Drone Survey'!$Z73</f>
        <v>263.49006666666662</v>
      </c>
      <c r="CW32" s="279">
        <f>'Level Calculation Drone Survey'!$Z73</f>
        <v>263.49006666666662</v>
      </c>
      <c r="CX32" s="279">
        <f>'Level Calculation Drone Survey'!$Z73</f>
        <v>263.49006666666662</v>
      </c>
      <c r="CY32" s="279">
        <f>'Level Calculation Drone Survey'!$Z73</f>
        <v>263.49006666666662</v>
      </c>
      <c r="CZ32" s="279">
        <f>'Level Calculation Drone Survey'!$Z73</f>
        <v>263.49006666666662</v>
      </c>
      <c r="DA32" s="279">
        <f>'Level Calculation Drone Survey'!$Z73</f>
        <v>263.49006666666662</v>
      </c>
      <c r="DB32" s="279">
        <f>'Level Calculation Drone Survey'!$Z73</f>
        <v>263.49006666666662</v>
      </c>
      <c r="DC32" s="279">
        <f>'Level Calculation Drone Survey'!$Z73</f>
        <v>263.49006666666662</v>
      </c>
      <c r="DD32" s="279">
        <f>'Level Calculation Drone Survey'!$Z73</f>
        <v>263.49006666666662</v>
      </c>
      <c r="DE32" s="279">
        <f>'Level Calculation Drone Survey'!$Z73</f>
        <v>263.49006666666662</v>
      </c>
      <c r="DF32" s="279">
        <f>'Level Calculation Drone Survey'!$Z73</f>
        <v>263.49006666666662</v>
      </c>
      <c r="DG32" s="279">
        <f>'Level Calculation Drone Survey'!$Z73</f>
        <v>263.49006666666662</v>
      </c>
      <c r="DH32" s="279">
        <f>'Level Calculation Drone Survey'!$Z73</f>
        <v>263.49006666666662</v>
      </c>
      <c r="DI32" s="305">
        <f>'Level Calculation Drone Survey'!$Z681</f>
        <v>263.49006666666662</v>
      </c>
      <c r="DJ32" s="279">
        <f>'Level Calculation Drone Survey'!$Z57</f>
        <v>263.59002222222227</v>
      </c>
      <c r="DK32" s="279">
        <f>'Level Calculation Drone Survey'!$Z57</f>
        <v>263.59002222222227</v>
      </c>
      <c r="DL32" s="279">
        <f>'Level Calculation Drone Survey'!$Z57</f>
        <v>263.59002222222227</v>
      </c>
      <c r="DM32" s="279">
        <f>'Level Calculation Drone Survey'!$Z57</f>
        <v>263.59002222222227</v>
      </c>
      <c r="DN32" s="279">
        <f>'Level Calculation Drone Survey'!$Z57</f>
        <v>263.59002222222227</v>
      </c>
      <c r="DO32" s="279">
        <f>'Level Calculation Drone Survey'!$Z57</f>
        <v>263.59002222222227</v>
      </c>
      <c r="DP32" s="279">
        <f>'Level Calculation Drone Survey'!$Z57</f>
        <v>263.59002222222227</v>
      </c>
      <c r="DQ32" s="279">
        <f>'Level Calculation Drone Survey'!$Z57</f>
        <v>263.59002222222227</v>
      </c>
      <c r="DR32" s="279">
        <f>'Level Calculation Drone Survey'!$Z57</f>
        <v>263.59002222222227</v>
      </c>
      <c r="DS32" s="279">
        <f>'Level Calculation Drone Survey'!$Z57</f>
        <v>263.59002222222227</v>
      </c>
      <c r="DT32" s="279">
        <f>'Level Calculation Drone Survey'!$Z57</f>
        <v>263.59002222222227</v>
      </c>
      <c r="DU32" s="279">
        <f>'Level Calculation Drone Survey'!$Z57</f>
        <v>263.59002222222227</v>
      </c>
      <c r="DV32" s="279">
        <f>'Level Calculation Drone Survey'!$Z57</f>
        <v>263.59002222222227</v>
      </c>
      <c r="DW32" s="279">
        <f>'Level Calculation Drone Survey'!$Z57</f>
        <v>263.59002222222227</v>
      </c>
      <c r="DX32" s="279">
        <f>'Level Calculation Drone Survey'!$Z57</f>
        <v>263.59002222222227</v>
      </c>
      <c r="DY32" s="279">
        <f>'Level Calculation Drone Survey'!$Z57</f>
        <v>263.59002222222227</v>
      </c>
      <c r="DZ32" s="279">
        <f>'Level Calculation Drone Survey'!$Z57</f>
        <v>263.59002222222227</v>
      </c>
      <c r="EA32" s="279">
        <f>'Level Calculation Drone Survey'!$Z57</f>
        <v>263.59002222222227</v>
      </c>
      <c r="EB32" s="305">
        <f>'Level Calculation Drone Survey'!$Z730</f>
        <v>263.33516315789473</v>
      </c>
      <c r="EC32" s="279">
        <f>'Level Calculation Drone Survey'!$Z24</f>
        <v>263.38516315789474</v>
      </c>
      <c r="ED32" s="279">
        <f>'Level Calculation Drone Survey'!$Z24</f>
        <v>263.38516315789474</v>
      </c>
      <c r="EE32" s="279">
        <f>'Level Calculation Drone Survey'!$Z24</f>
        <v>263.38516315789474</v>
      </c>
      <c r="EF32" s="279">
        <f>'Level Calculation Drone Survey'!$Z24</f>
        <v>263.38516315789474</v>
      </c>
      <c r="EG32" s="279">
        <f>'Level Calculation Drone Survey'!$Z24</f>
        <v>263.38516315789474</v>
      </c>
      <c r="EH32" s="279">
        <f>'Level Calculation Drone Survey'!$Z24</f>
        <v>263.38516315789474</v>
      </c>
      <c r="EI32" s="279">
        <f>'Level Calculation Drone Survey'!$Z24</f>
        <v>263.38516315789474</v>
      </c>
      <c r="EJ32" s="279">
        <f>'Level Calculation Drone Survey'!$Z24</f>
        <v>263.38516315789474</v>
      </c>
      <c r="EK32" s="279">
        <f>'Level Calculation Drone Survey'!$Z24</f>
        <v>263.38516315789474</v>
      </c>
      <c r="EL32" s="279">
        <f>'Level Calculation Drone Survey'!$Z24</f>
        <v>263.38516315789474</v>
      </c>
      <c r="EM32" s="279">
        <f>'Level Calculation Drone Survey'!$Z24</f>
        <v>263.38516315789474</v>
      </c>
      <c r="EN32" s="279">
        <f>'Level Calculation Drone Survey'!$Z24</f>
        <v>263.38516315789474</v>
      </c>
      <c r="EO32" s="279">
        <f>'Level Calculation Drone Survey'!$Z24</f>
        <v>263.38516315789474</v>
      </c>
      <c r="EP32" s="279">
        <f>'Level Calculation Drone Survey'!$Z24</f>
        <v>263.38516315789474</v>
      </c>
      <c r="EQ32" s="279">
        <f>'Level Calculation Drone Survey'!$Z24</f>
        <v>263.38516315789474</v>
      </c>
      <c r="ER32" s="279">
        <f>'Level Calculation Drone Survey'!$Z24</f>
        <v>263.38516315789474</v>
      </c>
      <c r="ES32" s="279">
        <f>'Level Calculation Drone Survey'!$Z24</f>
        <v>263.38516315789474</v>
      </c>
      <c r="ET32" s="279">
        <f>'Level Calculation Drone Survey'!$Z24</f>
        <v>263.38516315789474</v>
      </c>
      <c r="EU32" s="279">
        <f>'Level Calculation Drone Survey'!$Z24</f>
        <v>263.38516315789474</v>
      </c>
      <c r="EV32" s="318">
        <f>'Level Calculation Drone Survey'!$Z771</f>
        <v>263.28516315789471</v>
      </c>
      <c r="EW32" s="318">
        <f>'Level Calculation Drone Survey'!$Z771</f>
        <v>263.28516315789471</v>
      </c>
      <c r="EX32" s="318">
        <f>'Level Calculation Drone Survey'!$Z771</f>
        <v>263.28516315789471</v>
      </c>
      <c r="EY32" s="191"/>
    </row>
    <row r="33" spans="1:155" ht="45" customHeight="1" x14ac:dyDescent="0.45">
      <c r="A33" s="277">
        <v>160</v>
      </c>
      <c r="B33" s="191"/>
      <c r="C33" s="191"/>
      <c r="D33" s="191"/>
      <c r="E33" s="191"/>
      <c r="F33" s="191"/>
      <c r="G33" s="191"/>
      <c r="H33" s="191"/>
      <c r="I33" s="191"/>
      <c r="J33" s="191"/>
      <c r="K33" s="191"/>
      <c r="L33" s="191"/>
      <c r="M33" s="191"/>
      <c r="N33" s="191"/>
      <c r="O33" s="191"/>
      <c r="P33" s="191"/>
      <c r="Q33" s="191"/>
      <c r="R33" s="191"/>
      <c r="S33" s="191"/>
      <c r="T33" s="191"/>
      <c r="U33" s="191"/>
      <c r="V33" s="191"/>
      <c r="W33" s="191"/>
      <c r="X33" s="191"/>
      <c r="Y33" s="191"/>
      <c r="Z33" s="191"/>
      <c r="AA33" s="191"/>
      <c r="AB33" s="191"/>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313">
        <f>'Level Calculation Drone Survey'!$Z586</f>
        <v>263.73983999999996</v>
      </c>
      <c r="BB33" s="279">
        <f>'Level Calculation Drone Survey'!$Z107</f>
        <v>263.87483999999995</v>
      </c>
      <c r="BC33" s="279">
        <f>'Level Calculation Drone Survey'!$Z107</f>
        <v>263.87483999999995</v>
      </c>
      <c r="BD33" s="279">
        <f>'Level Calculation Drone Survey'!$Z107</f>
        <v>263.87483999999995</v>
      </c>
      <c r="BE33" s="279">
        <f>'Level Calculation Drone Survey'!$Z107</f>
        <v>263.87483999999995</v>
      </c>
      <c r="BF33" s="279">
        <f>'Level Calculation Drone Survey'!$Z107</f>
        <v>263.87483999999995</v>
      </c>
      <c r="BG33" s="279">
        <f>'Level Calculation Drone Survey'!$Z107</f>
        <v>263.87483999999995</v>
      </c>
      <c r="BH33" s="279">
        <f>'Level Calculation Drone Survey'!$Z107</f>
        <v>263.87483999999995</v>
      </c>
      <c r="BI33" s="279">
        <f>'Level Calculation Drone Survey'!$Z107</f>
        <v>263.87483999999995</v>
      </c>
      <c r="BJ33" s="279">
        <f>'Level Calculation Drone Survey'!$Z107</f>
        <v>263.87483999999995</v>
      </c>
      <c r="BK33" s="279">
        <f>'Level Calculation Drone Survey'!$Z107</f>
        <v>263.87483999999995</v>
      </c>
      <c r="BL33" s="279">
        <f>'Level Calculation Drone Survey'!$Z107</f>
        <v>263.87483999999995</v>
      </c>
      <c r="BM33" s="279">
        <f>'Level Calculation Drone Survey'!$Z107</f>
        <v>263.87483999999995</v>
      </c>
      <c r="BN33" s="279">
        <f>'Level Calculation Drone Survey'!$Z107</f>
        <v>263.87483999999995</v>
      </c>
      <c r="BO33" s="279">
        <f>'Level Calculation Drone Survey'!$Z107</f>
        <v>263.87483999999995</v>
      </c>
      <c r="BP33" s="279">
        <f>'Level Calculation Drone Survey'!$Z107</f>
        <v>263.87483999999995</v>
      </c>
      <c r="BQ33" s="279">
        <f>'Level Calculation Drone Survey'!$Z107</f>
        <v>263.87483999999995</v>
      </c>
      <c r="BR33" s="279">
        <f>'Level Calculation Drone Survey'!$Z107</f>
        <v>263.87483999999995</v>
      </c>
      <c r="BS33" s="279">
        <f>'Level Calculation Drone Survey'!$Z107</f>
        <v>263.87483999999995</v>
      </c>
      <c r="BT33" s="279">
        <f>'Level Calculation Drone Survey'!$Z107</f>
        <v>263.87483999999995</v>
      </c>
      <c r="BU33" s="279">
        <f>'Level Calculation Drone Survey'!$Z107</f>
        <v>263.87483999999995</v>
      </c>
      <c r="BV33" s="305">
        <f>'Level Calculation Drone Survey'!$Z616</f>
        <v>263.64030000000002</v>
      </c>
      <c r="BW33" s="280">
        <f>'Level Calculation Drone Survey'!$Z92</f>
        <v>263.7253</v>
      </c>
      <c r="BX33" s="280">
        <f>'Level Calculation Drone Survey'!$Z92</f>
        <v>263.7253</v>
      </c>
      <c r="BY33" s="280">
        <f>'Level Calculation Drone Survey'!$Z92</f>
        <v>263.7253</v>
      </c>
      <c r="BZ33" s="280">
        <f>'Level Calculation Drone Survey'!$Z92</f>
        <v>263.7253</v>
      </c>
      <c r="CA33" s="280">
        <f>'Level Calculation Drone Survey'!$Z92</f>
        <v>263.7253</v>
      </c>
      <c r="CB33" s="280">
        <f>'Level Calculation Drone Survey'!$Z92</f>
        <v>263.7253</v>
      </c>
      <c r="CC33" s="280">
        <f>'Level Calculation Drone Survey'!$Z92</f>
        <v>263.7253</v>
      </c>
      <c r="CD33" s="280">
        <f>'Level Calculation Drone Survey'!$Z92</f>
        <v>263.7253</v>
      </c>
      <c r="CE33" s="280">
        <f>'Level Calculation Drone Survey'!$Z92</f>
        <v>263.7253</v>
      </c>
      <c r="CF33" s="280">
        <f>'Level Calculation Drone Survey'!$Z92</f>
        <v>263.7253</v>
      </c>
      <c r="CG33" s="280">
        <f>'Level Calculation Drone Survey'!$Z92</f>
        <v>263.7253</v>
      </c>
      <c r="CH33" s="280">
        <f>'Level Calculation Drone Survey'!$Z92</f>
        <v>263.7253</v>
      </c>
      <c r="CI33" s="280">
        <f>'Level Calculation Drone Survey'!$Z92</f>
        <v>263.7253</v>
      </c>
      <c r="CJ33" s="280">
        <f>'Level Calculation Drone Survey'!$Z92</f>
        <v>263.7253</v>
      </c>
      <c r="CK33" s="280">
        <f>'Level Calculation Drone Survey'!$Z92</f>
        <v>263.7253</v>
      </c>
      <c r="CL33" s="280">
        <f>'Level Calculation Drone Survey'!$Z92</f>
        <v>263.7253</v>
      </c>
      <c r="CM33" s="280">
        <f>'Level Calculation Drone Survey'!$Z92</f>
        <v>263.7253</v>
      </c>
      <c r="CN33" s="280">
        <f>'Level Calculation Drone Survey'!$Z92</f>
        <v>263.7253</v>
      </c>
      <c r="CO33" s="305">
        <f>'Level Calculation Drone Survey'!$Z655</f>
        <v>263.50006666666661</v>
      </c>
      <c r="CP33" s="305">
        <f>'Level Calculation Drone Survey'!$Z655</f>
        <v>263.50006666666661</v>
      </c>
      <c r="CQ33" s="280">
        <f>'Level Calculation Drone Survey'!$Z74</f>
        <v>263.54006666666663</v>
      </c>
      <c r="CR33" s="280">
        <f>'Level Calculation Drone Survey'!$Z74</f>
        <v>263.54006666666663</v>
      </c>
      <c r="CS33" s="280">
        <f>'Level Calculation Drone Survey'!$Z74</f>
        <v>263.54006666666663</v>
      </c>
      <c r="CT33" s="280">
        <f>'Level Calculation Drone Survey'!$Z74</f>
        <v>263.54006666666663</v>
      </c>
      <c r="CU33" s="280">
        <f>'Level Calculation Drone Survey'!$Z74</f>
        <v>263.54006666666663</v>
      </c>
      <c r="CV33" s="280">
        <f>'Level Calculation Drone Survey'!$Z74</f>
        <v>263.54006666666663</v>
      </c>
      <c r="CW33" s="280">
        <f>'Level Calculation Drone Survey'!$Z74</f>
        <v>263.54006666666663</v>
      </c>
      <c r="CX33" s="280">
        <f>'Level Calculation Drone Survey'!$Z74</f>
        <v>263.54006666666663</v>
      </c>
      <c r="CY33" s="280">
        <f>'Level Calculation Drone Survey'!$Z74</f>
        <v>263.54006666666663</v>
      </c>
      <c r="CZ33" s="280">
        <f>'Level Calculation Drone Survey'!$Z74</f>
        <v>263.54006666666663</v>
      </c>
      <c r="DA33" s="280">
        <f>'Level Calculation Drone Survey'!$Z74</f>
        <v>263.54006666666663</v>
      </c>
      <c r="DB33" s="280">
        <f>'Level Calculation Drone Survey'!$Z74</f>
        <v>263.54006666666663</v>
      </c>
      <c r="DC33" s="280">
        <f>'Level Calculation Drone Survey'!$Z74</f>
        <v>263.54006666666663</v>
      </c>
      <c r="DD33" s="280">
        <f>'Level Calculation Drone Survey'!$Z74</f>
        <v>263.54006666666663</v>
      </c>
      <c r="DE33" s="280">
        <f>'Level Calculation Drone Survey'!$Z74</f>
        <v>263.54006666666663</v>
      </c>
      <c r="DF33" s="280">
        <f>'Level Calculation Drone Survey'!$Z74</f>
        <v>263.54006666666663</v>
      </c>
      <c r="DG33" s="280">
        <f>'Level Calculation Drone Survey'!$Z74</f>
        <v>263.54006666666663</v>
      </c>
      <c r="DH33" s="280">
        <f>'Level Calculation Drone Survey'!$Z74</f>
        <v>263.54006666666663</v>
      </c>
      <c r="DI33" s="305">
        <f>'Level Calculation Drone Survey'!$Z682</f>
        <v>263.44006666666661</v>
      </c>
      <c r="DJ33" s="279">
        <f>'Level Calculation Drone Survey'!$Z58</f>
        <v>263.54002222222226</v>
      </c>
      <c r="DK33" s="279">
        <f>'Level Calculation Drone Survey'!$Z58</f>
        <v>263.54002222222226</v>
      </c>
      <c r="DL33" s="279">
        <f>'Level Calculation Drone Survey'!$Z58</f>
        <v>263.54002222222226</v>
      </c>
      <c r="DM33" s="279">
        <f>'Level Calculation Drone Survey'!$Z58</f>
        <v>263.54002222222226</v>
      </c>
      <c r="DN33" s="279">
        <f>'Level Calculation Drone Survey'!$Z58</f>
        <v>263.54002222222226</v>
      </c>
      <c r="DO33" s="279">
        <f>'Level Calculation Drone Survey'!$Z58</f>
        <v>263.54002222222226</v>
      </c>
      <c r="DP33" s="279">
        <f>'Level Calculation Drone Survey'!$Z58</f>
        <v>263.54002222222226</v>
      </c>
      <c r="DQ33" s="279">
        <f>'Level Calculation Drone Survey'!$Z58</f>
        <v>263.54002222222226</v>
      </c>
      <c r="DR33" s="279">
        <f>'Level Calculation Drone Survey'!$Z58</f>
        <v>263.54002222222226</v>
      </c>
      <c r="DS33" s="279">
        <f>'Level Calculation Drone Survey'!$Z58</f>
        <v>263.54002222222226</v>
      </c>
      <c r="DT33" s="279">
        <f>'Level Calculation Drone Survey'!$Z58</f>
        <v>263.54002222222226</v>
      </c>
      <c r="DU33" s="279">
        <f>'Level Calculation Drone Survey'!$Z58</f>
        <v>263.54002222222226</v>
      </c>
      <c r="DV33" s="279">
        <f>'Level Calculation Drone Survey'!$Z58</f>
        <v>263.54002222222226</v>
      </c>
      <c r="DW33" s="279">
        <f>'Level Calculation Drone Survey'!$Z58</f>
        <v>263.54002222222226</v>
      </c>
      <c r="DX33" s="279">
        <f>'Level Calculation Drone Survey'!$Z58</f>
        <v>263.54002222222226</v>
      </c>
      <c r="DY33" s="279">
        <f>'Level Calculation Drone Survey'!$Z58</f>
        <v>263.54002222222226</v>
      </c>
      <c r="DZ33" s="279">
        <f>'Level Calculation Drone Survey'!$Z58</f>
        <v>263.54002222222226</v>
      </c>
      <c r="EA33" s="279">
        <f>'Level Calculation Drone Survey'!$Z58</f>
        <v>263.54002222222226</v>
      </c>
      <c r="EB33" s="305">
        <f>'Level Calculation Drone Survey'!$Z731</f>
        <v>263.28516315789471</v>
      </c>
      <c r="EC33" s="279">
        <f>'Level Calculation Drone Survey'!$Z25</f>
        <v>263.33516315789473</v>
      </c>
      <c r="ED33" s="279">
        <f>'Level Calculation Drone Survey'!$Z25</f>
        <v>263.33516315789473</v>
      </c>
      <c r="EE33" s="279">
        <f>'Level Calculation Drone Survey'!$Z25</f>
        <v>263.33516315789473</v>
      </c>
      <c r="EF33" s="279">
        <f>'Level Calculation Drone Survey'!$Z25</f>
        <v>263.33516315789473</v>
      </c>
      <c r="EG33" s="279">
        <f>'Level Calculation Drone Survey'!$Z25</f>
        <v>263.33516315789473</v>
      </c>
      <c r="EH33" s="279">
        <f>'Level Calculation Drone Survey'!$Z25</f>
        <v>263.33516315789473</v>
      </c>
      <c r="EI33" s="279">
        <f>'Level Calculation Drone Survey'!$Z25</f>
        <v>263.33516315789473</v>
      </c>
      <c r="EJ33" s="279">
        <f>'Level Calculation Drone Survey'!$Z25</f>
        <v>263.33516315789473</v>
      </c>
      <c r="EK33" s="279">
        <f>'Level Calculation Drone Survey'!$Z25</f>
        <v>263.33516315789473</v>
      </c>
      <c r="EL33" s="279">
        <f>'Level Calculation Drone Survey'!$Z25</f>
        <v>263.33516315789473</v>
      </c>
      <c r="EM33" s="279">
        <f>'Level Calculation Drone Survey'!$Z25</f>
        <v>263.33516315789473</v>
      </c>
      <c r="EN33" s="279">
        <f>'Level Calculation Drone Survey'!$Z25</f>
        <v>263.33516315789473</v>
      </c>
      <c r="EO33" s="279">
        <f>'Level Calculation Drone Survey'!$Z25</f>
        <v>263.33516315789473</v>
      </c>
      <c r="EP33" s="279">
        <f>'Level Calculation Drone Survey'!$Z25</f>
        <v>263.33516315789473</v>
      </c>
      <c r="EQ33" s="279">
        <f>'Level Calculation Drone Survey'!$Z25</f>
        <v>263.33516315789473</v>
      </c>
      <c r="ER33" s="279">
        <f>'Level Calculation Drone Survey'!$Z25</f>
        <v>263.33516315789473</v>
      </c>
      <c r="ES33" s="279">
        <f>'Level Calculation Drone Survey'!$Z25</f>
        <v>263.33516315789473</v>
      </c>
      <c r="ET33" s="279">
        <f>'Level Calculation Drone Survey'!$Z25</f>
        <v>263.33516315789473</v>
      </c>
      <c r="EU33" s="279">
        <f>'Level Calculation Drone Survey'!$Z25</f>
        <v>263.33516315789473</v>
      </c>
      <c r="EV33" s="318">
        <f>'Level Calculation Drone Survey'!$Z772</f>
        <v>263.2351631578947</v>
      </c>
      <c r="EW33" s="318">
        <f>'Level Calculation Drone Survey'!$Z772</f>
        <v>263.2351631578947</v>
      </c>
      <c r="EX33" s="318">
        <f>'Level Calculation Drone Survey'!$Z772</f>
        <v>263.2351631578947</v>
      </c>
      <c r="EY33" s="191"/>
    </row>
    <row r="34" spans="1:155" ht="45" customHeight="1" x14ac:dyDescent="0.45">
      <c r="A34" s="277">
        <v>165</v>
      </c>
      <c r="B34" s="191"/>
      <c r="C34" s="191"/>
      <c r="D34" s="191"/>
      <c r="E34" s="191"/>
      <c r="F34" s="191"/>
      <c r="G34" s="191"/>
      <c r="H34" s="191"/>
      <c r="I34" s="191"/>
      <c r="J34" s="191"/>
      <c r="K34" s="191"/>
      <c r="L34" s="191"/>
      <c r="M34" s="191"/>
      <c r="N34" s="191"/>
      <c r="O34" s="191"/>
      <c r="P34" s="191"/>
      <c r="Q34" s="191"/>
      <c r="R34" s="191"/>
      <c r="S34" s="191"/>
      <c r="T34" s="191"/>
      <c r="U34" s="191"/>
      <c r="V34" s="191"/>
      <c r="W34" s="191"/>
      <c r="X34" s="191"/>
      <c r="Y34" s="191"/>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91"/>
      <c r="AV34" s="191"/>
      <c r="AW34" s="191"/>
      <c r="AX34" s="191"/>
      <c r="AY34" s="191"/>
      <c r="AZ34" s="191"/>
      <c r="BA34" s="313">
        <f>'Level Calculation Drone Survey'!$Z587</f>
        <v>263.78983999999997</v>
      </c>
      <c r="BB34" s="280">
        <f>'Level Calculation Drone Survey'!$Z108</f>
        <v>263.92483999999996</v>
      </c>
      <c r="BC34" s="280">
        <f>'Level Calculation Drone Survey'!$Z108</f>
        <v>263.92483999999996</v>
      </c>
      <c r="BD34" s="280">
        <f>'Level Calculation Drone Survey'!$Z108</f>
        <v>263.92483999999996</v>
      </c>
      <c r="BE34" s="280">
        <f>'Level Calculation Drone Survey'!$Z108</f>
        <v>263.92483999999996</v>
      </c>
      <c r="BF34" s="280">
        <f>'Level Calculation Drone Survey'!$Z108</f>
        <v>263.92483999999996</v>
      </c>
      <c r="BG34" s="280">
        <f>'Level Calculation Drone Survey'!$Z108</f>
        <v>263.92483999999996</v>
      </c>
      <c r="BH34" s="280">
        <f>'Level Calculation Drone Survey'!$Z108</f>
        <v>263.92483999999996</v>
      </c>
      <c r="BI34" s="280">
        <f>'Level Calculation Drone Survey'!$Z108</f>
        <v>263.92483999999996</v>
      </c>
      <c r="BJ34" s="280">
        <f>'Level Calculation Drone Survey'!$Z108</f>
        <v>263.92483999999996</v>
      </c>
      <c r="BK34" s="280">
        <f>'Level Calculation Drone Survey'!$Z108</f>
        <v>263.92483999999996</v>
      </c>
      <c r="BL34" s="280">
        <f>'Level Calculation Drone Survey'!$Z108</f>
        <v>263.92483999999996</v>
      </c>
      <c r="BM34" s="280">
        <f>'Level Calculation Drone Survey'!$Z108</f>
        <v>263.92483999999996</v>
      </c>
      <c r="BN34" s="280">
        <f>'Level Calculation Drone Survey'!$Z108</f>
        <v>263.92483999999996</v>
      </c>
      <c r="BO34" s="280">
        <f>'Level Calculation Drone Survey'!$Z108</f>
        <v>263.92483999999996</v>
      </c>
      <c r="BP34" s="280">
        <f>'Level Calculation Drone Survey'!$Z108</f>
        <v>263.92483999999996</v>
      </c>
      <c r="BQ34" s="280">
        <f>'Level Calculation Drone Survey'!$Z108</f>
        <v>263.92483999999996</v>
      </c>
      <c r="BR34" s="280">
        <f>'Level Calculation Drone Survey'!$Z108</f>
        <v>263.92483999999996</v>
      </c>
      <c r="BS34" s="280">
        <f>'Level Calculation Drone Survey'!$Z108</f>
        <v>263.92483999999996</v>
      </c>
      <c r="BT34" s="280">
        <f>'Level Calculation Drone Survey'!$Z108</f>
        <v>263.92483999999996</v>
      </c>
      <c r="BU34" s="280">
        <f>'Level Calculation Drone Survey'!$Z108</f>
        <v>263.92483999999996</v>
      </c>
      <c r="BV34" s="305">
        <f>'Level Calculation Drone Survey'!$Z617</f>
        <v>263.65030000000002</v>
      </c>
      <c r="BW34" s="279">
        <f>'Level Calculation Drone Survey'!$Z93</f>
        <v>263.67529999999999</v>
      </c>
      <c r="BX34" s="279">
        <f>'Level Calculation Drone Survey'!$Z93</f>
        <v>263.67529999999999</v>
      </c>
      <c r="BY34" s="279">
        <f>'Level Calculation Drone Survey'!$Z93</f>
        <v>263.67529999999999</v>
      </c>
      <c r="BZ34" s="279">
        <f>'Level Calculation Drone Survey'!$Z93</f>
        <v>263.67529999999999</v>
      </c>
      <c r="CA34" s="279">
        <f>'Level Calculation Drone Survey'!$Z93</f>
        <v>263.67529999999999</v>
      </c>
      <c r="CB34" s="279">
        <f>'Level Calculation Drone Survey'!$Z93</f>
        <v>263.67529999999999</v>
      </c>
      <c r="CC34" s="279">
        <f>'Level Calculation Drone Survey'!$Z93</f>
        <v>263.67529999999999</v>
      </c>
      <c r="CD34" s="279">
        <f>'Level Calculation Drone Survey'!$Z93</f>
        <v>263.67529999999999</v>
      </c>
      <c r="CE34" s="279">
        <f>'Level Calculation Drone Survey'!$Z93</f>
        <v>263.67529999999999</v>
      </c>
      <c r="CF34" s="279">
        <f>'Level Calculation Drone Survey'!$Z93</f>
        <v>263.67529999999999</v>
      </c>
      <c r="CG34" s="279">
        <f>'Level Calculation Drone Survey'!$Z93</f>
        <v>263.67529999999999</v>
      </c>
      <c r="CH34" s="279">
        <f>'Level Calculation Drone Survey'!$Z93</f>
        <v>263.67529999999999</v>
      </c>
      <c r="CI34" s="279">
        <f>'Level Calculation Drone Survey'!$Z93</f>
        <v>263.67529999999999</v>
      </c>
      <c r="CJ34" s="279">
        <f>'Level Calculation Drone Survey'!$Z93</f>
        <v>263.67529999999999</v>
      </c>
      <c r="CK34" s="279">
        <f>'Level Calculation Drone Survey'!$Z93</f>
        <v>263.67529999999999</v>
      </c>
      <c r="CL34" s="279">
        <f>'Level Calculation Drone Survey'!$Z93</f>
        <v>263.67529999999999</v>
      </c>
      <c r="CM34" s="279">
        <f>'Level Calculation Drone Survey'!$Z93</f>
        <v>263.67529999999999</v>
      </c>
      <c r="CN34" s="279">
        <f>'Level Calculation Drone Survey'!$Z93</f>
        <v>263.67529999999999</v>
      </c>
      <c r="CO34" s="305">
        <f>'Level Calculation Drone Survey'!$Z656</f>
        <v>263.4500666666666</v>
      </c>
      <c r="CP34" s="305">
        <f>'Level Calculation Drone Survey'!$Z656</f>
        <v>263.4500666666666</v>
      </c>
      <c r="CQ34" s="279">
        <f>'Level Calculation Drone Survey'!$Z75</f>
        <v>263.49006666666662</v>
      </c>
      <c r="CR34" s="279">
        <f>'Level Calculation Drone Survey'!$Z75</f>
        <v>263.49006666666662</v>
      </c>
      <c r="CS34" s="279">
        <f>'Level Calculation Drone Survey'!$Z75</f>
        <v>263.49006666666662</v>
      </c>
      <c r="CT34" s="279">
        <f>'Level Calculation Drone Survey'!$Z75</f>
        <v>263.49006666666662</v>
      </c>
      <c r="CU34" s="279">
        <f>'Level Calculation Drone Survey'!$Z75</f>
        <v>263.49006666666662</v>
      </c>
      <c r="CV34" s="279">
        <f>'Level Calculation Drone Survey'!$Z75</f>
        <v>263.49006666666662</v>
      </c>
      <c r="CW34" s="279">
        <f>'Level Calculation Drone Survey'!$Z75</f>
        <v>263.49006666666662</v>
      </c>
      <c r="CX34" s="279">
        <f>'Level Calculation Drone Survey'!$Z75</f>
        <v>263.49006666666662</v>
      </c>
      <c r="CY34" s="279">
        <f>'Level Calculation Drone Survey'!$Z75</f>
        <v>263.49006666666662</v>
      </c>
      <c r="CZ34" s="279">
        <f>'Level Calculation Drone Survey'!$Z75</f>
        <v>263.49006666666662</v>
      </c>
      <c r="DA34" s="279">
        <f>'Level Calculation Drone Survey'!$Z75</f>
        <v>263.49006666666662</v>
      </c>
      <c r="DB34" s="279">
        <f>'Level Calculation Drone Survey'!$Z75</f>
        <v>263.49006666666662</v>
      </c>
      <c r="DC34" s="279">
        <f>'Level Calculation Drone Survey'!$Z75</f>
        <v>263.49006666666662</v>
      </c>
      <c r="DD34" s="279">
        <f>'Level Calculation Drone Survey'!$Z75</f>
        <v>263.49006666666662</v>
      </c>
      <c r="DE34" s="279">
        <f>'Level Calculation Drone Survey'!$Z75</f>
        <v>263.49006666666662</v>
      </c>
      <c r="DF34" s="279">
        <f>'Level Calculation Drone Survey'!$Z75</f>
        <v>263.49006666666662</v>
      </c>
      <c r="DG34" s="279">
        <f>'Level Calculation Drone Survey'!$Z75</f>
        <v>263.49006666666662</v>
      </c>
      <c r="DH34" s="279">
        <f>'Level Calculation Drone Survey'!$Z75</f>
        <v>263.49006666666662</v>
      </c>
      <c r="DI34" s="305">
        <f>'Level Calculation Drone Survey'!$Z683</f>
        <v>263.3900666666666</v>
      </c>
      <c r="DJ34" s="279">
        <f>'Level Calculation Drone Survey'!$Z59</f>
        <v>263.49002222222225</v>
      </c>
      <c r="DK34" s="279">
        <f>'Level Calculation Drone Survey'!$Z59</f>
        <v>263.49002222222225</v>
      </c>
      <c r="DL34" s="279">
        <f>'Level Calculation Drone Survey'!$Z59</f>
        <v>263.49002222222225</v>
      </c>
      <c r="DM34" s="279">
        <f>'Level Calculation Drone Survey'!$Z59</f>
        <v>263.49002222222225</v>
      </c>
      <c r="DN34" s="279">
        <f>'Level Calculation Drone Survey'!$Z59</f>
        <v>263.49002222222225</v>
      </c>
      <c r="DO34" s="279">
        <f>'Level Calculation Drone Survey'!$Z59</f>
        <v>263.49002222222225</v>
      </c>
      <c r="DP34" s="279">
        <f>'Level Calculation Drone Survey'!$Z59</f>
        <v>263.49002222222225</v>
      </c>
      <c r="DQ34" s="279">
        <f>'Level Calculation Drone Survey'!$Z59</f>
        <v>263.49002222222225</v>
      </c>
      <c r="DR34" s="279">
        <f>'Level Calculation Drone Survey'!$Z59</f>
        <v>263.49002222222225</v>
      </c>
      <c r="DS34" s="279">
        <f>'Level Calculation Drone Survey'!$Z59</f>
        <v>263.49002222222225</v>
      </c>
      <c r="DT34" s="279">
        <f>'Level Calculation Drone Survey'!$Z59</f>
        <v>263.49002222222225</v>
      </c>
      <c r="DU34" s="279">
        <f>'Level Calculation Drone Survey'!$Z59</f>
        <v>263.49002222222225</v>
      </c>
      <c r="DV34" s="279">
        <f>'Level Calculation Drone Survey'!$Z59</f>
        <v>263.49002222222225</v>
      </c>
      <c r="DW34" s="279">
        <f>'Level Calculation Drone Survey'!$Z59</f>
        <v>263.49002222222225</v>
      </c>
      <c r="DX34" s="279">
        <f>'Level Calculation Drone Survey'!$Z59</f>
        <v>263.49002222222225</v>
      </c>
      <c r="DY34" s="279">
        <f>'Level Calculation Drone Survey'!$Z59</f>
        <v>263.49002222222225</v>
      </c>
      <c r="DZ34" s="279">
        <f>'Level Calculation Drone Survey'!$Z59</f>
        <v>263.49002222222225</v>
      </c>
      <c r="EA34" s="279">
        <f>'Level Calculation Drone Survey'!$Z59</f>
        <v>263.49002222222225</v>
      </c>
      <c r="EB34" s="305">
        <f>'Level Calculation Drone Survey'!$Z732</f>
        <v>263.2351631578947</v>
      </c>
      <c r="EC34" s="279">
        <f>'Level Calculation Drone Survey'!$Z26</f>
        <v>263.28516315789471</v>
      </c>
      <c r="ED34" s="279">
        <f>'Level Calculation Drone Survey'!$Z26</f>
        <v>263.28516315789471</v>
      </c>
      <c r="EE34" s="279">
        <f>'Level Calculation Drone Survey'!$Z26</f>
        <v>263.28516315789471</v>
      </c>
      <c r="EF34" s="279">
        <f>'Level Calculation Drone Survey'!$Z26</f>
        <v>263.28516315789471</v>
      </c>
      <c r="EG34" s="279">
        <f>'Level Calculation Drone Survey'!$Z26</f>
        <v>263.28516315789471</v>
      </c>
      <c r="EH34" s="279">
        <f>'Level Calculation Drone Survey'!$Z26</f>
        <v>263.28516315789471</v>
      </c>
      <c r="EI34" s="279">
        <f>'Level Calculation Drone Survey'!$Z26</f>
        <v>263.28516315789471</v>
      </c>
      <c r="EJ34" s="279">
        <f>'Level Calculation Drone Survey'!$Z26</f>
        <v>263.28516315789471</v>
      </c>
      <c r="EK34" s="279">
        <f>'Level Calculation Drone Survey'!$Z26</f>
        <v>263.28516315789471</v>
      </c>
      <c r="EL34" s="279">
        <f>'Level Calculation Drone Survey'!$Z26</f>
        <v>263.28516315789471</v>
      </c>
      <c r="EM34" s="279">
        <f>'Level Calculation Drone Survey'!$Z26</f>
        <v>263.28516315789471</v>
      </c>
      <c r="EN34" s="279">
        <f>'Level Calculation Drone Survey'!$Z26</f>
        <v>263.28516315789471</v>
      </c>
      <c r="EO34" s="279">
        <f>'Level Calculation Drone Survey'!$Z26</f>
        <v>263.28516315789471</v>
      </c>
      <c r="EP34" s="279">
        <f>'Level Calculation Drone Survey'!$Z26</f>
        <v>263.28516315789471</v>
      </c>
      <c r="EQ34" s="279">
        <f>'Level Calculation Drone Survey'!$Z26</f>
        <v>263.28516315789471</v>
      </c>
      <c r="ER34" s="279">
        <f>'Level Calculation Drone Survey'!$Z26</f>
        <v>263.28516315789471</v>
      </c>
      <c r="ES34" s="279">
        <f>'Level Calculation Drone Survey'!$Z26</f>
        <v>263.28516315789471</v>
      </c>
      <c r="ET34" s="279">
        <f>'Level Calculation Drone Survey'!$Z26</f>
        <v>263.28516315789471</v>
      </c>
      <c r="EU34" s="279">
        <f>'Level Calculation Drone Survey'!$Z26</f>
        <v>263.28516315789471</v>
      </c>
      <c r="EV34" s="318">
        <f>'Level Calculation Drone Survey'!$Z773</f>
        <v>263.18516315789469</v>
      </c>
      <c r="EW34" s="318">
        <f>'Level Calculation Drone Survey'!$Z773</f>
        <v>263.18516315789469</v>
      </c>
      <c r="EX34" s="278">
        <v>263.01549999999997</v>
      </c>
      <c r="EY34" s="191"/>
    </row>
    <row r="35" spans="1:155" ht="45" customHeight="1" x14ac:dyDescent="0.45">
      <c r="A35" s="277">
        <v>170</v>
      </c>
      <c r="B35" s="191"/>
      <c r="C35" s="191"/>
      <c r="D35" s="191"/>
      <c r="E35" s="191"/>
      <c r="F35" s="191"/>
      <c r="G35" s="191"/>
      <c r="H35" s="191"/>
      <c r="I35" s="191"/>
      <c r="J35" s="191"/>
      <c r="K35" s="191"/>
      <c r="L35" s="191"/>
      <c r="M35" s="191"/>
      <c r="N35" s="191"/>
      <c r="O35" s="191"/>
      <c r="P35" s="191"/>
      <c r="Q35" s="191"/>
      <c r="R35" s="191"/>
      <c r="S35" s="191"/>
      <c r="T35" s="191"/>
      <c r="U35" s="191"/>
      <c r="V35" s="191"/>
      <c r="W35" s="191"/>
      <c r="X35" s="191"/>
      <c r="Y35" s="191"/>
      <c r="Z35" s="191"/>
      <c r="AA35" s="191"/>
      <c r="AB35" s="191"/>
      <c r="AC35" s="191"/>
      <c r="AD35" s="191"/>
      <c r="AE35" s="191"/>
      <c r="AF35" s="191"/>
      <c r="AG35" s="191"/>
      <c r="AH35" s="191"/>
      <c r="AI35" s="191"/>
      <c r="AJ35" s="191"/>
      <c r="AK35" s="191"/>
      <c r="AL35" s="191"/>
      <c r="AM35" s="191"/>
      <c r="AN35" s="191"/>
      <c r="AO35" s="191"/>
      <c r="AP35" s="191"/>
      <c r="AQ35" s="191"/>
      <c r="AR35" s="191"/>
      <c r="AS35" s="191"/>
      <c r="AT35" s="191"/>
      <c r="AU35" s="191"/>
      <c r="AV35" s="191"/>
      <c r="AW35" s="191"/>
      <c r="AX35" s="191"/>
      <c r="AY35" s="191"/>
      <c r="AZ35" s="191"/>
      <c r="BA35" s="313">
        <f>'Level Calculation Drone Survey'!$Z588</f>
        <v>263.73983999999996</v>
      </c>
      <c r="BB35" s="279">
        <f>'Level Calculation Drone Survey'!$Z109</f>
        <v>263.87483999999995</v>
      </c>
      <c r="BC35" s="279">
        <f>'Level Calculation Drone Survey'!$Z109</f>
        <v>263.87483999999995</v>
      </c>
      <c r="BD35" s="279">
        <f>'Level Calculation Drone Survey'!$Z109</f>
        <v>263.87483999999995</v>
      </c>
      <c r="BE35" s="279">
        <f>'Level Calculation Drone Survey'!$Z109</f>
        <v>263.87483999999995</v>
      </c>
      <c r="BF35" s="279">
        <f>'Level Calculation Drone Survey'!$Z109</f>
        <v>263.87483999999995</v>
      </c>
      <c r="BG35" s="279">
        <f>'Level Calculation Drone Survey'!$Z109</f>
        <v>263.87483999999995</v>
      </c>
      <c r="BH35" s="279">
        <f>'Level Calculation Drone Survey'!$Z109</f>
        <v>263.87483999999995</v>
      </c>
      <c r="BI35" s="279">
        <f>'Level Calculation Drone Survey'!$Z109</f>
        <v>263.87483999999995</v>
      </c>
      <c r="BJ35" s="279">
        <f>'Level Calculation Drone Survey'!$Z109</f>
        <v>263.87483999999995</v>
      </c>
      <c r="BK35" s="279">
        <f>'Level Calculation Drone Survey'!$Z109</f>
        <v>263.87483999999995</v>
      </c>
      <c r="BL35" s="279">
        <f>'Level Calculation Drone Survey'!$Z109</f>
        <v>263.87483999999995</v>
      </c>
      <c r="BM35" s="279">
        <f>'Level Calculation Drone Survey'!$Z109</f>
        <v>263.87483999999995</v>
      </c>
      <c r="BN35" s="279">
        <f>'Level Calculation Drone Survey'!$Z109</f>
        <v>263.87483999999995</v>
      </c>
      <c r="BO35" s="279">
        <f>'Level Calculation Drone Survey'!$Z109</f>
        <v>263.87483999999995</v>
      </c>
      <c r="BP35" s="279">
        <f>'Level Calculation Drone Survey'!$Z109</f>
        <v>263.87483999999995</v>
      </c>
      <c r="BQ35" s="279">
        <f>'Level Calculation Drone Survey'!$Z109</f>
        <v>263.87483999999995</v>
      </c>
      <c r="BR35" s="279">
        <f>'Level Calculation Drone Survey'!$Z109</f>
        <v>263.87483999999995</v>
      </c>
      <c r="BS35" s="279">
        <f>'Level Calculation Drone Survey'!$Z109</f>
        <v>263.87483999999995</v>
      </c>
      <c r="BT35" s="279">
        <f>'Level Calculation Drone Survey'!$Z109</f>
        <v>263.87483999999995</v>
      </c>
      <c r="BU35" s="279">
        <f>'Level Calculation Drone Survey'!$Z109</f>
        <v>263.87483999999995</v>
      </c>
      <c r="BV35" s="305">
        <f>'Level Calculation Drone Survey'!$Z618</f>
        <v>263.6003</v>
      </c>
      <c r="BW35" s="279">
        <f>'Level Calculation Drone Survey'!$Z94</f>
        <v>263.62529999999998</v>
      </c>
      <c r="BX35" s="279">
        <f>'Level Calculation Drone Survey'!$Z94</f>
        <v>263.62529999999998</v>
      </c>
      <c r="BY35" s="279">
        <f>'Level Calculation Drone Survey'!$Z94</f>
        <v>263.62529999999998</v>
      </c>
      <c r="BZ35" s="279">
        <f>'Level Calculation Drone Survey'!$Z94</f>
        <v>263.62529999999998</v>
      </c>
      <c r="CA35" s="279">
        <f>'Level Calculation Drone Survey'!$Z94</f>
        <v>263.62529999999998</v>
      </c>
      <c r="CB35" s="279">
        <f>'Level Calculation Drone Survey'!$Z94</f>
        <v>263.62529999999998</v>
      </c>
      <c r="CC35" s="279">
        <f>'Level Calculation Drone Survey'!$Z94</f>
        <v>263.62529999999998</v>
      </c>
      <c r="CD35" s="279">
        <f>'Level Calculation Drone Survey'!$Z94</f>
        <v>263.62529999999998</v>
      </c>
      <c r="CE35" s="279">
        <f>'Level Calculation Drone Survey'!$Z94</f>
        <v>263.62529999999998</v>
      </c>
      <c r="CF35" s="279">
        <f>'Level Calculation Drone Survey'!$Z94</f>
        <v>263.62529999999998</v>
      </c>
      <c r="CG35" s="279">
        <f>'Level Calculation Drone Survey'!$Z94</f>
        <v>263.62529999999998</v>
      </c>
      <c r="CH35" s="279">
        <f>'Level Calculation Drone Survey'!$Z94</f>
        <v>263.62529999999998</v>
      </c>
      <c r="CI35" s="279">
        <f>'Level Calculation Drone Survey'!$Z94</f>
        <v>263.62529999999998</v>
      </c>
      <c r="CJ35" s="279">
        <f>'Level Calculation Drone Survey'!$Z94</f>
        <v>263.62529999999998</v>
      </c>
      <c r="CK35" s="279">
        <f>'Level Calculation Drone Survey'!$Z94</f>
        <v>263.62529999999998</v>
      </c>
      <c r="CL35" s="279">
        <f>'Level Calculation Drone Survey'!$Z94</f>
        <v>263.62529999999998</v>
      </c>
      <c r="CM35" s="279">
        <f>'Level Calculation Drone Survey'!$Z94</f>
        <v>263.62529999999998</v>
      </c>
      <c r="CN35" s="279">
        <f>'Level Calculation Drone Survey'!$Z94</f>
        <v>263.62529999999998</v>
      </c>
      <c r="CO35" s="305">
        <f>'Level Calculation Drone Survey'!$Z657</f>
        <v>263.40006666666659</v>
      </c>
      <c r="CP35" s="305">
        <f>'Level Calculation Drone Survey'!$Z657</f>
        <v>263.40006666666659</v>
      </c>
      <c r="CQ35" s="279">
        <f>'Level Calculation Drone Survey'!$Z76</f>
        <v>263.44006666666661</v>
      </c>
      <c r="CR35" s="279">
        <f>'Level Calculation Drone Survey'!$Z76</f>
        <v>263.44006666666661</v>
      </c>
      <c r="CS35" s="279">
        <f>'Level Calculation Drone Survey'!$Z76</f>
        <v>263.44006666666661</v>
      </c>
      <c r="CT35" s="279">
        <f>'Level Calculation Drone Survey'!$Z76</f>
        <v>263.44006666666661</v>
      </c>
      <c r="CU35" s="279">
        <f>'Level Calculation Drone Survey'!$Z76</f>
        <v>263.44006666666661</v>
      </c>
      <c r="CV35" s="279">
        <f>'Level Calculation Drone Survey'!$Z76</f>
        <v>263.44006666666661</v>
      </c>
      <c r="CW35" s="279">
        <f>'Level Calculation Drone Survey'!$Z76</f>
        <v>263.44006666666661</v>
      </c>
      <c r="CX35" s="279">
        <f>'Level Calculation Drone Survey'!$Z76</f>
        <v>263.44006666666661</v>
      </c>
      <c r="CY35" s="279">
        <f>'Level Calculation Drone Survey'!$Z76</f>
        <v>263.44006666666661</v>
      </c>
      <c r="CZ35" s="279">
        <f>'Level Calculation Drone Survey'!$Z76</f>
        <v>263.44006666666661</v>
      </c>
      <c r="DA35" s="279">
        <f>'Level Calculation Drone Survey'!$Z76</f>
        <v>263.44006666666661</v>
      </c>
      <c r="DB35" s="279">
        <f>'Level Calculation Drone Survey'!$Z76</f>
        <v>263.44006666666661</v>
      </c>
      <c r="DC35" s="279">
        <f>'Level Calculation Drone Survey'!$Z76</f>
        <v>263.44006666666661</v>
      </c>
      <c r="DD35" s="279">
        <f>'Level Calculation Drone Survey'!$Z76</f>
        <v>263.44006666666661</v>
      </c>
      <c r="DE35" s="279">
        <f>'Level Calculation Drone Survey'!$Z76</f>
        <v>263.44006666666661</v>
      </c>
      <c r="DF35" s="279">
        <f>'Level Calculation Drone Survey'!$Z76</f>
        <v>263.44006666666661</v>
      </c>
      <c r="DG35" s="279">
        <f>'Level Calculation Drone Survey'!$Z76</f>
        <v>263.44006666666661</v>
      </c>
      <c r="DH35" s="279">
        <f>'Level Calculation Drone Survey'!$Z76</f>
        <v>263.44006666666661</v>
      </c>
      <c r="DI35" s="305">
        <f>'Level Calculation Drone Survey'!$Z684</f>
        <v>263.34006666666659</v>
      </c>
      <c r="DJ35" s="279">
        <f>'Level Calculation Drone Survey'!$Z60</f>
        <v>263.44002222222224</v>
      </c>
      <c r="DK35" s="279">
        <f>'Level Calculation Drone Survey'!$Z60</f>
        <v>263.44002222222224</v>
      </c>
      <c r="DL35" s="279">
        <f>'Level Calculation Drone Survey'!$Z60</f>
        <v>263.44002222222224</v>
      </c>
      <c r="DM35" s="279">
        <f>'Level Calculation Drone Survey'!$Z60</f>
        <v>263.44002222222224</v>
      </c>
      <c r="DN35" s="279">
        <f>'Level Calculation Drone Survey'!$Z60</f>
        <v>263.44002222222224</v>
      </c>
      <c r="DO35" s="279">
        <f>'Level Calculation Drone Survey'!$Z60</f>
        <v>263.44002222222224</v>
      </c>
      <c r="DP35" s="279">
        <f>'Level Calculation Drone Survey'!$Z60</f>
        <v>263.44002222222224</v>
      </c>
      <c r="DQ35" s="279">
        <f>'Level Calculation Drone Survey'!$Z60</f>
        <v>263.44002222222224</v>
      </c>
      <c r="DR35" s="279">
        <f>'Level Calculation Drone Survey'!$Z60</f>
        <v>263.44002222222224</v>
      </c>
      <c r="DS35" s="279">
        <f>'Level Calculation Drone Survey'!$Z60</f>
        <v>263.44002222222224</v>
      </c>
      <c r="DT35" s="279">
        <f>'Level Calculation Drone Survey'!$Z60</f>
        <v>263.44002222222224</v>
      </c>
      <c r="DU35" s="279">
        <f>'Level Calculation Drone Survey'!$Z60</f>
        <v>263.44002222222224</v>
      </c>
      <c r="DV35" s="279">
        <f>'Level Calculation Drone Survey'!$Z60</f>
        <v>263.44002222222224</v>
      </c>
      <c r="DW35" s="279">
        <f>'Level Calculation Drone Survey'!$Z60</f>
        <v>263.44002222222224</v>
      </c>
      <c r="DX35" s="279">
        <f>'Level Calculation Drone Survey'!$Z60</f>
        <v>263.44002222222224</v>
      </c>
      <c r="DY35" s="279">
        <f>'Level Calculation Drone Survey'!$Z60</f>
        <v>263.44002222222224</v>
      </c>
      <c r="DZ35" s="279">
        <f>'Level Calculation Drone Survey'!$Z60</f>
        <v>263.44002222222224</v>
      </c>
      <c r="EA35" s="279">
        <f>'Level Calculation Drone Survey'!$Z60</f>
        <v>263.44002222222224</v>
      </c>
      <c r="EB35" s="305">
        <f>'Level Calculation Drone Survey'!$Z733</f>
        <v>263.18516315789469</v>
      </c>
      <c r="EC35" s="279">
        <f>'Level Calculation Drone Survey'!$Z27</f>
        <v>263.2351631578947</v>
      </c>
      <c r="ED35" s="279">
        <f>'Level Calculation Drone Survey'!$Z27</f>
        <v>263.2351631578947</v>
      </c>
      <c r="EE35" s="279">
        <f>'Level Calculation Drone Survey'!$Z27</f>
        <v>263.2351631578947</v>
      </c>
      <c r="EF35" s="279">
        <f>'Level Calculation Drone Survey'!$Z27</f>
        <v>263.2351631578947</v>
      </c>
      <c r="EG35" s="279">
        <f>'Level Calculation Drone Survey'!$Z27</f>
        <v>263.2351631578947</v>
      </c>
      <c r="EH35" s="279">
        <f>'Level Calculation Drone Survey'!$Z27</f>
        <v>263.2351631578947</v>
      </c>
      <c r="EI35" s="279">
        <f>'Level Calculation Drone Survey'!$Z27</f>
        <v>263.2351631578947</v>
      </c>
      <c r="EJ35" s="279">
        <f>'Level Calculation Drone Survey'!$Z27</f>
        <v>263.2351631578947</v>
      </c>
      <c r="EK35" s="279">
        <f>'Level Calculation Drone Survey'!$Z27</f>
        <v>263.2351631578947</v>
      </c>
      <c r="EL35" s="279">
        <f>'Level Calculation Drone Survey'!$Z27</f>
        <v>263.2351631578947</v>
      </c>
      <c r="EM35" s="279">
        <f>'Level Calculation Drone Survey'!$Z27</f>
        <v>263.2351631578947</v>
      </c>
      <c r="EN35" s="279">
        <f>'Level Calculation Drone Survey'!$Z27</f>
        <v>263.2351631578947</v>
      </c>
      <c r="EO35" s="279">
        <f>'Level Calculation Drone Survey'!$Z27</f>
        <v>263.2351631578947</v>
      </c>
      <c r="EP35" s="279">
        <f>'Level Calculation Drone Survey'!$Z27</f>
        <v>263.2351631578947</v>
      </c>
      <c r="EQ35" s="279">
        <f>'Level Calculation Drone Survey'!$Z27</f>
        <v>263.2351631578947</v>
      </c>
      <c r="ER35" s="279">
        <f>'Level Calculation Drone Survey'!$Z27</f>
        <v>263.2351631578947</v>
      </c>
      <c r="ES35" s="279">
        <f>'Level Calculation Drone Survey'!$Z27</f>
        <v>263.2351631578947</v>
      </c>
      <c r="ET35" s="279">
        <f>'Level Calculation Drone Survey'!$Z27</f>
        <v>263.2351631578947</v>
      </c>
      <c r="EU35" s="279">
        <f>'Level Calculation Drone Survey'!$Z27</f>
        <v>263.2351631578947</v>
      </c>
      <c r="EV35" s="318">
        <f>'Level Calculation Drone Survey'!$Z774</f>
        <v>263.13516315789468</v>
      </c>
      <c r="EW35" s="318">
        <f>'Level Calculation Drone Survey'!$Z774</f>
        <v>263.13516315789468</v>
      </c>
      <c r="EX35" s="278">
        <v>262.58109999999999</v>
      </c>
      <c r="EY35" s="191"/>
    </row>
    <row r="36" spans="1:155" ht="45" customHeight="1" x14ac:dyDescent="0.45">
      <c r="A36" s="277">
        <v>175</v>
      </c>
      <c r="B36" s="191"/>
      <c r="C36" s="191"/>
      <c r="D36" s="191"/>
      <c r="E36" s="191"/>
      <c r="F36" s="191"/>
      <c r="G36" s="191"/>
      <c r="H36" s="191"/>
      <c r="I36" s="191"/>
      <c r="J36" s="191"/>
      <c r="K36" s="191"/>
      <c r="L36" s="191"/>
      <c r="M36" s="191"/>
      <c r="N36" s="191"/>
      <c r="O36" s="191"/>
      <c r="P36" s="191"/>
      <c r="Q36" s="191"/>
      <c r="R36" s="191"/>
      <c r="S36" s="191"/>
      <c r="T36" s="191"/>
      <c r="U36" s="191"/>
      <c r="V36" s="191"/>
      <c r="W36" s="191"/>
      <c r="X36" s="191"/>
      <c r="Y36" s="191"/>
      <c r="Z36" s="191"/>
      <c r="AA36" s="191"/>
      <c r="AB36" s="191"/>
      <c r="AC36" s="191"/>
      <c r="AD36" s="191"/>
      <c r="AE36" s="191"/>
      <c r="AF36" s="191"/>
      <c r="AG36" s="191"/>
      <c r="AH36" s="191"/>
      <c r="AI36" s="191"/>
      <c r="AJ36" s="191"/>
      <c r="AK36" s="191"/>
      <c r="AL36" s="191"/>
      <c r="AM36" s="191"/>
      <c r="AN36" s="191"/>
      <c r="AO36" s="191"/>
      <c r="AP36" s="191"/>
      <c r="AQ36" s="191"/>
      <c r="AR36" s="191"/>
      <c r="AS36" s="191"/>
      <c r="AT36" s="191"/>
      <c r="AU36" s="191"/>
      <c r="AV36" s="191"/>
      <c r="AW36" s="191"/>
      <c r="AX36" s="191"/>
      <c r="AY36" s="191"/>
      <c r="AZ36" s="191"/>
      <c r="BA36" s="313">
        <f>'Level Calculation Drone Survey'!$Z589</f>
        <v>263.68983999999995</v>
      </c>
      <c r="BB36" s="279">
        <f>'Level Calculation Drone Survey'!$Z110</f>
        <v>263.82483999999994</v>
      </c>
      <c r="BC36" s="279">
        <f>'Level Calculation Drone Survey'!$Z110</f>
        <v>263.82483999999994</v>
      </c>
      <c r="BD36" s="279">
        <f>'Level Calculation Drone Survey'!$Z110</f>
        <v>263.82483999999994</v>
      </c>
      <c r="BE36" s="279">
        <f>'Level Calculation Drone Survey'!$Z110</f>
        <v>263.82483999999994</v>
      </c>
      <c r="BF36" s="279">
        <f>'Level Calculation Drone Survey'!$Z110</f>
        <v>263.82483999999994</v>
      </c>
      <c r="BG36" s="279">
        <f>'Level Calculation Drone Survey'!$Z110</f>
        <v>263.82483999999994</v>
      </c>
      <c r="BH36" s="279">
        <f>'Level Calculation Drone Survey'!$Z110</f>
        <v>263.82483999999994</v>
      </c>
      <c r="BI36" s="279">
        <f>'Level Calculation Drone Survey'!$Z110</f>
        <v>263.82483999999994</v>
      </c>
      <c r="BJ36" s="279">
        <f>'Level Calculation Drone Survey'!$Z110</f>
        <v>263.82483999999994</v>
      </c>
      <c r="BK36" s="279">
        <f>'Level Calculation Drone Survey'!$Z110</f>
        <v>263.82483999999994</v>
      </c>
      <c r="BL36" s="279">
        <f>'Level Calculation Drone Survey'!$Z110</f>
        <v>263.82483999999994</v>
      </c>
      <c r="BM36" s="279">
        <f>'Level Calculation Drone Survey'!$Z110</f>
        <v>263.82483999999994</v>
      </c>
      <c r="BN36" s="279">
        <f>'Level Calculation Drone Survey'!$Z110</f>
        <v>263.82483999999994</v>
      </c>
      <c r="BO36" s="279">
        <f>'Level Calculation Drone Survey'!$Z110</f>
        <v>263.82483999999994</v>
      </c>
      <c r="BP36" s="279">
        <f>'Level Calculation Drone Survey'!$Z110</f>
        <v>263.82483999999994</v>
      </c>
      <c r="BQ36" s="279">
        <f>'Level Calculation Drone Survey'!$Z110</f>
        <v>263.82483999999994</v>
      </c>
      <c r="BR36" s="279">
        <f>'Level Calculation Drone Survey'!$Z110</f>
        <v>263.82483999999994</v>
      </c>
      <c r="BS36" s="279">
        <f>'Level Calculation Drone Survey'!$Z110</f>
        <v>263.82483999999994</v>
      </c>
      <c r="BT36" s="279">
        <f>'Level Calculation Drone Survey'!$Z110</f>
        <v>263.82483999999994</v>
      </c>
      <c r="BU36" s="279">
        <f>'Level Calculation Drone Survey'!$Z110</f>
        <v>263.82483999999994</v>
      </c>
      <c r="BV36" s="305">
        <f>'Level Calculation Drone Survey'!$Z601</f>
        <v>263.55029999999999</v>
      </c>
      <c r="BW36" s="279">
        <f>'Level Calculation Drone Survey'!$Z95</f>
        <v>263.57529999999997</v>
      </c>
      <c r="BX36" s="279">
        <f>'Level Calculation Drone Survey'!$Z95</f>
        <v>263.57529999999997</v>
      </c>
      <c r="BY36" s="279">
        <f>'Level Calculation Drone Survey'!$Z95</f>
        <v>263.57529999999997</v>
      </c>
      <c r="BZ36" s="279">
        <f>'Level Calculation Drone Survey'!$Z95</f>
        <v>263.57529999999997</v>
      </c>
      <c r="CA36" s="279">
        <f>'Level Calculation Drone Survey'!$Z95</f>
        <v>263.57529999999997</v>
      </c>
      <c r="CB36" s="279">
        <f>'Level Calculation Drone Survey'!$Z95</f>
        <v>263.57529999999997</v>
      </c>
      <c r="CC36" s="279">
        <f>'Level Calculation Drone Survey'!$Z95</f>
        <v>263.57529999999997</v>
      </c>
      <c r="CD36" s="279">
        <f>'Level Calculation Drone Survey'!$Z95</f>
        <v>263.57529999999997</v>
      </c>
      <c r="CE36" s="279">
        <f>'Level Calculation Drone Survey'!$Z95</f>
        <v>263.57529999999997</v>
      </c>
      <c r="CF36" s="279">
        <f>'Level Calculation Drone Survey'!$Z95</f>
        <v>263.57529999999997</v>
      </c>
      <c r="CG36" s="279">
        <f>'Level Calculation Drone Survey'!$Z95</f>
        <v>263.57529999999997</v>
      </c>
      <c r="CH36" s="279">
        <f>'Level Calculation Drone Survey'!$Z95</f>
        <v>263.57529999999997</v>
      </c>
      <c r="CI36" s="279">
        <f>'Level Calculation Drone Survey'!$Z95</f>
        <v>263.57529999999997</v>
      </c>
      <c r="CJ36" s="279">
        <f>'Level Calculation Drone Survey'!$Z95</f>
        <v>263.57529999999997</v>
      </c>
      <c r="CK36" s="279">
        <f>'Level Calculation Drone Survey'!$Z95</f>
        <v>263.57529999999997</v>
      </c>
      <c r="CL36" s="279">
        <f>'Level Calculation Drone Survey'!$Z95</f>
        <v>263.57529999999997</v>
      </c>
      <c r="CM36" s="279">
        <f>'Level Calculation Drone Survey'!$Z95</f>
        <v>263.57529999999997</v>
      </c>
      <c r="CN36" s="279">
        <f>'Level Calculation Drone Survey'!$Z95</f>
        <v>263.57529999999997</v>
      </c>
      <c r="CO36" s="305">
        <f>'Level Calculation Drone Survey'!$Z658</f>
        <v>263.35006666666658</v>
      </c>
      <c r="CP36" s="305">
        <f>'Level Calculation Drone Survey'!$Z658</f>
        <v>263.35006666666658</v>
      </c>
      <c r="CQ36" s="279">
        <f>'Level Calculation Drone Survey'!$Z77</f>
        <v>263.3900666666666</v>
      </c>
      <c r="CR36" s="279">
        <f>'Level Calculation Drone Survey'!$Z77</f>
        <v>263.3900666666666</v>
      </c>
      <c r="CS36" s="279">
        <f>'Level Calculation Drone Survey'!$Z77</f>
        <v>263.3900666666666</v>
      </c>
      <c r="CT36" s="279">
        <f>'Level Calculation Drone Survey'!$Z77</f>
        <v>263.3900666666666</v>
      </c>
      <c r="CU36" s="279">
        <f>'Level Calculation Drone Survey'!$Z77</f>
        <v>263.3900666666666</v>
      </c>
      <c r="CV36" s="279">
        <f>'Level Calculation Drone Survey'!$Z77</f>
        <v>263.3900666666666</v>
      </c>
      <c r="CW36" s="279">
        <f>'Level Calculation Drone Survey'!$Z77</f>
        <v>263.3900666666666</v>
      </c>
      <c r="CX36" s="279">
        <f>'Level Calculation Drone Survey'!$Z77</f>
        <v>263.3900666666666</v>
      </c>
      <c r="CY36" s="279">
        <f>'Level Calculation Drone Survey'!$Z77</f>
        <v>263.3900666666666</v>
      </c>
      <c r="CZ36" s="279">
        <f>'Level Calculation Drone Survey'!$Z77</f>
        <v>263.3900666666666</v>
      </c>
      <c r="DA36" s="279">
        <f>'Level Calculation Drone Survey'!$Z77</f>
        <v>263.3900666666666</v>
      </c>
      <c r="DB36" s="279">
        <f>'Level Calculation Drone Survey'!$Z77</f>
        <v>263.3900666666666</v>
      </c>
      <c r="DC36" s="279">
        <f>'Level Calculation Drone Survey'!$Z77</f>
        <v>263.3900666666666</v>
      </c>
      <c r="DD36" s="279">
        <f>'Level Calculation Drone Survey'!$Z77</f>
        <v>263.3900666666666</v>
      </c>
      <c r="DE36" s="279">
        <f>'Level Calculation Drone Survey'!$Z77</f>
        <v>263.3900666666666</v>
      </c>
      <c r="DF36" s="279">
        <f>'Level Calculation Drone Survey'!$Z77</f>
        <v>263.3900666666666</v>
      </c>
      <c r="DG36" s="279">
        <f>'Level Calculation Drone Survey'!$Z77</f>
        <v>263.3900666666666</v>
      </c>
      <c r="DH36" s="279">
        <f>'Level Calculation Drone Survey'!$Z77</f>
        <v>263.3900666666666</v>
      </c>
      <c r="DI36" s="305">
        <f>'Level Calculation Drone Survey'!$Z685</f>
        <v>263.29006666666658</v>
      </c>
      <c r="DJ36" s="279">
        <f>'Level Calculation Drone Survey'!$Z61</f>
        <v>263.39002222222223</v>
      </c>
      <c r="DK36" s="279">
        <f>'Level Calculation Drone Survey'!$Z61</f>
        <v>263.39002222222223</v>
      </c>
      <c r="DL36" s="279">
        <f>'Level Calculation Drone Survey'!$Z61</f>
        <v>263.39002222222223</v>
      </c>
      <c r="DM36" s="279">
        <f>'Level Calculation Drone Survey'!$Z61</f>
        <v>263.39002222222223</v>
      </c>
      <c r="DN36" s="279">
        <f>'Level Calculation Drone Survey'!$Z61</f>
        <v>263.39002222222223</v>
      </c>
      <c r="DO36" s="279">
        <f>'Level Calculation Drone Survey'!$Z61</f>
        <v>263.39002222222223</v>
      </c>
      <c r="DP36" s="279">
        <f>'Level Calculation Drone Survey'!$Z61</f>
        <v>263.39002222222223</v>
      </c>
      <c r="DQ36" s="279">
        <f>'Level Calculation Drone Survey'!$Z61</f>
        <v>263.39002222222223</v>
      </c>
      <c r="DR36" s="279">
        <f>'Level Calculation Drone Survey'!$Z61</f>
        <v>263.39002222222223</v>
      </c>
      <c r="DS36" s="279">
        <f>'Level Calculation Drone Survey'!$Z61</f>
        <v>263.39002222222223</v>
      </c>
      <c r="DT36" s="279">
        <f>'Level Calculation Drone Survey'!$Z61</f>
        <v>263.39002222222223</v>
      </c>
      <c r="DU36" s="279">
        <f>'Level Calculation Drone Survey'!$Z61</f>
        <v>263.39002222222223</v>
      </c>
      <c r="DV36" s="279">
        <f>'Level Calculation Drone Survey'!$Z61</f>
        <v>263.39002222222223</v>
      </c>
      <c r="DW36" s="279">
        <f>'Level Calculation Drone Survey'!$Z61</f>
        <v>263.39002222222223</v>
      </c>
      <c r="DX36" s="279">
        <f>'Level Calculation Drone Survey'!$Z61</f>
        <v>263.39002222222223</v>
      </c>
      <c r="DY36" s="279">
        <f>'Level Calculation Drone Survey'!$Z61</f>
        <v>263.39002222222223</v>
      </c>
      <c r="DZ36" s="279">
        <f>'Level Calculation Drone Survey'!$Z61</f>
        <v>263.39002222222223</v>
      </c>
      <c r="EA36" s="279">
        <f>'Level Calculation Drone Survey'!$Z61</f>
        <v>263.39002222222223</v>
      </c>
      <c r="EB36" s="305">
        <f>'Level Calculation Drone Survey'!$Z734</f>
        <v>263.13516315789468</v>
      </c>
      <c r="EC36" s="279">
        <f>'Level Calculation Drone Survey'!$Z28</f>
        <v>263.18516315789469</v>
      </c>
      <c r="ED36" s="279">
        <f>'Level Calculation Drone Survey'!$Z28</f>
        <v>263.18516315789469</v>
      </c>
      <c r="EE36" s="279">
        <f>'Level Calculation Drone Survey'!$Z28</f>
        <v>263.18516315789469</v>
      </c>
      <c r="EF36" s="279">
        <f>'Level Calculation Drone Survey'!$Z28</f>
        <v>263.18516315789469</v>
      </c>
      <c r="EG36" s="279">
        <f>'Level Calculation Drone Survey'!$Z28</f>
        <v>263.18516315789469</v>
      </c>
      <c r="EH36" s="279">
        <f>'Level Calculation Drone Survey'!$Z28</f>
        <v>263.18516315789469</v>
      </c>
      <c r="EI36" s="279">
        <f>'Level Calculation Drone Survey'!$Z28</f>
        <v>263.18516315789469</v>
      </c>
      <c r="EJ36" s="279">
        <f>'Level Calculation Drone Survey'!$Z28</f>
        <v>263.18516315789469</v>
      </c>
      <c r="EK36" s="279">
        <f>'Level Calculation Drone Survey'!$Z28</f>
        <v>263.18516315789469</v>
      </c>
      <c r="EL36" s="279">
        <f>'Level Calculation Drone Survey'!$Z28</f>
        <v>263.18516315789469</v>
      </c>
      <c r="EM36" s="279">
        <f>'Level Calculation Drone Survey'!$Z28</f>
        <v>263.18516315789469</v>
      </c>
      <c r="EN36" s="279">
        <f>'Level Calculation Drone Survey'!$Z28</f>
        <v>263.18516315789469</v>
      </c>
      <c r="EO36" s="279">
        <f>'Level Calculation Drone Survey'!$Z28</f>
        <v>263.18516315789469</v>
      </c>
      <c r="EP36" s="279">
        <f>'Level Calculation Drone Survey'!$Z28</f>
        <v>263.18516315789469</v>
      </c>
      <c r="EQ36" s="279">
        <f>'Level Calculation Drone Survey'!$Z28</f>
        <v>263.18516315789469</v>
      </c>
      <c r="ER36" s="279">
        <f>'Level Calculation Drone Survey'!$Z28</f>
        <v>263.18516315789469</v>
      </c>
      <c r="ES36" s="279">
        <f>'Level Calculation Drone Survey'!$Z28</f>
        <v>263.18516315789469</v>
      </c>
      <c r="ET36" s="279">
        <f>'Level Calculation Drone Survey'!$Z28</f>
        <v>263.18516315789469</v>
      </c>
      <c r="EU36" s="279">
        <f>'Level Calculation Drone Survey'!$Z28</f>
        <v>263.18516315789469</v>
      </c>
      <c r="EV36" s="318">
        <f>'Level Calculation Drone Survey'!$Z775</f>
        <v>263.08516315789467</v>
      </c>
      <c r="EW36" s="318">
        <f>'Level Calculation Drone Survey'!$Z775</f>
        <v>263.08516315789467</v>
      </c>
      <c r="EX36" s="191"/>
      <c r="EY36" s="191"/>
    </row>
    <row r="37" spans="1:155" ht="45" customHeight="1" x14ac:dyDescent="0.45">
      <c r="A37" s="277">
        <v>180</v>
      </c>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c r="AA37" s="191"/>
      <c r="AB37" s="191"/>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313">
        <f>'Level Calculation Drone Survey'!$Z590</f>
        <v>263.63983999999994</v>
      </c>
      <c r="BB37" s="279">
        <f>'Level Calculation Drone Survey'!$Z111</f>
        <v>263.77483999999993</v>
      </c>
      <c r="BC37" s="279">
        <f>'Level Calculation Drone Survey'!$Z111</f>
        <v>263.77483999999993</v>
      </c>
      <c r="BD37" s="279">
        <f>'Level Calculation Drone Survey'!$Z111</f>
        <v>263.77483999999993</v>
      </c>
      <c r="BE37" s="279">
        <f>'Level Calculation Drone Survey'!$Z111</f>
        <v>263.77483999999993</v>
      </c>
      <c r="BF37" s="279">
        <f>'Level Calculation Drone Survey'!$Z111</f>
        <v>263.77483999999993</v>
      </c>
      <c r="BG37" s="279">
        <f>'Level Calculation Drone Survey'!$Z111</f>
        <v>263.77483999999993</v>
      </c>
      <c r="BH37" s="279">
        <f>'Level Calculation Drone Survey'!$Z111</f>
        <v>263.77483999999993</v>
      </c>
      <c r="BI37" s="279">
        <f>'Level Calculation Drone Survey'!$Z111</f>
        <v>263.77483999999993</v>
      </c>
      <c r="BJ37" s="279">
        <f>'Level Calculation Drone Survey'!$Z111</f>
        <v>263.77483999999993</v>
      </c>
      <c r="BK37" s="279">
        <f>'Level Calculation Drone Survey'!$Z111</f>
        <v>263.77483999999993</v>
      </c>
      <c r="BL37" s="279">
        <f>'Level Calculation Drone Survey'!$Z111</f>
        <v>263.77483999999993</v>
      </c>
      <c r="BM37" s="279">
        <f>'Level Calculation Drone Survey'!$Z111</f>
        <v>263.77483999999993</v>
      </c>
      <c r="BN37" s="279">
        <f>'Level Calculation Drone Survey'!$Z111</f>
        <v>263.77483999999993</v>
      </c>
      <c r="BO37" s="279">
        <f>'Level Calculation Drone Survey'!$Z111</f>
        <v>263.77483999999993</v>
      </c>
      <c r="BP37" s="279">
        <f>'Level Calculation Drone Survey'!$Z111</f>
        <v>263.77483999999993</v>
      </c>
      <c r="BQ37" s="279">
        <f>'Level Calculation Drone Survey'!$Z111</f>
        <v>263.77483999999993</v>
      </c>
      <c r="BR37" s="279">
        <f>'Level Calculation Drone Survey'!$Z111</f>
        <v>263.77483999999993</v>
      </c>
      <c r="BS37" s="279">
        <f>'Level Calculation Drone Survey'!$Z111</f>
        <v>263.77483999999993</v>
      </c>
      <c r="BT37" s="279">
        <f>'Level Calculation Drone Survey'!$Z111</f>
        <v>263.77483999999993</v>
      </c>
      <c r="BU37" s="279">
        <f>'Level Calculation Drone Survey'!$Z111</f>
        <v>263.77483999999993</v>
      </c>
      <c r="BV37" s="305">
        <f>'Level Calculation Drone Survey'!$Z602</f>
        <v>263.50029999999998</v>
      </c>
      <c r="BW37" s="279">
        <f>'Level Calculation Drone Survey'!$Z96</f>
        <v>263.52529999999996</v>
      </c>
      <c r="BX37" s="279">
        <f>'Level Calculation Drone Survey'!$Z96</f>
        <v>263.52529999999996</v>
      </c>
      <c r="BY37" s="279">
        <f>'Level Calculation Drone Survey'!$Z96</f>
        <v>263.52529999999996</v>
      </c>
      <c r="BZ37" s="279">
        <f>'Level Calculation Drone Survey'!$Z96</f>
        <v>263.52529999999996</v>
      </c>
      <c r="CA37" s="279">
        <f>'Level Calculation Drone Survey'!$Z96</f>
        <v>263.52529999999996</v>
      </c>
      <c r="CB37" s="279">
        <f>'Level Calculation Drone Survey'!$Z96</f>
        <v>263.52529999999996</v>
      </c>
      <c r="CC37" s="279">
        <f>'Level Calculation Drone Survey'!$Z96</f>
        <v>263.52529999999996</v>
      </c>
      <c r="CD37" s="279">
        <f>'Level Calculation Drone Survey'!$Z96</f>
        <v>263.52529999999996</v>
      </c>
      <c r="CE37" s="279">
        <f>'Level Calculation Drone Survey'!$Z96</f>
        <v>263.52529999999996</v>
      </c>
      <c r="CF37" s="279">
        <f>'Level Calculation Drone Survey'!$Z96</f>
        <v>263.52529999999996</v>
      </c>
      <c r="CG37" s="279">
        <f>'Level Calculation Drone Survey'!$Z96</f>
        <v>263.52529999999996</v>
      </c>
      <c r="CH37" s="279">
        <f>'Level Calculation Drone Survey'!$Z96</f>
        <v>263.52529999999996</v>
      </c>
      <c r="CI37" s="279">
        <f>'Level Calculation Drone Survey'!$Z96</f>
        <v>263.52529999999996</v>
      </c>
      <c r="CJ37" s="279">
        <f>'Level Calculation Drone Survey'!$Z96</f>
        <v>263.52529999999996</v>
      </c>
      <c r="CK37" s="279">
        <f>'Level Calculation Drone Survey'!$Z96</f>
        <v>263.52529999999996</v>
      </c>
      <c r="CL37" s="279">
        <f>'Level Calculation Drone Survey'!$Z96</f>
        <v>263.52529999999996</v>
      </c>
      <c r="CM37" s="279">
        <f>'Level Calculation Drone Survey'!$Z96</f>
        <v>263.52529999999996</v>
      </c>
      <c r="CN37" s="279">
        <f>'Level Calculation Drone Survey'!$Z96</f>
        <v>263.52529999999996</v>
      </c>
      <c r="CO37" s="305">
        <f>'Level Calculation Drone Survey'!$Z659</f>
        <v>263.30006666666657</v>
      </c>
      <c r="CP37" s="305">
        <f>'Level Calculation Drone Survey'!$Z659</f>
        <v>263.30006666666657</v>
      </c>
      <c r="CQ37" s="279">
        <f>'Level Calculation Drone Survey'!$Z78</f>
        <v>263.34006666666659</v>
      </c>
      <c r="CR37" s="279">
        <f>'Level Calculation Drone Survey'!$Z78</f>
        <v>263.34006666666659</v>
      </c>
      <c r="CS37" s="279">
        <f>'Level Calculation Drone Survey'!$Z78</f>
        <v>263.34006666666659</v>
      </c>
      <c r="CT37" s="279">
        <f>'Level Calculation Drone Survey'!$Z78</f>
        <v>263.34006666666659</v>
      </c>
      <c r="CU37" s="279">
        <f>'Level Calculation Drone Survey'!$Z78</f>
        <v>263.34006666666659</v>
      </c>
      <c r="CV37" s="279">
        <f>'Level Calculation Drone Survey'!$Z78</f>
        <v>263.34006666666659</v>
      </c>
      <c r="CW37" s="279">
        <f>'Level Calculation Drone Survey'!$Z78</f>
        <v>263.34006666666659</v>
      </c>
      <c r="CX37" s="279">
        <f>'Level Calculation Drone Survey'!$Z78</f>
        <v>263.34006666666659</v>
      </c>
      <c r="CY37" s="279">
        <f>'Level Calculation Drone Survey'!$Z78</f>
        <v>263.34006666666659</v>
      </c>
      <c r="CZ37" s="279">
        <f>'Level Calculation Drone Survey'!$Z78</f>
        <v>263.34006666666659</v>
      </c>
      <c r="DA37" s="279">
        <f>'Level Calculation Drone Survey'!$Z78</f>
        <v>263.34006666666659</v>
      </c>
      <c r="DB37" s="279">
        <f>'Level Calculation Drone Survey'!$Z78</f>
        <v>263.34006666666659</v>
      </c>
      <c r="DC37" s="279">
        <f>'Level Calculation Drone Survey'!$Z78</f>
        <v>263.34006666666659</v>
      </c>
      <c r="DD37" s="279">
        <f>'Level Calculation Drone Survey'!$Z78</f>
        <v>263.34006666666659</v>
      </c>
      <c r="DE37" s="279">
        <f>'Level Calculation Drone Survey'!$Z78</f>
        <v>263.34006666666659</v>
      </c>
      <c r="DF37" s="279">
        <f>'Level Calculation Drone Survey'!$Z78</f>
        <v>263.34006666666659</v>
      </c>
      <c r="DG37" s="279">
        <f>'Level Calculation Drone Survey'!$Z78</f>
        <v>263.34006666666659</v>
      </c>
      <c r="DH37" s="279">
        <f>'Level Calculation Drone Survey'!$Z78</f>
        <v>263.34006666666659</v>
      </c>
      <c r="DI37" s="305">
        <f>'Level Calculation Drone Survey'!$Z686</f>
        <v>263.24006666666656</v>
      </c>
      <c r="DJ37" s="279">
        <f>'Level Calculation Drone Survey'!$Z62</f>
        <v>263.34002222222222</v>
      </c>
      <c r="DK37" s="279">
        <f>'Level Calculation Drone Survey'!$Z62</f>
        <v>263.34002222222222</v>
      </c>
      <c r="DL37" s="279">
        <f>'Level Calculation Drone Survey'!$Z62</f>
        <v>263.34002222222222</v>
      </c>
      <c r="DM37" s="279">
        <f>'Level Calculation Drone Survey'!$Z62</f>
        <v>263.34002222222222</v>
      </c>
      <c r="DN37" s="279">
        <f>'Level Calculation Drone Survey'!$Z62</f>
        <v>263.34002222222222</v>
      </c>
      <c r="DO37" s="279">
        <f>'Level Calculation Drone Survey'!$Z62</f>
        <v>263.34002222222222</v>
      </c>
      <c r="DP37" s="279">
        <f>'Level Calculation Drone Survey'!$Z62</f>
        <v>263.34002222222222</v>
      </c>
      <c r="DQ37" s="279">
        <f>'Level Calculation Drone Survey'!$Z62</f>
        <v>263.34002222222222</v>
      </c>
      <c r="DR37" s="279">
        <f>'Level Calculation Drone Survey'!$Z62</f>
        <v>263.34002222222222</v>
      </c>
      <c r="DS37" s="279">
        <f>'Level Calculation Drone Survey'!$Z62</f>
        <v>263.34002222222222</v>
      </c>
      <c r="DT37" s="279">
        <f>'Level Calculation Drone Survey'!$Z62</f>
        <v>263.34002222222222</v>
      </c>
      <c r="DU37" s="279">
        <f>'Level Calculation Drone Survey'!$Z62</f>
        <v>263.34002222222222</v>
      </c>
      <c r="DV37" s="279">
        <f>'Level Calculation Drone Survey'!$Z62</f>
        <v>263.34002222222222</v>
      </c>
      <c r="DW37" s="279">
        <f>'Level Calculation Drone Survey'!$Z62</f>
        <v>263.34002222222222</v>
      </c>
      <c r="DX37" s="279">
        <f>'Level Calculation Drone Survey'!$Z62</f>
        <v>263.34002222222222</v>
      </c>
      <c r="DY37" s="279">
        <f>'Level Calculation Drone Survey'!$Z62</f>
        <v>263.34002222222222</v>
      </c>
      <c r="DZ37" s="279">
        <f>'Level Calculation Drone Survey'!$Z62</f>
        <v>263.34002222222222</v>
      </c>
      <c r="EA37" s="279">
        <f>'Level Calculation Drone Survey'!$Z62</f>
        <v>263.34002222222222</v>
      </c>
      <c r="EB37" s="305">
        <f>'Level Calculation Drone Survey'!$Z735</f>
        <v>263.08516315789467</v>
      </c>
      <c r="EC37" s="279">
        <f>'Level Calculation Drone Survey'!$Z29</f>
        <v>263.13516315789468</v>
      </c>
      <c r="ED37" s="279">
        <f>'Level Calculation Drone Survey'!$Z29</f>
        <v>263.13516315789468</v>
      </c>
      <c r="EE37" s="279">
        <f>'Level Calculation Drone Survey'!$Z29</f>
        <v>263.13516315789468</v>
      </c>
      <c r="EF37" s="279">
        <f>'Level Calculation Drone Survey'!$Z29</f>
        <v>263.13516315789468</v>
      </c>
      <c r="EG37" s="279">
        <f>'Level Calculation Drone Survey'!$Z29</f>
        <v>263.13516315789468</v>
      </c>
      <c r="EH37" s="279">
        <f>'Level Calculation Drone Survey'!$Z29</f>
        <v>263.13516315789468</v>
      </c>
      <c r="EI37" s="279">
        <f>'Level Calculation Drone Survey'!$Z29</f>
        <v>263.13516315789468</v>
      </c>
      <c r="EJ37" s="279">
        <f>'Level Calculation Drone Survey'!$Z29</f>
        <v>263.13516315789468</v>
      </c>
      <c r="EK37" s="279">
        <f>'Level Calculation Drone Survey'!$Z29</f>
        <v>263.13516315789468</v>
      </c>
      <c r="EL37" s="279">
        <f>'Level Calculation Drone Survey'!$Z29</f>
        <v>263.13516315789468</v>
      </c>
      <c r="EM37" s="279">
        <f>'Level Calculation Drone Survey'!$Z29</f>
        <v>263.13516315789468</v>
      </c>
      <c r="EN37" s="279">
        <f>'Level Calculation Drone Survey'!$Z29</f>
        <v>263.13516315789468</v>
      </c>
      <c r="EO37" s="279">
        <f>'Level Calculation Drone Survey'!$Z29</f>
        <v>263.13516315789468</v>
      </c>
      <c r="EP37" s="279">
        <f>'Level Calculation Drone Survey'!$Z29</f>
        <v>263.13516315789468</v>
      </c>
      <c r="EQ37" s="279">
        <f>'Level Calculation Drone Survey'!$Z29</f>
        <v>263.13516315789468</v>
      </c>
      <c r="ER37" s="279">
        <f>'Level Calculation Drone Survey'!$Z29</f>
        <v>263.13516315789468</v>
      </c>
      <c r="ES37" s="279">
        <f>'Level Calculation Drone Survey'!$Z29</f>
        <v>263.13516315789468</v>
      </c>
      <c r="ET37" s="279">
        <f>'Level Calculation Drone Survey'!$Z29</f>
        <v>263.13516315789468</v>
      </c>
      <c r="EU37" s="279">
        <f>'Level Calculation Drone Survey'!$Z29</f>
        <v>263.13516315789468</v>
      </c>
      <c r="EV37" s="318">
        <f>'Level Calculation Drone Survey'!$Z776</f>
        <v>263.03516315789466</v>
      </c>
      <c r="EW37" s="318">
        <f>'Level Calculation Drone Survey'!$Z776</f>
        <v>263.03516315789466</v>
      </c>
      <c r="EX37" s="191"/>
      <c r="EY37" s="191"/>
    </row>
    <row r="38" spans="1:155" ht="45" customHeight="1" x14ac:dyDescent="0.45">
      <c r="A38" s="277">
        <v>185</v>
      </c>
      <c r="B38" s="191"/>
      <c r="C38" s="191"/>
      <c r="D38" s="191"/>
      <c r="E38" s="191"/>
      <c r="F38" s="191"/>
      <c r="G38" s="191"/>
      <c r="H38" s="191"/>
      <c r="I38" s="191"/>
      <c r="J38" s="191"/>
      <c r="K38" s="191"/>
      <c r="L38" s="191"/>
      <c r="M38" s="191"/>
      <c r="N38" s="191"/>
      <c r="O38" s="191"/>
      <c r="P38" s="191"/>
      <c r="Q38" s="191"/>
      <c r="R38" s="191"/>
      <c r="S38" s="191"/>
      <c r="T38" s="191"/>
      <c r="U38" s="191"/>
      <c r="V38" s="191"/>
      <c r="W38" s="191"/>
      <c r="X38" s="191"/>
      <c r="Y38" s="191"/>
      <c r="Z38" s="191"/>
      <c r="AA38" s="191"/>
      <c r="AB38" s="191"/>
      <c r="AC38" s="191"/>
      <c r="AD38" s="191"/>
      <c r="AE38" s="191"/>
      <c r="AF38" s="191"/>
      <c r="AG38" s="191"/>
      <c r="AH38" s="191"/>
      <c r="AI38" s="191"/>
      <c r="AJ38" s="191"/>
      <c r="AK38" s="191"/>
      <c r="AL38" s="191"/>
      <c r="AM38" s="191"/>
      <c r="AN38" s="191"/>
      <c r="AO38" s="191"/>
      <c r="AP38" s="191"/>
      <c r="AQ38" s="191"/>
      <c r="AR38" s="191"/>
      <c r="AS38" s="191"/>
      <c r="AT38" s="191"/>
      <c r="AU38" s="191"/>
      <c r="AV38" s="191"/>
      <c r="AW38" s="191"/>
      <c r="AX38" s="191"/>
      <c r="AY38" s="191"/>
      <c r="AZ38" s="191"/>
      <c r="BA38" s="313">
        <f>'Level Calculation Drone Survey'!$Z591</f>
        <v>263.58983999999992</v>
      </c>
      <c r="BB38" s="279">
        <f>'Level Calculation Drone Survey'!$Z112</f>
        <v>263.72483999999992</v>
      </c>
      <c r="BC38" s="279">
        <f>'Level Calculation Drone Survey'!$Z112</f>
        <v>263.72483999999992</v>
      </c>
      <c r="BD38" s="279">
        <f>'Level Calculation Drone Survey'!$Z112</f>
        <v>263.72483999999992</v>
      </c>
      <c r="BE38" s="279">
        <f>'Level Calculation Drone Survey'!$Z112</f>
        <v>263.72483999999992</v>
      </c>
      <c r="BF38" s="279">
        <f>'Level Calculation Drone Survey'!$Z112</f>
        <v>263.72483999999992</v>
      </c>
      <c r="BG38" s="279">
        <f>'Level Calculation Drone Survey'!$Z112</f>
        <v>263.72483999999992</v>
      </c>
      <c r="BH38" s="279">
        <f>'Level Calculation Drone Survey'!$Z112</f>
        <v>263.72483999999992</v>
      </c>
      <c r="BI38" s="279">
        <f>'Level Calculation Drone Survey'!$Z112</f>
        <v>263.72483999999992</v>
      </c>
      <c r="BJ38" s="279">
        <f>'Level Calculation Drone Survey'!$Z112</f>
        <v>263.72483999999992</v>
      </c>
      <c r="BK38" s="279">
        <f>'Level Calculation Drone Survey'!$Z112</f>
        <v>263.72483999999992</v>
      </c>
      <c r="BL38" s="279">
        <f>'Level Calculation Drone Survey'!$Z112</f>
        <v>263.72483999999992</v>
      </c>
      <c r="BM38" s="279">
        <f>'Level Calculation Drone Survey'!$Z112</f>
        <v>263.72483999999992</v>
      </c>
      <c r="BN38" s="279">
        <f>'Level Calculation Drone Survey'!$Z112</f>
        <v>263.72483999999992</v>
      </c>
      <c r="BO38" s="279">
        <f>'Level Calculation Drone Survey'!$Z112</f>
        <v>263.72483999999992</v>
      </c>
      <c r="BP38" s="279">
        <f>'Level Calculation Drone Survey'!$Z112</f>
        <v>263.72483999999992</v>
      </c>
      <c r="BQ38" s="279">
        <f>'Level Calculation Drone Survey'!$Z112</f>
        <v>263.72483999999992</v>
      </c>
      <c r="BR38" s="279">
        <f>'Level Calculation Drone Survey'!$Z112</f>
        <v>263.72483999999992</v>
      </c>
      <c r="BS38" s="279">
        <f>'Level Calculation Drone Survey'!$Z112</f>
        <v>263.72483999999992</v>
      </c>
      <c r="BT38" s="279">
        <f>'Level Calculation Drone Survey'!$Z112</f>
        <v>263.72483999999992</v>
      </c>
      <c r="BU38" s="279">
        <f>'Level Calculation Drone Survey'!$Z112</f>
        <v>263.72483999999992</v>
      </c>
      <c r="BV38" s="305">
        <f>'Level Calculation Drone Survey'!$Z603</f>
        <v>263.45029999999997</v>
      </c>
      <c r="BW38" s="279">
        <f>'Level Calculation Drone Survey'!$Z97</f>
        <v>263.47529999999995</v>
      </c>
      <c r="BX38" s="279">
        <f>'Level Calculation Drone Survey'!$Z97</f>
        <v>263.47529999999995</v>
      </c>
      <c r="BY38" s="279">
        <f>'Level Calculation Drone Survey'!$Z97</f>
        <v>263.47529999999995</v>
      </c>
      <c r="BZ38" s="279">
        <f>'Level Calculation Drone Survey'!$Z97</f>
        <v>263.47529999999995</v>
      </c>
      <c r="CA38" s="279">
        <f>'Level Calculation Drone Survey'!$Z97</f>
        <v>263.47529999999995</v>
      </c>
      <c r="CB38" s="279">
        <f>'Level Calculation Drone Survey'!$Z97</f>
        <v>263.47529999999995</v>
      </c>
      <c r="CC38" s="279">
        <f>'Level Calculation Drone Survey'!$Z97</f>
        <v>263.47529999999995</v>
      </c>
      <c r="CD38" s="279">
        <f>'Level Calculation Drone Survey'!$Z97</f>
        <v>263.47529999999995</v>
      </c>
      <c r="CE38" s="279">
        <f>'Level Calculation Drone Survey'!$Z97</f>
        <v>263.47529999999995</v>
      </c>
      <c r="CF38" s="279">
        <f>'Level Calculation Drone Survey'!$Z97</f>
        <v>263.47529999999995</v>
      </c>
      <c r="CG38" s="279">
        <f>'Level Calculation Drone Survey'!$Z97</f>
        <v>263.47529999999995</v>
      </c>
      <c r="CH38" s="279">
        <f>'Level Calculation Drone Survey'!$Z97</f>
        <v>263.47529999999995</v>
      </c>
      <c r="CI38" s="279">
        <f>'Level Calculation Drone Survey'!$Z97</f>
        <v>263.47529999999995</v>
      </c>
      <c r="CJ38" s="279">
        <f>'Level Calculation Drone Survey'!$Z97</f>
        <v>263.47529999999995</v>
      </c>
      <c r="CK38" s="279">
        <f>'Level Calculation Drone Survey'!$Z97</f>
        <v>263.47529999999995</v>
      </c>
      <c r="CL38" s="279">
        <f>'Level Calculation Drone Survey'!$Z97</f>
        <v>263.47529999999995</v>
      </c>
      <c r="CM38" s="279">
        <f>'Level Calculation Drone Survey'!$Z97</f>
        <v>263.47529999999995</v>
      </c>
      <c r="CN38" s="279">
        <f>'Level Calculation Drone Survey'!$Z97</f>
        <v>263.47529999999995</v>
      </c>
      <c r="CO38" s="305">
        <f>'Level Calculation Drone Survey'!$Z660</f>
        <v>263.25006666666656</v>
      </c>
      <c r="CP38" s="305">
        <f>'Level Calculation Drone Survey'!$Z660</f>
        <v>263.25006666666656</v>
      </c>
      <c r="CQ38" s="279">
        <f>'Level Calculation Drone Survey'!$Z79</f>
        <v>263.29006666666658</v>
      </c>
      <c r="CR38" s="279">
        <f>'Level Calculation Drone Survey'!$Z79</f>
        <v>263.29006666666658</v>
      </c>
      <c r="CS38" s="279">
        <f>'Level Calculation Drone Survey'!$Z79</f>
        <v>263.29006666666658</v>
      </c>
      <c r="CT38" s="279">
        <f>'Level Calculation Drone Survey'!$Z79</f>
        <v>263.29006666666658</v>
      </c>
      <c r="CU38" s="279">
        <f>'Level Calculation Drone Survey'!$Z79</f>
        <v>263.29006666666658</v>
      </c>
      <c r="CV38" s="279">
        <f>'Level Calculation Drone Survey'!$Z79</f>
        <v>263.29006666666658</v>
      </c>
      <c r="CW38" s="279">
        <f>'Level Calculation Drone Survey'!$Z79</f>
        <v>263.29006666666658</v>
      </c>
      <c r="CX38" s="279">
        <f>'Level Calculation Drone Survey'!$Z79</f>
        <v>263.29006666666658</v>
      </c>
      <c r="CY38" s="279">
        <f>'Level Calculation Drone Survey'!$Z79</f>
        <v>263.29006666666658</v>
      </c>
      <c r="CZ38" s="279">
        <f>'Level Calculation Drone Survey'!$Z79</f>
        <v>263.29006666666658</v>
      </c>
      <c r="DA38" s="279">
        <f>'Level Calculation Drone Survey'!$Z79</f>
        <v>263.29006666666658</v>
      </c>
      <c r="DB38" s="279">
        <f>'Level Calculation Drone Survey'!$Z79</f>
        <v>263.29006666666658</v>
      </c>
      <c r="DC38" s="279">
        <f>'Level Calculation Drone Survey'!$Z79</f>
        <v>263.29006666666658</v>
      </c>
      <c r="DD38" s="279">
        <f>'Level Calculation Drone Survey'!$Z79</f>
        <v>263.29006666666658</v>
      </c>
      <c r="DE38" s="279">
        <f>'Level Calculation Drone Survey'!$Z79</f>
        <v>263.29006666666658</v>
      </c>
      <c r="DF38" s="279">
        <f>'Level Calculation Drone Survey'!$Z79</f>
        <v>263.29006666666658</v>
      </c>
      <c r="DG38" s="279">
        <f>'Level Calculation Drone Survey'!$Z79</f>
        <v>263.29006666666658</v>
      </c>
      <c r="DH38" s="279">
        <f>'Level Calculation Drone Survey'!$Z79</f>
        <v>263.29006666666658</v>
      </c>
      <c r="DI38" s="305">
        <f>'Level Calculation Drone Survey'!$Z687</f>
        <v>263.19006666666655</v>
      </c>
      <c r="DJ38" s="279">
        <f>'Level Calculation Drone Survey'!$Z63</f>
        <v>263.29002222222221</v>
      </c>
      <c r="DK38" s="279">
        <f>'Level Calculation Drone Survey'!$Z63</f>
        <v>263.29002222222221</v>
      </c>
      <c r="DL38" s="279">
        <f>'Level Calculation Drone Survey'!$Z63</f>
        <v>263.29002222222221</v>
      </c>
      <c r="DM38" s="279">
        <f>'Level Calculation Drone Survey'!$Z63</f>
        <v>263.29002222222221</v>
      </c>
      <c r="DN38" s="279">
        <f>'Level Calculation Drone Survey'!$Z63</f>
        <v>263.29002222222221</v>
      </c>
      <c r="DO38" s="279">
        <f>'Level Calculation Drone Survey'!$Z63</f>
        <v>263.29002222222221</v>
      </c>
      <c r="DP38" s="279">
        <f>'Level Calculation Drone Survey'!$Z63</f>
        <v>263.29002222222221</v>
      </c>
      <c r="DQ38" s="279">
        <f>'Level Calculation Drone Survey'!$Z63</f>
        <v>263.29002222222221</v>
      </c>
      <c r="DR38" s="279">
        <f>'Level Calculation Drone Survey'!$Z63</f>
        <v>263.29002222222221</v>
      </c>
      <c r="DS38" s="279">
        <f>'Level Calculation Drone Survey'!$Z63</f>
        <v>263.29002222222221</v>
      </c>
      <c r="DT38" s="279">
        <f>'Level Calculation Drone Survey'!$Z63</f>
        <v>263.29002222222221</v>
      </c>
      <c r="DU38" s="279">
        <f>'Level Calculation Drone Survey'!$Z63</f>
        <v>263.29002222222221</v>
      </c>
      <c r="DV38" s="279">
        <f>'Level Calculation Drone Survey'!$Z63</f>
        <v>263.29002222222221</v>
      </c>
      <c r="DW38" s="279">
        <f>'Level Calculation Drone Survey'!$Z63</f>
        <v>263.29002222222221</v>
      </c>
      <c r="DX38" s="279">
        <f>'Level Calculation Drone Survey'!$Z63</f>
        <v>263.29002222222221</v>
      </c>
      <c r="DY38" s="279">
        <f>'Level Calculation Drone Survey'!$Z63</f>
        <v>263.29002222222221</v>
      </c>
      <c r="DZ38" s="279">
        <f>'Level Calculation Drone Survey'!$Z63</f>
        <v>263.29002222222221</v>
      </c>
      <c r="EA38" s="279">
        <f>'Level Calculation Drone Survey'!$Z63</f>
        <v>263.29002222222221</v>
      </c>
      <c r="EB38" s="305">
        <f>'Level Calculation Drone Survey'!$Z736</f>
        <v>263.03516315789466</v>
      </c>
      <c r="EC38" s="279">
        <f>'Level Calculation Drone Survey'!$Z30</f>
        <v>263.08516315789467</v>
      </c>
      <c r="ED38" s="279">
        <f>'Level Calculation Drone Survey'!$Z30</f>
        <v>263.08516315789467</v>
      </c>
      <c r="EE38" s="279">
        <f>'Level Calculation Drone Survey'!$Z30</f>
        <v>263.08516315789467</v>
      </c>
      <c r="EF38" s="279">
        <f>'Level Calculation Drone Survey'!$Z30</f>
        <v>263.08516315789467</v>
      </c>
      <c r="EG38" s="279">
        <f>'Level Calculation Drone Survey'!$Z30</f>
        <v>263.08516315789467</v>
      </c>
      <c r="EH38" s="279">
        <f>'Level Calculation Drone Survey'!$Z30</f>
        <v>263.08516315789467</v>
      </c>
      <c r="EI38" s="279">
        <f>'Level Calculation Drone Survey'!$Z30</f>
        <v>263.08516315789467</v>
      </c>
      <c r="EJ38" s="279">
        <f>'Level Calculation Drone Survey'!$Z30</f>
        <v>263.08516315789467</v>
      </c>
      <c r="EK38" s="279">
        <f>'Level Calculation Drone Survey'!$Z30</f>
        <v>263.08516315789467</v>
      </c>
      <c r="EL38" s="279">
        <f>'Level Calculation Drone Survey'!$Z30</f>
        <v>263.08516315789467</v>
      </c>
      <c r="EM38" s="279">
        <f>'Level Calculation Drone Survey'!$Z30</f>
        <v>263.08516315789467</v>
      </c>
      <c r="EN38" s="279">
        <f>'Level Calculation Drone Survey'!$Z30</f>
        <v>263.08516315789467</v>
      </c>
      <c r="EO38" s="279">
        <f>'Level Calculation Drone Survey'!$Z30</f>
        <v>263.08516315789467</v>
      </c>
      <c r="EP38" s="279">
        <f>'Level Calculation Drone Survey'!$Z30</f>
        <v>263.08516315789467</v>
      </c>
      <c r="EQ38" s="279">
        <f>'Level Calculation Drone Survey'!$Z30</f>
        <v>263.08516315789467</v>
      </c>
      <c r="ER38" s="279">
        <f>'Level Calculation Drone Survey'!$Z30</f>
        <v>263.08516315789467</v>
      </c>
      <c r="ES38" s="279">
        <f>'Level Calculation Drone Survey'!$Z30</f>
        <v>263.08516315789467</v>
      </c>
      <c r="ET38" s="279">
        <f>'Level Calculation Drone Survey'!$Z30</f>
        <v>263.08516315789467</v>
      </c>
      <c r="EU38" s="279">
        <f>'Level Calculation Drone Survey'!$Z30</f>
        <v>263.08516315789467</v>
      </c>
      <c r="EV38" s="318">
        <f>'Level Calculation Drone Survey'!$Z777</f>
        <v>262.98516315789465</v>
      </c>
      <c r="EW38" s="318">
        <f>'Level Calculation Drone Survey'!$Z777</f>
        <v>262.98516315789465</v>
      </c>
      <c r="EX38" s="191"/>
      <c r="EY38" s="191"/>
    </row>
    <row r="39" spans="1:155" ht="45" customHeight="1" x14ac:dyDescent="0.45">
      <c r="A39" s="277">
        <v>190</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Z39" s="191"/>
      <c r="AA39" s="191"/>
      <c r="AB39" s="191"/>
      <c r="AC39" s="191"/>
      <c r="AD39" s="191"/>
      <c r="AE39" s="191"/>
      <c r="AF39" s="191"/>
      <c r="AG39" s="191"/>
      <c r="AH39" s="191"/>
      <c r="AI39" s="191"/>
      <c r="AJ39" s="191"/>
      <c r="AK39" s="191"/>
      <c r="AL39" s="191"/>
      <c r="AM39" s="191"/>
      <c r="AN39" s="191"/>
      <c r="AO39" s="191"/>
      <c r="AP39" s="191"/>
      <c r="AQ39" s="191"/>
      <c r="AR39" s="191"/>
      <c r="AS39" s="191"/>
      <c r="AT39" s="191"/>
      <c r="AU39" s="191"/>
      <c r="AV39" s="191"/>
      <c r="AW39" s="191"/>
      <c r="AX39" s="191"/>
      <c r="AY39" s="191"/>
      <c r="AZ39" s="191"/>
      <c r="BA39" s="313">
        <f>'Level Calculation Drone Survey'!$Z592</f>
        <v>263.53983999999991</v>
      </c>
      <c r="BB39" s="279">
        <f>'Level Calculation Drone Survey'!$Z113</f>
        <v>263.6748399999999</v>
      </c>
      <c r="BC39" s="279">
        <f>'Level Calculation Drone Survey'!$Z113</f>
        <v>263.6748399999999</v>
      </c>
      <c r="BD39" s="279">
        <f>'Level Calculation Drone Survey'!$Z113</f>
        <v>263.6748399999999</v>
      </c>
      <c r="BE39" s="279">
        <f>'Level Calculation Drone Survey'!$Z113</f>
        <v>263.6748399999999</v>
      </c>
      <c r="BF39" s="279">
        <f>'Level Calculation Drone Survey'!$Z113</f>
        <v>263.6748399999999</v>
      </c>
      <c r="BG39" s="279">
        <f>'Level Calculation Drone Survey'!$Z113</f>
        <v>263.6748399999999</v>
      </c>
      <c r="BH39" s="279">
        <f>'Level Calculation Drone Survey'!$Z113</f>
        <v>263.6748399999999</v>
      </c>
      <c r="BI39" s="279">
        <f>'Level Calculation Drone Survey'!$Z113</f>
        <v>263.6748399999999</v>
      </c>
      <c r="BJ39" s="279">
        <f>'Level Calculation Drone Survey'!$Z113</f>
        <v>263.6748399999999</v>
      </c>
      <c r="BK39" s="279">
        <f>'Level Calculation Drone Survey'!$Z113</f>
        <v>263.6748399999999</v>
      </c>
      <c r="BL39" s="279">
        <f>'Level Calculation Drone Survey'!$Z113</f>
        <v>263.6748399999999</v>
      </c>
      <c r="BM39" s="279">
        <f>'Level Calculation Drone Survey'!$Z113</f>
        <v>263.6748399999999</v>
      </c>
      <c r="BN39" s="279">
        <f>'Level Calculation Drone Survey'!$Z113</f>
        <v>263.6748399999999</v>
      </c>
      <c r="BO39" s="279">
        <f>'Level Calculation Drone Survey'!$Z113</f>
        <v>263.6748399999999</v>
      </c>
      <c r="BP39" s="279">
        <f>'Level Calculation Drone Survey'!$Z113</f>
        <v>263.6748399999999</v>
      </c>
      <c r="BQ39" s="279">
        <f>'Level Calculation Drone Survey'!$Z113</f>
        <v>263.6748399999999</v>
      </c>
      <c r="BR39" s="279">
        <f>'Level Calculation Drone Survey'!$Z113</f>
        <v>263.6748399999999</v>
      </c>
      <c r="BS39" s="279">
        <f>'Level Calculation Drone Survey'!$Z113</f>
        <v>263.6748399999999</v>
      </c>
      <c r="BT39" s="279">
        <f>'Level Calculation Drone Survey'!$Z113</f>
        <v>263.6748399999999</v>
      </c>
      <c r="BU39" s="279">
        <f>'Level Calculation Drone Survey'!$Z113</f>
        <v>263.6748399999999</v>
      </c>
      <c r="BV39" s="305">
        <f>'Level Calculation Drone Survey'!$Z604</f>
        <v>263.40029999999996</v>
      </c>
      <c r="BW39" s="279">
        <f>'Level Calculation Drone Survey'!$Z98</f>
        <v>263.42529999999994</v>
      </c>
      <c r="BX39" s="279">
        <f>'Level Calculation Drone Survey'!$Z98</f>
        <v>263.42529999999994</v>
      </c>
      <c r="BY39" s="279">
        <f>'Level Calculation Drone Survey'!$Z98</f>
        <v>263.42529999999994</v>
      </c>
      <c r="BZ39" s="279">
        <f>'Level Calculation Drone Survey'!$Z98</f>
        <v>263.42529999999994</v>
      </c>
      <c r="CA39" s="279">
        <f>'Level Calculation Drone Survey'!$Z98</f>
        <v>263.42529999999994</v>
      </c>
      <c r="CB39" s="279">
        <f>'Level Calculation Drone Survey'!$Z98</f>
        <v>263.42529999999994</v>
      </c>
      <c r="CC39" s="279">
        <f>'Level Calculation Drone Survey'!$Z98</f>
        <v>263.42529999999994</v>
      </c>
      <c r="CD39" s="279">
        <f>'Level Calculation Drone Survey'!$Z98</f>
        <v>263.42529999999994</v>
      </c>
      <c r="CE39" s="279">
        <f>'Level Calculation Drone Survey'!$Z98</f>
        <v>263.42529999999994</v>
      </c>
      <c r="CF39" s="279">
        <f>'Level Calculation Drone Survey'!$Z98</f>
        <v>263.42529999999994</v>
      </c>
      <c r="CG39" s="279">
        <f>'Level Calculation Drone Survey'!$Z98</f>
        <v>263.42529999999994</v>
      </c>
      <c r="CH39" s="279">
        <f>'Level Calculation Drone Survey'!$Z98</f>
        <v>263.42529999999994</v>
      </c>
      <c r="CI39" s="279">
        <f>'Level Calculation Drone Survey'!$Z98</f>
        <v>263.42529999999994</v>
      </c>
      <c r="CJ39" s="279">
        <f>'Level Calculation Drone Survey'!$Z98</f>
        <v>263.42529999999994</v>
      </c>
      <c r="CK39" s="279">
        <f>'Level Calculation Drone Survey'!$Z98</f>
        <v>263.42529999999994</v>
      </c>
      <c r="CL39" s="279">
        <f>'Level Calculation Drone Survey'!$Z98</f>
        <v>263.42529999999994</v>
      </c>
      <c r="CM39" s="279">
        <f>'Level Calculation Drone Survey'!$Z98</f>
        <v>263.42529999999994</v>
      </c>
      <c r="CN39" s="279">
        <f>'Level Calculation Drone Survey'!$Z98</f>
        <v>263.42529999999994</v>
      </c>
      <c r="CO39" s="305">
        <f>'Level Calculation Drone Survey'!$Z661</f>
        <v>263.20006666666654</v>
      </c>
      <c r="CP39" s="305">
        <f>'Level Calculation Drone Survey'!$Z661</f>
        <v>263.20006666666654</v>
      </c>
      <c r="CQ39" s="279">
        <f>'Level Calculation Drone Survey'!$Z80</f>
        <v>263.24006666666656</v>
      </c>
      <c r="CR39" s="279">
        <f>'Level Calculation Drone Survey'!$Z80</f>
        <v>263.24006666666656</v>
      </c>
      <c r="CS39" s="279">
        <f>'Level Calculation Drone Survey'!$Z80</f>
        <v>263.24006666666656</v>
      </c>
      <c r="CT39" s="279">
        <f>'Level Calculation Drone Survey'!$Z80</f>
        <v>263.24006666666656</v>
      </c>
      <c r="CU39" s="279">
        <f>'Level Calculation Drone Survey'!$Z80</f>
        <v>263.24006666666656</v>
      </c>
      <c r="CV39" s="279">
        <f>'Level Calculation Drone Survey'!$Z80</f>
        <v>263.24006666666656</v>
      </c>
      <c r="CW39" s="279">
        <f>'Level Calculation Drone Survey'!$Z80</f>
        <v>263.24006666666656</v>
      </c>
      <c r="CX39" s="279">
        <f>'Level Calculation Drone Survey'!$Z80</f>
        <v>263.24006666666656</v>
      </c>
      <c r="CY39" s="279">
        <f>'Level Calculation Drone Survey'!$Z80</f>
        <v>263.24006666666656</v>
      </c>
      <c r="CZ39" s="279">
        <f>'Level Calculation Drone Survey'!$Z80</f>
        <v>263.24006666666656</v>
      </c>
      <c r="DA39" s="279">
        <f>'Level Calculation Drone Survey'!$Z80</f>
        <v>263.24006666666656</v>
      </c>
      <c r="DB39" s="279">
        <f>'Level Calculation Drone Survey'!$Z80</f>
        <v>263.24006666666656</v>
      </c>
      <c r="DC39" s="279">
        <f>'Level Calculation Drone Survey'!$Z80</f>
        <v>263.24006666666656</v>
      </c>
      <c r="DD39" s="279">
        <f>'Level Calculation Drone Survey'!$Z80</f>
        <v>263.24006666666656</v>
      </c>
      <c r="DE39" s="279">
        <f>'Level Calculation Drone Survey'!$Z80</f>
        <v>263.24006666666656</v>
      </c>
      <c r="DF39" s="279">
        <f>'Level Calculation Drone Survey'!$Z80</f>
        <v>263.24006666666656</v>
      </c>
      <c r="DG39" s="279">
        <f>'Level Calculation Drone Survey'!$Z80</f>
        <v>263.24006666666656</v>
      </c>
      <c r="DH39" s="279">
        <f>'Level Calculation Drone Survey'!$Z80</f>
        <v>263.24006666666656</v>
      </c>
      <c r="DI39" s="305">
        <f>'Level Calculation Drone Survey'!$Z688</f>
        <v>263.14006666666654</v>
      </c>
      <c r="DJ39" s="279">
        <f>'Level Calculation Drone Survey'!$Z64</f>
        <v>263.24002222222219</v>
      </c>
      <c r="DK39" s="279">
        <f>'Level Calculation Drone Survey'!$Z64</f>
        <v>263.24002222222219</v>
      </c>
      <c r="DL39" s="279">
        <f>'Level Calculation Drone Survey'!$Z64</f>
        <v>263.24002222222219</v>
      </c>
      <c r="DM39" s="279">
        <f>'Level Calculation Drone Survey'!$Z64</f>
        <v>263.24002222222219</v>
      </c>
      <c r="DN39" s="279">
        <f>'Level Calculation Drone Survey'!$Z64</f>
        <v>263.24002222222219</v>
      </c>
      <c r="DO39" s="279">
        <f>'Level Calculation Drone Survey'!$Z64</f>
        <v>263.24002222222219</v>
      </c>
      <c r="DP39" s="279">
        <f>'Level Calculation Drone Survey'!$Z64</f>
        <v>263.24002222222219</v>
      </c>
      <c r="DQ39" s="279">
        <f>'Level Calculation Drone Survey'!$Z64</f>
        <v>263.24002222222219</v>
      </c>
      <c r="DR39" s="279">
        <f>'Level Calculation Drone Survey'!$Z64</f>
        <v>263.24002222222219</v>
      </c>
      <c r="DS39" s="279">
        <f>'Level Calculation Drone Survey'!$Z64</f>
        <v>263.24002222222219</v>
      </c>
      <c r="DT39" s="279">
        <f>'Level Calculation Drone Survey'!$Z64</f>
        <v>263.24002222222219</v>
      </c>
      <c r="DU39" s="279">
        <f>'Level Calculation Drone Survey'!$Z64</f>
        <v>263.24002222222219</v>
      </c>
      <c r="DV39" s="279">
        <f>'Level Calculation Drone Survey'!$Z64</f>
        <v>263.24002222222219</v>
      </c>
      <c r="DW39" s="279">
        <f>'Level Calculation Drone Survey'!$Z64</f>
        <v>263.24002222222219</v>
      </c>
      <c r="DX39" s="279">
        <f>'Level Calculation Drone Survey'!$Z64</f>
        <v>263.24002222222219</v>
      </c>
      <c r="DY39" s="279">
        <f>'Level Calculation Drone Survey'!$Z64</f>
        <v>263.24002222222219</v>
      </c>
      <c r="DZ39" s="279">
        <f>'Level Calculation Drone Survey'!$Z64</f>
        <v>263.24002222222219</v>
      </c>
      <c r="EA39" s="279">
        <f>'Level Calculation Drone Survey'!$Z64</f>
        <v>263.24002222222219</v>
      </c>
      <c r="EB39" s="305">
        <f>'Level Calculation Drone Survey'!$Z737</f>
        <v>262.98516315789465</v>
      </c>
      <c r="EC39" s="279">
        <f>'Level Calculation Drone Survey'!$Z31</f>
        <v>263.03516315789466</v>
      </c>
      <c r="ED39" s="279">
        <f>'Level Calculation Drone Survey'!$Z31</f>
        <v>263.03516315789466</v>
      </c>
      <c r="EE39" s="279">
        <f>'Level Calculation Drone Survey'!$Z31</f>
        <v>263.03516315789466</v>
      </c>
      <c r="EF39" s="279">
        <f>'Level Calculation Drone Survey'!$Z31</f>
        <v>263.03516315789466</v>
      </c>
      <c r="EG39" s="279">
        <f>'Level Calculation Drone Survey'!$Z31</f>
        <v>263.03516315789466</v>
      </c>
      <c r="EH39" s="279">
        <f>'Level Calculation Drone Survey'!$Z31</f>
        <v>263.03516315789466</v>
      </c>
      <c r="EI39" s="279">
        <f>'Level Calculation Drone Survey'!$Z31</f>
        <v>263.03516315789466</v>
      </c>
      <c r="EJ39" s="279">
        <f>'Level Calculation Drone Survey'!$Z31</f>
        <v>263.03516315789466</v>
      </c>
      <c r="EK39" s="279">
        <f>'Level Calculation Drone Survey'!$Z31</f>
        <v>263.03516315789466</v>
      </c>
      <c r="EL39" s="279">
        <f>'Level Calculation Drone Survey'!$Z31</f>
        <v>263.03516315789466</v>
      </c>
      <c r="EM39" s="279">
        <f>'Level Calculation Drone Survey'!$Z31</f>
        <v>263.03516315789466</v>
      </c>
      <c r="EN39" s="279">
        <f>'Level Calculation Drone Survey'!$Z31</f>
        <v>263.03516315789466</v>
      </c>
      <c r="EO39" s="279">
        <f>'Level Calculation Drone Survey'!$Z31</f>
        <v>263.03516315789466</v>
      </c>
      <c r="EP39" s="279">
        <f>'Level Calculation Drone Survey'!$Z31</f>
        <v>263.03516315789466</v>
      </c>
      <c r="EQ39" s="279">
        <f>'Level Calculation Drone Survey'!$Z31</f>
        <v>263.03516315789466</v>
      </c>
      <c r="ER39" s="279">
        <f>'Level Calculation Drone Survey'!$Z31</f>
        <v>263.03516315789466</v>
      </c>
      <c r="ES39" s="279">
        <f>'Level Calculation Drone Survey'!$Z31</f>
        <v>263.03516315789466</v>
      </c>
      <c r="ET39" s="279">
        <f>'Level Calculation Drone Survey'!$Z31</f>
        <v>263.03516315789466</v>
      </c>
      <c r="EU39" s="279">
        <f>'Level Calculation Drone Survey'!$Z31</f>
        <v>263.03516315789466</v>
      </c>
      <c r="EV39" s="318">
        <f>'Level Calculation Drone Survey'!$Z778</f>
        <v>262.93516315789464</v>
      </c>
      <c r="EW39" s="318">
        <f>'Level Calculation Drone Survey'!$Z778</f>
        <v>262.93516315789464</v>
      </c>
      <c r="EX39" s="191"/>
      <c r="EY39" s="191"/>
    </row>
    <row r="40" spans="1:155" ht="45" customHeight="1" x14ac:dyDescent="0.45">
      <c r="A40" s="277">
        <v>195</v>
      </c>
      <c r="B40" s="191"/>
      <c r="C40" s="191"/>
      <c r="D40" s="191"/>
      <c r="E40" s="305"/>
      <c r="F40" s="305"/>
      <c r="G40" s="305"/>
      <c r="H40" s="305"/>
      <c r="I40" s="305"/>
      <c r="J40" s="305"/>
      <c r="K40" s="305"/>
      <c r="L40" s="305"/>
      <c r="M40" s="305"/>
      <c r="N40" s="305"/>
      <c r="O40" s="305"/>
      <c r="P40" s="305">
        <f>'Level Calculation Drone Survey'!$Z$272</f>
        <v>263.67500000000001</v>
      </c>
      <c r="Q40" s="305">
        <f>'Level Calculation Drone Survey'!$Z$272</f>
        <v>263.67500000000001</v>
      </c>
      <c r="R40" s="305">
        <f>'Level Calculation Drone Survey'!$Z$272</f>
        <v>263.67500000000001</v>
      </c>
      <c r="S40" s="305">
        <f>'Level Calculation Drone Survey'!$Z$272</f>
        <v>263.67500000000001</v>
      </c>
      <c r="T40" s="305">
        <f>'Level Calculation Drone Survey'!$Z$272</f>
        <v>263.67500000000001</v>
      </c>
      <c r="U40" s="305">
        <f>'Level Calculation Drone Survey'!$Z$272</f>
        <v>263.67500000000001</v>
      </c>
      <c r="V40" s="305"/>
      <c r="W40" s="191"/>
      <c r="X40" s="191"/>
      <c r="Y40" s="191"/>
      <c r="Z40" s="191"/>
      <c r="AA40" s="191"/>
      <c r="AB40" s="191"/>
      <c r="AC40" s="191"/>
      <c r="AD40" s="191"/>
      <c r="AE40" s="191"/>
      <c r="AF40" s="191"/>
      <c r="AG40" s="191"/>
      <c r="AH40" s="191"/>
      <c r="AI40" s="191"/>
      <c r="AJ40" s="191"/>
      <c r="AK40" s="191"/>
      <c r="AL40" s="191"/>
      <c r="AM40" s="191"/>
      <c r="AN40" s="191"/>
      <c r="AO40" s="191"/>
      <c r="AP40" s="191"/>
      <c r="AQ40" s="191"/>
      <c r="AR40" s="191"/>
      <c r="AS40" s="191"/>
      <c r="AT40" s="191"/>
      <c r="AU40" s="191"/>
      <c r="AV40" s="191"/>
      <c r="AW40" s="191"/>
      <c r="AX40" s="191"/>
      <c r="AY40" s="191"/>
      <c r="AZ40" s="278">
        <v>264.2296</v>
      </c>
      <c r="BA40" s="313">
        <f>'Level Calculation Drone Survey'!$Z593</f>
        <v>263.4898399999999</v>
      </c>
      <c r="BB40" s="279">
        <f>'Level Calculation Drone Survey'!$Z114</f>
        <v>263.62483999999989</v>
      </c>
      <c r="BC40" s="279">
        <f>'Level Calculation Drone Survey'!$Z114</f>
        <v>263.62483999999989</v>
      </c>
      <c r="BD40" s="279">
        <f>'Level Calculation Drone Survey'!$Z114</f>
        <v>263.62483999999989</v>
      </c>
      <c r="BE40" s="279">
        <f>'Level Calculation Drone Survey'!$Z114</f>
        <v>263.62483999999989</v>
      </c>
      <c r="BF40" s="279">
        <f>'Level Calculation Drone Survey'!$Z114</f>
        <v>263.62483999999989</v>
      </c>
      <c r="BG40" s="279">
        <f>'Level Calculation Drone Survey'!$Z114</f>
        <v>263.62483999999989</v>
      </c>
      <c r="BH40" s="279">
        <f>'Level Calculation Drone Survey'!$Z114</f>
        <v>263.62483999999989</v>
      </c>
      <c r="BI40" s="279">
        <f>'Level Calculation Drone Survey'!$Z114</f>
        <v>263.62483999999989</v>
      </c>
      <c r="BJ40" s="279">
        <f>'Level Calculation Drone Survey'!$Z114</f>
        <v>263.62483999999989</v>
      </c>
      <c r="BK40" s="279">
        <f>'Level Calculation Drone Survey'!$Z114</f>
        <v>263.62483999999989</v>
      </c>
      <c r="BL40" s="279">
        <f>'Level Calculation Drone Survey'!$Z114</f>
        <v>263.62483999999989</v>
      </c>
      <c r="BM40" s="279">
        <f>'Level Calculation Drone Survey'!$Z114</f>
        <v>263.62483999999989</v>
      </c>
      <c r="BN40" s="279">
        <f>'Level Calculation Drone Survey'!$Z114</f>
        <v>263.62483999999989</v>
      </c>
      <c r="BO40" s="279">
        <f>'Level Calculation Drone Survey'!$Z114</f>
        <v>263.62483999999989</v>
      </c>
      <c r="BP40" s="279">
        <f>'Level Calculation Drone Survey'!$Z114</f>
        <v>263.62483999999989</v>
      </c>
      <c r="BQ40" s="279">
        <f>'Level Calculation Drone Survey'!$Z114</f>
        <v>263.62483999999989</v>
      </c>
      <c r="BR40" s="279">
        <f>'Level Calculation Drone Survey'!$Z114</f>
        <v>263.62483999999989</v>
      </c>
      <c r="BS40" s="279">
        <f>'Level Calculation Drone Survey'!$Z114</f>
        <v>263.62483999999989</v>
      </c>
      <c r="BT40" s="279">
        <f>'Level Calculation Drone Survey'!$Z114</f>
        <v>263.62483999999989</v>
      </c>
      <c r="BU40" s="279">
        <f>'Level Calculation Drone Survey'!$Z114</f>
        <v>263.62483999999989</v>
      </c>
      <c r="BV40" s="305">
        <f>'Level Calculation Drone Survey'!$Z605</f>
        <v>263.35029999999995</v>
      </c>
      <c r="BW40" s="279">
        <f>'Level Calculation Drone Survey'!$Z99</f>
        <v>263.37529999999992</v>
      </c>
      <c r="BX40" s="279">
        <f>'Level Calculation Drone Survey'!$Z99</f>
        <v>263.37529999999992</v>
      </c>
      <c r="BY40" s="279">
        <f>'Level Calculation Drone Survey'!$Z99</f>
        <v>263.37529999999992</v>
      </c>
      <c r="BZ40" s="279">
        <f>'Level Calculation Drone Survey'!$Z99</f>
        <v>263.37529999999992</v>
      </c>
      <c r="CA40" s="279">
        <f>'Level Calculation Drone Survey'!$Z99</f>
        <v>263.37529999999992</v>
      </c>
      <c r="CB40" s="279">
        <f>'Level Calculation Drone Survey'!$Z99</f>
        <v>263.37529999999992</v>
      </c>
      <c r="CC40" s="279">
        <f>'Level Calculation Drone Survey'!$Z99</f>
        <v>263.37529999999992</v>
      </c>
      <c r="CD40" s="279">
        <f>'Level Calculation Drone Survey'!$Z99</f>
        <v>263.37529999999992</v>
      </c>
      <c r="CE40" s="279">
        <f>'Level Calculation Drone Survey'!$Z99</f>
        <v>263.37529999999992</v>
      </c>
      <c r="CF40" s="279">
        <f>'Level Calculation Drone Survey'!$Z99</f>
        <v>263.37529999999992</v>
      </c>
      <c r="CG40" s="279">
        <f>'Level Calculation Drone Survey'!$Z99</f>
        <v>263.37529999999992</v>
      </c>
      <c r="CH40" s="279">
        <f>'Level Calculation Drone Survey'!$Z99</f>
        <v>263.37529999999992</v>
      </c>
      <c r="CI40" s="279">
        <f>'Level Calculation Drone Survey'!$Z99</f>
        <v>263.37529999999992</v>
      </c>
      <c r="CJ40" s="279">
        <f>'Level Calculation Drone Survey'!$Z99</f>
        <v>263.37529999999992</v>
      </c>
      <c r="CK40" s="279">
        <f>'Level Calculation Drone Survey'!$Z99</f>
        <v>263.37529999999992</v>
      </c>
      <c r="CL40" s="279">
        <f>'Level Calculation Drone Survey'!$Z99</f>
        <v>263.37529999999992</v>
      </c>
      <c r="CM40" s="279">
        <f>'Level Calculation Drone Survey'!$Z99</f>
        <v>263.37529999999992</v>
      </c>
      <c r="CN40" s="279">
        <f>'Level Calculation Drone Survey'!$Z99</f>
        <v>263.37529999999992</v>
      </c>
      <c r="CO40" s="305">
        <f>'Level Calculation Drone Survey'!$Z662</f>
        <v>263.15006666666653</v>
      </c>
      <c r="CP40" s="305">
        <f>'Level Calculation Drone Survey'!$Z662</f>
        <v>263.15006666666653</v>
      </c>
      <c r="CQ40" s="279">
        <f>'Level Calculation Drone Survey'!$Z81</f>
        <v>263.19006666666655</v>
      </c>
      <c r="CR40" s="279">
        <f>'Level Calculation Drone Survey'!$Z81</f>
        <v>263.19006666666655</v>
      </c>
      <c r="CS40" s="279">
        <f>'Level Calculation Drone Survey'!$Z81</f>
        <v>263.19006666666655</v>
      </c>
      <c r="CT40" s="279">
        <f>'Level Calculation Drone Survey'!$Z81</f>
        <v>263.19006666666655</v>
      </c>
      <c r="CU40" s="279">
        <f>'Level Calculation Drone Survey'!$Z81</f>
        <v>263.19006666666655</v>
      </c>
      <c r="CV40" s="279">
        <f>'Level Calculation Drone Survey'!$Z81</f>
        <v>263.19006666666655</v>
      </c>
      <c r="CW40" s="279">
        <f>'Level Calculation Drone Survey'!$Z81</f>
        <v>263.19006666666655</v>
      </c>
      <c r="CX40" s="279">
        <f>'Level Calculation Drone Survey'!$Z81</f>
        <v>263.19006666666655</v>
      </c>
      <c r="CY40" s="279">
        <f>'Level Calculation Drone Survey'!$Z81</f>
        <v>263.19006666666655</v>
      </c>
      <c r="CZ40" s="279">
        <f>'Level Calculation Drone Survey'!$Z81</f>
        <v>263.19006666666655</v>
      </c>
      <c r="DA40" s="279">
        <f>'Level Calculation Drone Survey'!$Z81</f>
        <v>263.19006666666655</v>
      </c>
      <c r="DB40" s="279">
        <f>'Level Calculation Drone Survey'!$Z81</f>
        <v>263.19006666666655</v>
      </c>
      <c r="DC40" s="279">
        <f>'Level Calculation Drone Survey'!$Z81</f>
        <v>263.19006666666655</v>
      </c>
      <c r="DD40" s="279">
        <f>'Level Calculation Drone Survey'!$Z81</f>
        <v>263.19006666666655</v>
      </c>
      <c r="DE40" s="279">
        <f>'Level Calculation Drone Survey'!$Z81</f>
        <v>263.19006666666655</v>
      </c>
      <c r="DF40" s="279">
        <f>'Level Calculation Drone Survey'!$Z81</f>
        <v>263.19006666666655</v>
      </c>
      <c r="DG40" s="279">
        <f>'Level Calculation Drone Survey'!$Z81</f>
        <v>263.19006666666655</v>
      </c>
      <c r="DH40" s="279">
        <f>'Level Calculation Drone Survey'!$Z81</f>
        <v>263.19006666666655</v>
      </c>
      <c r="DI40" s="305">
        <f>'Level Calculation Drone Survey'!$Z689</f>
        <v>263.09006666666653</v>
      </c>
      <c r="DJ40" s="279">
        <f>'Level Calculation Drone Survey'!$Z65</f>
        <v>263.19002222222218</v>
      </c>
      <c r="DK40" s="279">
        <f>'Level Calculation Drone Survey'!$Z65</f>
        <v>263.19002222222218</v>
      </c>
      <c r="DL40" s="279">
        <f>'Level Calculation Drone Survey'!$Z65</f>
        <v>263.19002222222218</v>
      </c>
      <c r="DM40" s="279">
        <f>'Level Calculation Drone Survey'!$Z65</f>
        <v>263.19002222222218</v>
      </c>
      <c r="DN40" s="279">
        <f>'Level Calculation Drone Survey'!$Z65</f>
        <v>263.19002222222218</v>
      </c>
      <c r="DO40" s="279">
        <f>'Level Calculation Drone Survey'!$Z65</f>
        <v>263.19002222222218</v>
      </c>
      <c r="DP40" s="279">
        <f>'Level Calculation Drone Survey'!$Z65</f>
        <v>263.19002222222218</v>
      </c>
      <c r="DQ40" s="279">
        <f>'Level Calculation Drone Survey'!$Z65</f>
        <v>263.19002222222218</v>
      </c>
      <c r="DR40" s="279">
        <f>'Level Calculation Drone Survey'!$Z65</f>
        <v>263.19002222222218</v>
      </c>
      <c r="DS40" s="279">
        <f>'Level Calculation Drone Survey'!$Z65</f>
        <v>263.19002222222218</v>
      </c>
      <c r="DT40" s="279">
        <f>'Level Calculation Drone Survey'!$Z65</f>
        <v>263.19002222222218</v>
      </c>
      <c r="DU40" s="279">
        <f>'Level Calculation Drone Survey'!$Z65</f>
        <v>263.19002222222218</v>
      </c>
      <c r="DV40" s="279">
        <f>'Level Calculation Drone Survey'!$Z65</f>
        <v>263.19002222222218</v>
      </c>
      <c r="DW40" s="279">
        <f>'Level Calculation Drone Survey'!$Z65</f>
        <v>263.19002222222218</v>
      </c>
      <c r="DX40" s="279">
        <f>'Level Calculation Drone Survey'!$Z65</f>
        <v>263.19002222222218</v>
      </c>
      <c r="DY40" s="279">
        <f>'Level Calculation Drone Survey'!$Z65</f>
        <v>263.19002222222218</v>
      </c>
      <c r="DZ40" s="279">
        <f>'Level Calculation Drone Survey'!$Z65</f>
        <v>263.19002222222218</v>
      </c>
      <c r="EA40" s="279">
        <f>'Level Calculation Drone Survey'!$Z65</f>
        <v>263.19002222222218</v>
      </c>
      <c r="EB40" s="305">
        <f>'Level Calculation Drone Survey'!$Z738</f>
        <v>262.93516315789464</v>
      </c>
      <c r="EC40" s="279">
        <f>'Level Calculation Drone Survey'!$Z32</f>
        <v>262.98516315789465</v>
      </c>
      <c r="ED40" s="279">
        <f>'Level Calculation Drone Survey'!$Z32</f>
        <v>262.98516315789465</v>
      </c>
      <c r="EE40" s="279">
        <f>'Level Calculation Drone Survey'!$Z32</f>
        <v>262.98516315789465</v>
      </c>
      <c r="EF40" s="279">
        <f>'Level Calculation Drone Survey'!$Z32</f>
        <v>262.98516315789465</v>
      </c>
      <c r="EG40" s="279">
        <f>'Level Calculation Drone Survey'!$Z32</f>
        <v>262.98516315789465</v>
      </c>
      <c r="EH40" s="279">
        <f>'Level Calculation Drone Survey'!$Z32</f>
        <v>262.98516315789465</v>
      </c>
      <c r="EI40" s="279">
        <f>'Level Calculation Drone Survey'!$Z32</f>
        <v>262.98516315789465</v>
      </c>
      <c r="EJ40" s="279">
        <f>'Level Calculation Drone Survey'!$Z32</f>
        <v>262.98516315789465</v>
      </c>
      <c r="EK40" s="279">
        <f>'Level Calculation Drone Survey'!$Z32</f>
        <v>262.98516315789465</v>
      </c>
      <c r="EL40" s="279">
        <f>'Level Calculation Drone Survey'!$Z32</f>
        <v>262.98516315789465</v>
      </c>
      <c r="EM40" s="279">
        <f>'Level Calculation Drone Survey'!$Z32</f>
        <v>262.98516315789465</v>
      </c>
      <c r="EN40" s="279">
        <f>'Level Calculation Drone Survey'!$Z32</f>
        <v>262.98516315789465</v>
      </c>
      <c r="EO40" s="279">
        <f>'Level Calculation Drone Survey'!$Z32</f>
        <v>262.98516315789465</v>
      </c>
      <c r="EP40" s="279">
        <f>'Level Calculation Drone Survey'!$Z32</f>
        <v>262.98516315789465</v>
      </c>
      <c r="EQ40" s="279">
        <f>'Level Calculation Drone Survey'!$Z32</f>
        <v>262.98516315789465</v>
      </c>
      <c r="ER40" s="279">
        <f>'Level Calculation Drone Survey'!$Z32</f>
        <v>262.98516315789465</v>
      </c>
      <c r="ES40" s="279">
        <f>'Level Calculation Drone Survey'!$Z32</f>
        <v>262.98516315789465</v>
      </c>
      <c r="ET40" s="279">
        <f>'Level Calculation Drone Survey'!$Z32</f>
        <v>262.98516315789465</v>
      </c>
      <c r="EU40" s="279">
        <f>'Level Calculation Drone Survey'!$Z32</f>
        <v>262.98516315789465</v>
      </c>
      <c r="EV40" s="318">
        <f>'Level Calculation Drone Survey'!$Z779</f>
        <v>262.88516315789462</v>
      </c>
      <c r="EW40" s="318">
        <f>'Level Calculation Drone Survey'!$Z779</f>
        <v>262.88516315789462</v>
      </c>
      <c r="EX40" s="191"/>
      <c r="EY40" s="191"/>
    </row>
    <row r="41" spans="1:155" ht="45" customHeight="1" x14ac:dyDescent="0.45">
      <c r="A41" s="277">
        <v>200</v>
      </c>
      <c r="B41" s="191"/>
      <c r="C41" s="191"/>
      <c r="D41" s="191"/>
      <c r="E41" s="305"/>
      <c r="F41" s="305"/>
      <c r="G41" s="305"/>
      <c r="H41" s="305"/>
      <c r="I41" s="305"/>
      <c r="J41" s="305"/>
      <c r="K41" s="305">
        <f>'Level Calculation Drone Survey'!$Z$272</f>
        <v>263.67500000000001</v>
      </c>
      <c r="L41" s="305">
        <f>'Level Calculation Drone Survey'!$Z$272</f>
        <v>263.67500000000001</v>
      </c>
      <c r="M41" s="305">
        <f>'Level Calculation Drone Survey'!$Z$272</f>
        <v>263.67500000000001</v>
      </c>
      <c r="N41" s="305">
        <f>'Level Calculation Drone Survey'!$Z$272</f>
        <v>263.67500000000001</v>
      </c>
      <c r="O41" s="305">
        <f>'Level Calculation Drone Survey'!$Z$272</f>
        <v>263.67500000000001</v>
      </c>
      <c r="P41" s="305">
        <f>'Level Calculation Drone Survey'!$Z$272</f>
        <v>263.67500000000001</v>
      </c>
      <c r="Q41" s="305">
        <f>'Level Calculation Drone Survey'!$Z$272</f>
        <v>263.67500000000001</v>
      </c>
      <c r="R41" s="305">
        <f>'Level Calculation Drone Survey'!$Z$272</f>
        <v>263.67500000000001</v>
      </c>
      <c r="S41" s="305">
        <f>'Level Calculation Drone Survey'!$Z$272</f>
        <v>263.67500000000001</v>
      </c>
      <c r="T41" s="305">
        <f>'Level Calculation Drone Survey'!$Z$272</f>
        <v>263.67500000000001</v>
      </c>
      <c r="U41" s="305">
        <f>'Level Calculation Drone Survey'!$Z$272</f>
        <v>263.67500000000001</v>
      </c>
      <c r="V41" s="305"/>
      <c r="W41" s="191"/>
      <c r="X41" s="191"/>
      <c r="Y41" s="191"/>
      <c r="Z41" s="191"/>
      <c r="AA41" s="191"/>
      <c r="AB41" s="191"/>
      <c r="AC41" s="191"/>
      <c r="AD41" s="191"/>
      <c r="AE41" s="191"/>
      <c r="AF41" s="191"/>
      <c r="AG41" s="191"/>
      <c r="AH41" s="191"/>
      <c r="AI41" s="191"/>
      <c r="AJ41" s="191"/>
      <c r="AK41" s="191"/>
      <c r="AL41" s="191"/>
      <c r="AM41" s="191"/>
      <c r="AN41" s="191"/>
      <c r="AO41" s="191"/>
      <c r="AP41" s="191"/>
      <c r="AQ41" s="191"/>
      <c r="AR41" s="191"/>
      <c r="AS41" s="191"/>
      <c r="AT41" s="191"/>
      <c r="AU41" s="191"/>
      <c r="AV41" s="191"/>
      <c r="AW41" s="191"/>
      <c r="AX41" s="191"/>
      <c r="AY41" s="191"/>
      <c r="AZ41" s="278">
        <v>264.03199999999998</v>
      </c>
      <c r="BA41" s="313">
        <f>'Level Calculation Drone Survey'!$Z594</f>
        <v>263.43983999999989</v>
      </c>
      <c r="BB41" s="279">
        <f>'Level Calculation Drone Survey'!$Z115</f>
        <v>263.57483999999988</v>
      </c>
      <c r="BC41" s="279">
        <f>'Level Calculation Drone Survey'!$Z115</f>
        <v>263.57483999999988</v>
      </c>
      <c r="BD41" s="279">
        <f>'Level Calculation Drone Survey'!$Z115</f>
        <v>263.57483999999988</v>
      </c>
      <c r="BE41" s="279">
        <f>'Level Calculation Drone Survey'!$Z115</f>
        <v>263.57483999999988</v>
      </c>
      <c r="BF41" s="279">
        <f>'Level Calculation Drone Survey'!$Z115</f>
        <v>263.57483999999988</v>
      </c>
      <c r="BG41" s="279">
        <f>'Level Calculation Drone Survey'!$Z115</f>
        <v>263.57483999999988</v>
      </c>
      <c r="BH41" s="279">
        <f>'Level Calculation Drone Survey'!$Z115</f>
        <v>263.57483999999988</v>
      </c>
      <c r="BI41" s="279">
        <f>'Level Calculation Drone Survey'!$Z115</f>
        <v>263.57483999999988</v>
      </c>
      <c r="BJ41" s="279">
        <f>'Level Calculation Drone Survey'!$Z115</f>
        <v>263.57483999999988</v>
      </c>
      <c r="BK41" s="279">
        <f>'Level Calculation Drone Survey'!$Z115</f>
        <v>263.57483999999988</v>
      </c>
      <c r="BL41" s="279">
        <f>'Level Calculation Drone Survey'!$Z115</f>
        <v>263.57483999999988</v>
      </c>
      <c r="BM41" s="279">
        <f>'Level Calculation Drone Survey'!$Z115</f>
        <v>263.57483999999988</v>
      </c>
      <c r="BN41" s="279">
        <f>'Level Calculation Drone Survey'!$Z115</f>
        <v>263.57483999999988</v>
      </c>
      <c r="BO41" s="279">
        <f>'Level Calculation Drone Survey'!$Z115</f>
        <v>263.57483999999988</v>
      </c>
      <c r="BP41" s="279">
        <f>'Level Calculation Drone Survey'!$Z115</f>
        <v>263.57483999999988</v>
      </c>
      <c r="BQ41" s="279">
        <f>'Level Calculation Drone Survey'!$Z115</f>
        <v>263.57483999999988</v>
      </c>
      <c r="BR41" s="279">
        <f>'Level Calculation Drone Survey'!$Z115</f>
        <v>263.57483999999988</v>
      </c>
      <c r="BS41" s="279">
        <f>'Level Calculation Drone Survey'!$Z115</f>
        <v>263.57483999999988</v>
      </c>
      <c r="BT41" s="279">
        <f>'Level Calculation Drone Survey'!$Z115</f>
        <v>263.57483999999988</v>
      </c>
      <c r="BU41" s="279">
        <f>'Level Calculation Drone Survey'!$Z115</f>
        <v>263.57483999999988</v>
      </c>
      <c r="BV41" s="305">
        <f>'Level Calculation Drone Survey'!$Z606</f>
        <v>263.30029999999994</v>
      </c>
      <c r="BW41" s="279">
        <f>'Level Calculation Drone Survey'!$Z100</f>
        <v>263.32529999999991</v>
      </c>
      <c r="BX41" s="279">
        <f>'Level Calculation Drone Survey'!$Z100</f>
        <v>263.32529999999991</v>
      </c>
      <c r="BY41" s="279">
        <f>'Level Calculation Drone Survey'!$Z100</f>
        <v>263.32529999999991</v>
      </c>
      <c r="BZ41" s="279">
        <f>'Level Calculation Drone Survey'!$Z100</f>
        <v>263.32529999999991</v>
      </c>
      <c r="CA41" s="279">
        <f>'Level Calculation Drone Survey'!$Z100</f>
        <v>263.32529999999991</v>
      </c>
      <c r="CB41" s="279">
        <f>'Level Calculation Drone Survey'!$Z100</f>
        <v>263.32529999999991</v>
      </c>
      <c r="CC41" s="279">
        <f>'Level Calculation Drone Survey'!$Z100</f>
        <v>263.32529999999991</v>
      </c>
      <c r="CD41" s="279">
        <f>'Level Calculation Drone Survey'!$Z100</f>
        <v>263.32529999999991</v>
      </c>
      <c r="CE41" s="279">
        <f>'Level Calculation Drone Survey'!$Z100</f>
        <v>263.32529999999991</v>
      </c>
      <c r="CF41" s="279">
        <f>'Level Calculation Drone Survey'!$Z100</f>
        <v>263.32529999999991</v>
      </c>
      <c r="CG41" s="279">
        <f>'Level Calculation Drone Survey'!$Z100</f>
        <v>263.32529999999991</v>
      </c>
      <c r="CH41" s="279">
        <f>'Level Calculation Drone Survey'!$Z100</f>
        <v>263.32529999999991</v>
      </c>
      <c r="CI41" s="279">
        <f>'Level Calculation Drone Survey'!$Z100</f>
        <v>263.32529999999991</v>
      </c>
      <c r="CJ41" s="279">
        <f>'Level Calculation Drone Survey'!$Z100</f>
        <v>263.32529999999991</v>
      </c>
      <c r="CK41" s="279">
        <f>'Level Calculation Drone Survey'!$Z100</f>
        <v>263.32529999999991</v>
      </c>
      <c r="CL41" s="279">
        <f>'Level Calculation Drone Survey'!$Z100</f>
        <v>263.32529999999991</v>
      </c>
      <c r="CM41" s="279">
        <f>'Level Calculation Drone Survey'!$Z100</f>
        <v>263.32529999999991</v>
      </c>
      <c r="CN41" s="279">
        <f>'Level Calculation Drone Survey'!$Z100</f>
        <v>263.32529999999991</v>
      </c>
      <c r="CO41" s="305">
        <f>'Level Calculation Drone Survey'!$Z663</f>
        <v>263.10006666666652</v>
      </c>
      <c r="CP41" s="305">
        <f>'Level Calculation Drone Survey'!$Z663</f>
        <v>263.10006666666652</v>
      </c>
      <c r="CQ41" s="279">
        <f>'Level Calculation Drone Survey'!$Z82</f>
        <v>263.14006666666654</v>
      </c>
      <c r="CR41" s="279">
        <f>'Level Calculation Drone Survey'!$Z82</f>
        <v>263.14006666666654</v>
      </c>
      <c r="CS41" s="279">
        <f>'Level Calculation Drone Survey'!$Z82</f>
        <v>263.14006666666654</v>
      </c>
      <c r="CT41" s="279">
        <f>'Level Calculation Drone Survey'!$Z82</f>
        <v>263.14006666666654</v>
      </c>
      <c r="CU41" s="279">
        <f>'Level Calculation Drone Survey'!$Z82</f>
        <v>263.14006666666654</v>
      </c>
      <c r="CV41" s="279">
        <f>'Level Calculation Drone Survey'!$Z82</f>
        <v>263.14006666666654</v>
      </c>
      <c r="CW41" s="279">
        <f>'Level Calculation Drone Survey'!$Z82</f>
        <v>263.14006666666654</v>
      </c>
      <c r="CX41" s="279">
        <f>'Level Calculation Drone Survey'!$Z82</f>
        <v>263.14006666666654</v>
      </c>
      <c r="CY41" s="279">
        <f>'Level Calculation Drone Survey'!$Z82</f>
        <v>263.14006666666654</v>
      </c>
      <c r="CZ41" s="279">
        <f>'Level Calculation Drone Survey'!$Z82</f>
        <v>263.14006666666654</v>
      </c>
      <c r="DA41" s="279">
        <f>'Level Calculation Drone Survey'!$Z82</f>
        <v>263.14006666666654</v>
      </c>
      <c r="DB41" s="279">
        <f>'Level Calculation Drone Survey'!$Z82</f>
        <v>263.14006666666654</v>
      </c>
      <c r="DC41" s="279">
        <f>'Level Calculation Drone Survey'!$Z82</f>
        <v>263.14006666666654</v>
      </c>
      <c r="DD41" s="279">
        <f>'Level Calculation Drone Survey'!$Z82</f>
        <v>263.14006666666654</v>
      </c>
      <c r="DE41" s="279">
        <f>'Level Calculation Drone Survey'!$Z82</f>
        <v>263.14006666666654</v>
      </c>
      <c r="DF41" s="279">
        <f>'Level Calculation Drone Survey'!$Z82</f>
        <v>263.14006666666654</v>
      </c>
      <c r="DG41" s="279">
        <f>'Level Calculation Drone Survey'!$Z82</f>
        <v>263.14006666666654</v>
      </c>
      <c r="DH41" s="279">
        <f>'Level Calculation Drone Survey'!$Z82</f>
        <v>263.14006666666654</v>
      </c>
      <c r="DI41" s="305">
        <f>'Level Calculation Drone Survey'!$Z690</f>
        <v>263.04006666666652</v>
      </c>
      <c r="DJ41" s="279">
        <f>'Level Calculation Drone Survey'!$Z66</f>
        <v>263.14002222222217</v>
      </c>
      <c r="DK41" s="279">
        <f>'Level Calculation Drone Survey'!$Z66</f>
        <v>263.14002222222217</v>
      </c>
      <c r="DL41" s="279">
        <f>'Level Calculation Drone Survey'!$Z66</f>
        <v>263.14002222222217</v>
      </c>
      <c r="DM41" s="279">
        <f>'Level Calculation Drone Survey'!$Z66</f>
        <v>263.14002222222217</v>
      </c>
      <c r="DN41" s="279">
        <f>'Level Calculation Drone Survey'!$Z66</f>
        <v>263.14002222222217</v>
      </c>
      <c r="DO41" s="279">
        <f>'Level Calculation Drone Survey'!$Z66</f>
        <v>263.14002222222217</v>
      </c>
      <c r="DP41" s="279">
        <f>'Level Calculation Drone Survey'!$Z66</f>
        <v>263.14002222222217</v>
      </c>
      <c r="DQ41" s="279">
        <f>'Level Calculation Drone Survey'!$Z66</f>
        <v>263.14002222222217</v>
      </c>
      <c r="DR41" s="279">
        <f>'Level Calculation Drone Survey'!$Z66</f>
        <v>263.14002222222217</v>
      </c>
      <c r="DS41" s="279">
        <f>'Level Calculation Drone Survey'!$Z66</f>
        <v>263.14002222222217</v>
      </c>
      <c r="DT41" s="279">
        <f>'Level Calculation Drone Survey'!$Z66</f>
        <v>263.14002222222217</v>
      </c>
      <c r="DU41" s="279">
        <f>'Level Calculation Drone Survey'!$Z66</f>
        <v>263.14002222222217</v>
      </c>
      <c r="DV41" s="279">
        <f>'Level Calculation Drone Survey'!$Z66</f>
        <v>263.14002222222217</v>
      </c>
      <c r="DW41" s="279">
        <f>'Level Calculation Drone Survey'!$Z66</f>
        <v>263.14002222222217</v>
      </c>
      <c r="DX41" s="279">
        <f>'Level Calculation Drone Survey'!$Z66</f>
        <v>263.14002222222217</v>
      </c>
      <c r="DY41" s="279">
        <f>'Level Calculation Drone Survey'!$Z66</f>
        <v>263.14002222222217</v>
      </c>
      <c r="DZ41" s="279">
        <f>'Level Calculation Drone Survey'!$Z66</f>
        <v>263.14002222222217</v>
      </c>
      <c r="EA41" s="279">
        <f>'Level Calculation Drone Survey'!$Z66</f>
        <v>263.14002222222217</v>
      </c>
      <c r="EB41" s="305">
        <f>'Level Calculation Drone Survey'!$Z739</f>
        <v>262.88516315789462</v>
      </c>
      <c r="EC41" s="279">
        <f>'Level Calculation Drone Survey'!$Z33</f>
        <v>262.93516315789464</v>
      </c>
      <c r="ED41" s="279">
        <f>'Level Calculation Drone Survey'!$Z33</f>
        <v>262.93516315789464</v>
      </c>
      <c r="EE41" s="279">
        <f>'Level Calculation Drone Survey'!$Z33</f>
        <v>262.93516315789464</v>
      </c>
      <c r="EF41" s="279">
        <f>'Level Calculation Drone Survey'!$Z33</f>
        <v>262.93516315789464</v>
      </c>
      <c r="EG41" s="279">
        <f>'Level Calculation Drone Survey'!$Z33</f>
        <v>262.93516315789464</v>
      </c>
      <c r="EH41" s="279">
        <f>'Level Calculation Drone Survey'!$Z33</f>
        <v>262.93516315789464</v>
      </c>
      <c r="EI41" s="279">
        <f>'Level Calculation Drone Survey'!$Z33</f>
        <v>262.93516315789464</v>
      </c>
      <c r="EJ41" s="279">
        <f>'Level Calculation Drone Survey'!$Z33</f>
        <v>262.93516315789464</v>
      </c>
      <c r="EK41" s="279">
        <f>'Level Calculation Drone Survey'!$Z33</f>
        <v>262.93516315789464</v>
      </c>
      <c r="EL41" s="279">
        <f>'Level Calculation Drone Survey'!$Z33</f>
        <v>262.93516315789464</v>
      </c>
      <c r="EM41" s="279">
        <f>'Level Calculation Drone Survey'!$Z33</f>
        <v>262.93516315789464</v>
      </c>
      <c r="EN41" s="279">
        <f>'Level Calculation Drone Survey'!$Z33</f>
        <v>262.93516315789464</v>
      </c>
      <c r="EO41" s="279">
        <f>'Level Calculation Drone Survey'!$Z33</f>
        <v>262.93516315789464</v>
      </c>
      <c r="EP41" s="279">
        <f>'Level Calculation Drone Survey'!$Z33</f>
        <v>262.93516315789464</v>
      </c>
      <c r="EQ41" s="279">
        <f>'Level Calculation Drone Survey'!$Z33</f>
        <v>262.93516315789464</v>
      </c>
      <c r="ER41" s="279">
        <f>'Level Calculation Drone Survey'!$Z33</f>
        <v>262.93516315789464</v>
      </c>
      <c r="ES41" s="279">
        <f>'Level Calculation Drone Survey'!$Z33</f>
        <v>262.93516315789464</v>
      </c>
      <c r="ET41" s="279">
        <f>'Level Calculation Drone Survey'!$Z33</f>
        <v>262.93516315789464</v>
      </c>
      <c r="EU41" s="279">
        <f>'Level Calculation Drone Survey'!$Z33</f>
        <v>262.93516315789464</v>
      </c>
      <c r="EV41" s="318">
        <f>'Level Calculation Drone Survey'!$Z780</f>
        <v>262.83516315789461</v>
      </c>
      <c r="EW41" s="318">
        <f>'Level Calculation Drone Survey'!$Z780</f>
        <v>262.83516315789461</v>
      </c>
      <c r="EX41" s="191"/>
      <c r="EY41" s="191"/>
    </row>
    <row r="42" spans="1:155" ht="45" customHeight="1" x14ac:dyDescent="0.45">
      <c r="A42" s="277">
        <v>205</v>
      </c>
      <c r="B42" s="191"/>
      <c r="C42" s="191"/>
      <c r="D42" s="191"/>
      <c r="E42" s="305"/>
      <c r="F42" s="305"/>
      <c r="G42" s="305"/>
      <c r="H42" s="305">
        <f>'Level Calculation Drone Survey'!$Z$272</f>
        <v>263.67500000000001</v>
      </c>
      <c r="I42" s="305">
        <f>'Level Calculation Drone Survey'!$Z$272</f>
        <v>263.67500000000001</v>
      </c>
      <c r="J42" s="305">
        <f>'Level Calculation Drone Survey'!$Z$272</f>
        <v>263.67500000000001</v>
      </c>
      <c r="K42" s="305">
        <f>'Level Calculation Drone Survey'!$Z$272</f>
        <v>263.67500000000001</v>
      </c>
      <c r="L42" s="305">
        <f>'Level Calculation Drone Survey'!$Z$272</f>
        <v>263.67500000000001</v>
      </c>
      <c r="M42" s="305">
        <f>'Level Calculation Drone Survey'!$Z$272</f>
        <v>263.67500000000001</v>
      </c>
      <c r="N42" s="305">
        <f>'Level Calculation Drone Survey'!$Z$272</f>
        <v>263.67500000000001</v>
      </c>
      <c r="O42" s="305">
        <f>'Level Calculation Drone Survey'!$Z$272</f>
        <v>263.67500000000001</v>
      </c>
      <c r="P42" s="305">
        <f>'Level Calculation Drone Survey'!$Z$272</f>
        <v>263.67500000000001</v>
      </c>
      <c r="Q42" s="305">
        <f>'Level Calculation Drone Survey'!$Z$272</f>
        <v>263.67500000000001</v>
      </c>
      <c r="R42" s="305">
        <f>'Level Calculation Drone Survey'!$Z$272</f>
        <v>263.67500000000001</v>
      </c>
      <c r="S42" s="305">
        <f>'Level Calculation Drone Survey'!$Z$272</f>
        <v>263.67500000000001</v>
      </c>
      <c r="T42" s="305">
        <f>'Level Calculation Drone Survey'!$Z$272</f>
        <v>263.67500000000001</v>
      </c>
      <c r="U42" s="305">
        <f>'Level Calculation Drone Survey'!$Z$272</f>
        <v>263.67500000000001</v>
      </c>
      <c r="V42" s="305"/>
      <c r="W42" s="191"/>
      <c r="X42" s="191"/>
      <c r="Y42" s="191"/>
      <c r="Z42" s="191"/>
      <c r="AA42" s="191"/>
      <c r="AB42" s="191"/>
      <c r="AC42" s="191"/>
      <c r="AD42" s="191"/>
      <c r="AE42" s="191"/>
      <c r="AF42" s="191"/>
      <c r="AG42" s="191"/>
      <c r="AH42" s="191"/>
      <c r="AI42" s="191"/>
      <c r="AJ42" s="191"/>
      <c r="AK42" s="191"/>
      <c r="AL42" s="191"/>
      <c r="AM42" s="191"/>
      <c r="AN42" s="191"/>
      <c r="AO42" s="191"/>
      <c r="AP42" s="191"/>
      <c r="AQ42" s="191"/>
      <c r="AR42" s="191"/>
      <c r="AS42" s="191"/>
      <c r="AT42" s="191"/>
      <c r="AU42" s="191"/>
      <c r="AV42" s="191"/>
      <c r="AW42" s="191"/>
      <c r="AX42" s="191"/>
      <c r="AY42" s="191"/>
      <c r="AZ42" s="312">
        <f>'Level Calculation Drone Survey'!$Z569</f>
        <v>263.43983809523792</v>
      </c>
      <c r="BA42" s="312">
        <f>'Level Calculation Drone Survey'!$Z569</f>
        <v>263.43983809523792</v>
      </c>
      <c r="BB42" s="312">
        <f>'Level Calculation Drone Survey'!$Z569</f>
        <v>263.43983809523792</v>
      </c>
      <c r="BC42" s="312">
        <f>'Level Calculation Drone Survey'!$Z569</f>
        <v>263.43983809523792</v>
      </c>
      <c r="BD42" s="312">
        <f>'Level Calculation Drone Survey'!$Z569</f>
        <v>263.43983809523792</v>
      </c>
      <c r="BE42" s="312">
        <f>'Level Calculation Drone Survey'!$Z569</f>
        <v>263.43983809523792</v>
      </c>
      <c r="BF42" s="305">
        <f>'Level Calculation Drone Survey'!$Z597</f>
        <v>263.39983999999987</v>
      </c>
      <c r="BG42" s="305">
        <f>'Level Calculation Drone Survey'!$Z597</f>
        <v>263.39983999999987</v>
      </c>
      <c r="BH42" s="305">
        <f>'Level Calculation Drone Survey'!$Z597</f>
        <v>263.39983999999987</v>
      </c>
      <c r="BI42" s="305">
        <f>'Level Calculation Drone Survey'!$Z597</f>
        <v>263.39983999999987</v>
      </c>
      <c r="BJ42" s="305">
        <f>'Level Calculation Drone Survey'!$Z597</f>
        <v>263.39983999999987</v>
      </c>
      <c r="BK42" s="305">
        <f>'Level Calculation Drone Survey'!$Z597</f>
        <v>263.39983999999987</v>
      </c>
      <c r="BL42" s="305">
        <f>'Level Calculation Drone Survey'!$Z597</f>
        <v>263.39983999999987</v>
      </c>
      <c r="BM42" s="305">
        <f>'Level Calculation Drone Survey'!$Z597</f>
        <v>263.39983999999987</v>
      </c>
      <c r="BN42" s="305">
        <f>'Level Calculation Drone Survey'!$Z597</f>
        <v>263.39983999999987</v>
      </c>
      <c r="BO42" s="305">
        <f>'Level Calculation Drone Survey'!$Z597</f>
        <v>263.39983999999987</v>
      </c>
      <c r="BP42" s="305">
        <f>'Level Calculation Drone Survey'!$Z597</f>
        <v>263.39983999999987</v>
      </c>
      <c r="BQ42" s="305">
        <f>'Level Calculation Drone Survey'!$Z597</f>
        <v>263.39983999999987</v>
      </c>
      <c r="BR42" s="305">
        <f>'Level Calculation Drone Survey'!$Z597</f>
        <v>263.39983999999987</v>
      </c>
      <c r="BS42" s="305">
        <f>'Level Calculation Drone Survey'!$Z597</f>
        <v>263.39983999999987</v>
      </c>
      <c r="BT42" s="305">
        <f>'Level Calculation Drone Survey'!$Z597</f>
        <v>263.39983999999987</v>
      </c>
      <c r="BU42" s="305">
        <f>'Level Calculation Drone Survey'!$Z597</f>
        <v>263.39983999999987</v>
      </c>
      <c r="BV42" s="305">
        <f>'Level Calculation Drone Survey'!$Z597</f>
        <v>263.39983999999987</v>
      </c>
      <c r="BW42" s="305">
        <f>'Level Calculation Drone Survey'!$Z597</f>
        <v>263.39983999999987</v>
      </c>
      <c r="BX42" s="305">
        <f>'Level Calculation Drone Survey'!$Z597</f>
        <v>263.39983999999987</v>
      </c>
      <c r="BY42" s="305">
        <f>'Level Calculation Drone Survey'!$Z597</f>
        <v>263.39983999999987</v>
      </c>
      <c r="BZ42" s="312">
        <f>'Level Calculation Drone Survey'!$Z621</f>
        <v>263.22529999999989</v>
      </c>
      <c r="CA42" s="312">
        <f>'Level Calculation Drone Survey'!$Z621</f>
        <v>263.22529999999989</v>
      </c>
      <c r="CB42" s="312">
        <f>'Level Calculation Drone Survey'!$Z621</f>
        <v>263.22529999999989</v>
      </c>
      <c r="CC42" s="312">
        <f>'Level Calculation Drone Survey'!$Z643</f>
        <v>263.22529999999989</v>
      </c>
      <c r="CD42" s="312">
        <f>'Level Calculation Drone Survey'!$Z643</f>
        <v>263.22529999999989</v>
      </c>
      <c r="CE42" s="312">
        <f>'Level Calculation Drone Survey'!$Z643</f>
        <v>263.22529999999989</v>
      </c>
      <c r="CF42" s="312">
        <f>'Level Calculation Drone Survey'!$Z643</f>
        <v>263.22529999999989</v>
      </c>
      <c r="CG42" s="312">
        <f>'Level Calculation Drone Survey'!$Z643</f>
        <v>263.22529999999989</v>
      </c>
      <c r="CH42" s="305">
        <f>'Level Calculation Drone Survey'!$Z643</f>
        <v>263.22529999999989</v>
      </c>
      <c r="CI42" s="305">
        <f>'Level Calculation Drone Survey'!$Z643</f>
        <v>263.22529999999989</v>
      </c>
      <c r="CJ42" s="305">
        <f>'Level Calculation Drone Survey'!$Z643</f>
        <v>263.22529999999989</v>
      </c>
      <c r="CK42" s="305">
        <f>'Level Calculation Drone Survey'!$Z643</f>
        <v>263.22529999999989</v>
      </c>
      <c r="CL42" s="305">
        <f>'Level Calculation Drone Survey'!$Z643</f>
        <v>263.22529999999989</v>
      </c>
      <c r="CM42" s="305">
        <f>'Level Calculation Drone Survey'!$Z643</f>
        <v>263.22529999999989</v>
      </c>
      <c r="CN42" s="305">
        <f>'Level Calculation Drone Survey'!$Z643</f>
        <v>263.22529999999989</v>
      </c>
      <c r="CO42" s="305">
        <f>'Level Calculation Drone Survey'!$Z643</f>
        <v>263.22529999999989</v>
      </c>
      <c r="CP42" s="305">
        <f>'Level Calculation Drone Survey'!$Z643</f>
        <v>263.22529999999989</v>
      </c>
      <c r="CQ42" s="313">
        <f>'Level Calculation Drone Survey'!$Z667</f>
        <v>263.04006666666652</v>
      </c>
      <c r="CR42" s="313">
        <f>'Level Calculation Drone Survey'!$Z667</f>
        <v>263.04006666666652</v>
      </c>
      <c r="CS42" s="313">
        <f>'Level Calculation Drone Survey'!$Z667</f>
        <v>263.04006666666652</v>
      </c>
      <c r="CT42" s="313">
        <f>'Level Calculation Drone Survey'!$Z667</f>
        <v>263.04006666666652</v>
      </c>
      <c r="CU42" s="313">
        <f>'Level Calculation Drone Survey'!$Z667</f>
        <v>263.04006666666652</v>
      </c>
      <c r="CV42" s="313">
        <f>'Level Calculation Drone Survey'!$Z667</f>
        <v>263.04006666666652</v>
      </c>
      <c r="CW42" s="313">
        <f>'Level Calculation Drone Survey'!$Z667</f>
        <v>263.04006666666652</v>
      </c>
      <c r="CX42" s="305">
        <f>'Level Calculation Drone Survey'!$Z671</f>
        <v>263.04016666666649</v>
      </c>
      <c r="CY42" s="305">
        <f>'Level Calculation Drone Survey'!$Z671</f>
        <v>263.04016666666649</v>
      </c>
      <c r="CZ42" s="305">
        <f>'Level Calculation Drone Survey'!$Z671</f>
        <v>263.04016666666649</v>
      </c>
      <c r="DA42" s="305">
        <f>'Level Calculation Drone Survey'!$Z671</f>
        <v>263.04016666666649</v>
      </c>
      <c r="DB42" s="305">
        <f>'Level Calculation Drone Survey'!$Z671</f>
        <v>263.04016666666649</v>
      </c>
      <c r="DC42" s="305">
        <f>'Level Calculation Drone Survey'!$Z671</f>
        <v>263.04016666666649</v>
      </c>
      <c r="DD42" s="305">
        <f>'Level Calculation Drone Survey'!$Z671</f>
        <v>263.04016666666649</v>
      </c>
      <c r="DE42" s="305">
        <f>'Level Calculation Drone Survey'!$Z671</f>
        <v>263.04016666666649</v>
      </c>
      <c r="DF42" s="305">
        <f>'Level Calculation Drone Survey'!$Z671</f>
        <v>263.04016666666649</v>
      </c>
      <c r="DG42" s="305">
        <f>'Level Calculation Drone Survey'!$Z671</f>
        <v>263.04016666666649</v>
      </c>
      <c r="DH42" s="305">
        <f>'Level Calculation Drone Survey'!$Z671</f>
        <v>263.04016666666649</v>
      </c>
      <c r="DI42" s="305">
        <f>'Level Calculation Drone Survey'!$Z695</f>
        <v>263.04016666666649</v>
      </c>
      <c r="DJ42" s="305">
        <f>'Level Calculation Drone Survey'!$Z695</f>
        <v>263.04016666666649</v>
      </c>
      <c r="DK42" s="305">
        <f>'Level Calculation Drone Survey'!$Z695</f>
        <v>263.04016666666649</v>
      </c>
      <c r="DL42" s="305">
        <f>'Level Calculation Drone Survey'!$Z695</f>
        <v>263.04016666666649</v>
      </c>
      <c r="DM42" s="305">
        <f>'Level Calculation Drone Survey'!$Z695</f>
        <v>263.04016666666649</v>
      </c>
      <c r="DN42" s="305">
        <f>'Level Calculation Drone Survey'!$Z695</f>
        <v>263.04016666666649</v>
      </c>
      <c r="DO42" s="305">
        <f>'Level Calculation Drone Survey'!$Z695</f>
        <v>263.04016666666649</v>
      </c>
      <c r="DP42" s="305">
        <f>'Level Calculation Drone Survey'!$Z695</f>
        <v>263.04016666666649</v>
      </c>
      <c r="DQ42" s="305">
        <f>'Level Calculation Drone Survey'!$Z695</f>
        <v>263.04016666666649</v>
      </c>
      <c r="DR42" s="305">
        <f>'Level Calculation Drone Survey'!$Z695</f>
        <v>263.04016666666649</v>
      </c>
      <c r="DS42" s="305">
        <f>'Level Calculation Drone Survey'!$Z695</f>
        <v>263.04016666666649</v>
      </c>
      <c r="DT42" s="318">
        <f>'Level Calculation Drone Survey'!$Z715</f>
        <v>263.02499374999996</v>
      </c>
      <c r="DU42" s="318">
        <f>'Level Calculation Drone Survey'!$Z715</f>
        <v>263.02499374999996</v>
      </c>
      <c r="DV42" s="318">
        <f>'Level Calculation Drone Survey'!$Z715</f>
        <v>263.02499374999996</v>
      </c>
      <c r="DW42" s="318">
        <f>'Level Calculation Drone Survey'!$Z715</f>
        <v>263.02499374999996</v>
      </c>
      <c r="DX42" s="318">
        <f>'Level Calculation Drone Survey'!$Z715</f>
        <v>263.02499374999996</v>
      </c>
      <c r="DY42" s="318">
        <f>'Level Calculation Drone Survey'!$Z715</f>
        <v>263.02499374999996</v>
      </c>
      <c r="DZ42" s="318">
        <f>'Level Calculation Drone Survey'!$Z715</f>
        <v>263.02499374999996</v>
      </c>
      <c r="EA42" s="318">
        <f>'Level Calculation Drone Survey'!$Z715</f>
        <v>263.02499374999996</v>
      </c>
      <c r="EB42" s="318">
        <f>'Level Calculation Drone Survey'!$Z715</f>
        <v>263.02499374999996</v>
      </c>
      <c r="EC42" s="305">
        <f>'Level Calculation Drone Survey'!$Z743</f>
        <v>262.83516315789461</v>
      </c>
      <c r="ED42" s="305">
        <f>'Level Calculation Drone Survey'!$Z743</f>
        <v>262.83516315789461</v>
      </c>
      <c r="EE42" s="305">
        <f>'Level Calculation Drone Survey'!$Z743</f>
        <v>262.83516315789461</v>
      </c>
      <c r="EF42" s="305">
        <f>'Level Calculation Drone Survey'!$Z743</f>
        <v>262.83516315789461</v>
      </c>
      <c r="EG42" s="305">
        <f>'Level Calculation Drone Survey'!$Z743</f>
        <v>262.83516315789461</v>
      </c>
      <c r="EH42" s="305">
        <f>'Level Calculation Drone Survey'!$Z743</f>
        <v>262.83516315789461</v>
      </c>
      <c r="EI42" s="305">
        <f>'Level Calculation Drone Survey'!$Z743</f>
        <v>262.83516315789461</v>
      </c>
      <c r="EJ42" s="305">
        <f>'Level Calculation Drone Survey'!$Z743</f>
        <v>262.83516315789461</v>
      </c>
      <c r="EK42" s="305">
        <f>'Level Calculation Drone Survey'!$Z743</f>
        <v>262.83516315789461</v>
      </c>
      <c r="EL42" s="305">
        <f>'Level Calculation Drone Survey'!$Z743</f>
        <v>262.83516315789461</v>
      </c>
      <c r="EM42" s="305">
        <f>'Level Calculation Drone Survey'!$Z743</f>
        <v>262.83516315789461</v>
      </c>
      <c r="EN42" s="305">
        <f>'Level Calculation Drone Survey'!$Z743</f>
        <v>262.83516315789461</v>
      </c>
      <c r="EO42" s="305">
        <f>'Level Calculation Drone Survey'!$Z743</f>
        <v>262.83516315789461</v>
      </c>
      <c r="EP42" s="305">
        <f>'Level Calculation Drone Survey'!$Z743</f>
        <v>262.83516315789461</v>
      </c>
      <c r="EQ42" s="305">
        <f>'Level Calculation Drone Survey'!$Z743</f>
        <v>262.83516315789461</v>
      </c>
      <c r="ER42" s="305">
        <f>'Level Calculation Drone Survey'!$Z743</f>
        <v>262.83516315789461</v>
      </c>
      <c r="ES42" s="305">
        <f>'Level Calculation Drone Survey'!$Z743</f>
        <v>262.83516315789461</v>
      </c>
      <c r="ET42" s="305">
        <f>'Level Calculation Drone Survey'!$Z743</f>
        <v>262.83516315789461</v>
      </c>
      <c r="EU42" s="305">
        <f>'Level Calculation Drone Survey'!$Z743</f>
        <v>262.83516315789461</v>
      </c>
      <c r="EV42" s="305">
        <f>'Level Calculation Drone Survey'!$Z743</f>
        <v>262.83516315789461</v>
      </c>
      <c r="EW42" s="305">
        <f>'Level Calculation Drone Survey'!$Z743</f>
        <v>262.83516315789461</v>
      </c>
      <c r="EX42" s="191"/>
      <c r="EY42" s="191"/>
    </row>
    <row r="43" spans="1:155" ht="45" customHeight="1" x14ac:dyDescent="0.45">
      <c r="A43" s="277">
        <v>210</v>
      </c>
      <c r="B43" s="191"/>
      <c r="C43" s="191"/>
      <c r="D43" s="191"/>
      <c r="E43" s="305">
        <f>'Level Calculation Drone Survey'!$Z$272</f>
        <v>263.67500000000001</v>
      </c>
      <c r="F43" s="305">
        <f>'Level Calculation Drone Survey'!$Z$272</f>
        <v>263.67500000000001</v>
      </c>
      <c r="G43" s="305">
        <f>'Level Calculation Drone Survey'!$Z$272</f>
        <v>263.67500000000001</v>
      </c>
      <c r="H43" s="305">
        <f>'Level Calculation Drone Survey'!$Z$272</f>
        <v>263.67500000000001</v>
      </c>
      <c r="I43" s="305">
        <f>'Level Calculation Drone Survey'!$Z$272</f>
        <v>263.67500000000001</v>
      </c>
      <c r="J43" s="305">
        <f>'Level Calculation Drone Survey'!$Z$272</f>
        <v>263.67500000000001</v>
      </c>
      <c r="K43" s="305">
        <f>'Level Calculation Drone Survey'!$Z$272</f>
        <v>263.67500000000001</v>
      </c>
      <c r="L43" s="305">
        <f>'Level Calculation Drone Survey'!$Z$272</f>
        <v>263.67500000000001</v>
      </c>
      <c r="M43" s="305">
        <f>'Level Calculation Drone Survey'!$Z$272</f>
        <v>263.67500000000001</v>
      </c>
      <c r="N43" s="305">
        <f>'Level Calculation Drone Survey'!$Z$272</f>
        <v>263.67500000000001</v>
      </c>
      <c r="O43" s="305">
        <f>'Level Calculation Drone Survey'!$Z$272</f>
        <v>263.67500000000001</v>
      </c>
      <c r="P43" s="305">
        <f>'Level Calculation Drone Survey'!$Z$272</f>
        <v>263.67500000000001</v>
      </c>
      <c r="Q43" s="305">
        <f>'Level Calculation Drone Survey'!$Z$272</f>
        <v>263.67500000000001</v>
      </c>
      <c r="R43" s="305">
        <f>'Level Calculation Drone Survey'!$Z$272</f>
        <v>263.67500000000001</v>
      </c>
      <c r="S43" s="305">
        <f>'Level Calculation Drone Survey'!$Z$272</f>
        <v>263.67500000000001</v>
      </c>
      <c r="T43" s="305">
        <f>'Level Calculation Drone Survey'!$Z$272</f>
        <v>263.67500000000001</v>
      </c>
      <c r="U43" s="305">
        <f>'Level Calculation Drone Survey'!$Z$272</f>
        <v>263.67500000000001</v>
      </c>
      <c r="V43" s="305">
        <f>'Level Calculation Drone Survey'!$Z$272</f>
        <v>263.67500000000001</v>
      </c>
      <c r="W43" s="191"/>
      <c r="X43" s="191"/>
      <c r="Y43" s="191"/>
      <c r="Z43" s="191"/>
      <c r="AA43" s="191"/>
      <c r="AB43" s="191"/>
      <c r="AC43" s="191"/>
      <c r="AD43" s="191"/>
      <c r="AE43" s="191"/>
      <c r="AF43" s="191"/>
      <c r="AG43" s="191"/>
      <c r="AH43" s="191"/>
      <c r="AI43" s="191"/>
      <c r="AJ43" s="191"/>
      <c r="AK43" s="191"/>
      <c r="AL43" s="191"/>
      <c r="AM43" s="191"/>
      <c r="AN43" s="191"/>
      <c r="AO43" s="191"/>
      <c r="AP43" s="191"/>
      <c r="AQ43" s="191"/>
      <c r="AR43" s="191"/>
      <c r="AS43" s="191"/>
      <c r="AT43" s="191"/>
      <c r="AU43" s="191"/>
      <c r="AV43" s="191"/>
      <c r="AW43" s="191"/>
      <c r="AX43" s="191"/>
      <c r="AY43" s="191"/>
      <c r="AZ43" s="312">
        <f>'Level Calculation Drone Survey'!$Z570</f>
        <v>263.48983809523793</v>
      </c>
      <c r="BA43" s="312">
        <f>'Level Calculation Drone Survey'!$Z570</f>
        <v>263.48983809523793</v>
      </c>
      <c r="BB43" s="312">
        <f>'Level Calculation Drone Survey'!$Z570</f>
        <v>263.48983809523793</v>
      </c>
      <c r="BC43" s="312">
        <f>'Level Calculation Drone Survey'!$Z570</f>
        <v>263.48983809523793</v>
      </c>
      <c r="BD43" s="312">
        <f>'Level Calculation Drone Survey'!$Z570</f>
        <v>263.48983809523793</v>
      </c>
      <c r="BE43" s="312">
        <f>'Level Calculation Drone Survey'!$Z570</f>
        <v>263.48983809523793</v>
      </c>
      <c r="BF43" s="305">
        <f>'Level Calculation Drone Survey'!$Z598</f>
        <v>263.39983999999987</v>
      </c>
      <c r="BG43" s="305">
        <f>'Level Calculation Drone Survey'!$Z598</f>
        <v>263.39983999999987</v>
      </c>
      <c r="BH43" s="305">
        <f>'Level Calculation Drone Survey'!$Z598</f>
        <v>263.39983999999987</v>
      </c>
      <c r="BI43" s="305">
        <f>'Level Calculation Drone Survey'!$Z598</f>
        <v>263.39983999999987</v>
      </c>
      <c r="BJ43" s="305">
        <f>'Level Calculation Drone Survey'!$Z598</f>
        <v>263.39983999999987</v>
      </c>
      <c r="BK43" s="305">
        <f>'Level Calculation Drone Survey'!$Z598</f>
        <v>263.39983999999987</v>
      </c>
      <c r="BL43" s="305">
        <f>'Level Calculation Drone Survey'!$Z598</f>
        <v>263.39983999999987</v>
      </c>
      <c r="BM43" s="305">
        <f>'Level Calculation Drone Survey'!$Z598</f>
        <v>263.39983999999987</v>
      </c>
      <c r="BN43" s="305">
        <f>'Level Calculation Drone Survey'!$Z598</f>
        <v>263.39983999999987</v>
      </c>
      <c r="BO43" s="305">
        <f>'Level Calculation Drone Survey'!$Z598</f>
        <v>263.39983999999987</v>
      </c>
      <c r="BP43" s="305">
        <f>'Level Calculation Drone Survey'!$Z598</f>
        <v>263.39983999999987</v>
      </c>
      <c r="BQ43" s="305">
        <f>'Level Calculation Drone Survey'!$Z598</f>
        <v>263.39983999999987</v>
      </c>
      <c r="BR43" s="305">
        <f>'Level Calculation Drone Survey'!$Z598</f>
        <v>263.39983999999987</v>
      </c>
      <c r="BS43" s="305">
        <f>'Level Calculation Drone Survey'!$Z598</f>
        <v>263.39983999999987</v>
      </c>
      <c r="BT43" s="305">
        <f>'Level Calculation Drone Survey'!$Z598</f>
        <v>263.39983999999987</v>
      </c>
      <c r="BU43" s="305">
        <f>'Level Calculation Drone Survey'!$Z598</f>
        <v>263.39983999999987</v>
      </c>
      <c r="BV43" s="305">
        <f>'Level Calculation Drone Survey'!$Z598</f>
        <v>263.39983999999987</v>
      </c>
      <c r="BW43" s="305">
        <f>'Level Calculation Drone Survey'!$Z598</f>
        <v>263.39983999999987</v>
      </c>
      <c r="BX43" s="305">
        <f>'Level Calculation Drone Survey'!$Z598</f>
        <v>263.39983999999987</v>
      </c>
      <c r="BY43" s="305">
        <f>'Level Calculation Drone Survey'!$Z598</f>
        <v>263.39983999999987</v>
      </c>
      <c r="BZ43" s="312">
        <f>'Level Calculation Drone Survey'!$Z622</f>
        <v>263.22529999999989</v>
      </c>
      <c r="CA43" s="312">
        <f>'Level Calculation Drone Survey'!$Z622</f>
        <v>263.22529999999989</v>
      </c>
      <c r="CB43" s="312">
        <f>'Level Calculation Drone Survey'!$Z622</f>
        <v>263.22529999999989</v>
      </c>
      <c r="CC43" s="312">
        <f>'Level Calculation Drone Survey'!$Z644</f>
        <v>263.22529999999989</v>
      </c>
      <c r="CD43" s="312">
        <f>'Level Calculation Drone Survey'!$Z644</f>
        <v>263.22529999999989</v>
      </c>
      <c r="CE43" s="312">
        <f>'Level Calculation Drone Survey'!$Z644</f>
        <v>263.22529999999989</v>
      </c>
      <c r="CF43" s="312">
        <f>'Level Calculation Drone Survey'!$Z644</f>
        <v>263.22529999999989</v>
      </c>
      <c r="CG43" s="312">
        <f>'Level Calculation Drone Survey'!$Z644</f>
        <v>263.22529999999989</v>
      </c>
      <c r="CH43" s="305">
        <f>'Level Calculation Drone Survey'!$Z644</f>
        <v>263.22529999999989</v>
      </c>
      <c r="CI43" s="305">
        <f>'Level Calculation Drone Survey'!$Z644</f>
        <v>263.22529999999989</v>
      </c>
      <c r="CJ43" s="305">
        <f>'Level Calculation Drone Survey'!$Z644</f>
        <v>263.22529999999989</v>
      </c>
      <c r="CK43" s="305">
        <f>'Level Calculation Drone Survey'!$Z644</f>
        <v>263.22529999999989</v>
      </c>
      <c r="CL43" s="305">
        <f>'Level Calculation Drone Survey'!$Z644</f>
        <v>263.22529999999989</v>
      </c>
      <c r="CM43" s="305">
        <f>'Level Calculation Drone Survey'!$Z644</f>
        <v>263.22529999999989</v>
      </c>
      <c r="CN43" s="305">
        <f>'Level Calculation Drone Survey'!$Z644</f>
        <v>263.22529999999989</v>
      </c>
      <c r="CO43" s="305">
        <f>'Level Calculation Drone Survey'!$Z644</f>
        <v>263.22529999999989</v>
      </c>
      <c r="CP43" s="305">
        <f>'Level Calculation Drone Survey'!$Z644</f>
        <v>263.22529999999989</v>
      </c>
      <c r="CQ43" s="313">
        <f>'Level Calculation Drone Survey'!$Z668</f>
        <v>263.04006666666652</v>
      </c>
      <c r="CR43" s="313">
        <f>'Level Calculation Drone Survey'!$Z668</f>
        <v>263.04006666666652</v>
      </c>
      <c r="CS43" s="313">
        <f>'Level Calculation Drone Survey'!$Z668</f>
        <v>263.04006666666652</v>
      </c>
      <c r="CT43" s="313">
        <f>'Level Calculation Drone Survey'!$Z668</f>
        <v>263.04006666666652</v>
      </c>
      <c r="CU43" s="313">
        <f>'Level Calculation Drone Survey'!$Z668</f>
        <v>263.04006666666652</v>
      </c>
      <c r="CV43" s="313">
        <f>'Level Calculation Drone Survey'!$Z668</f>
        <v>263.04006666666652</v>
      </c>
      <c r="CW43" s="313">
        <f>'Level Calculation Drone Survey'!$Z668</f>
        <v>263.04006666666652</v>
      </c>
      <c r="CX43" s="305">
        <f>'Level Calculation Drone Survey'!$Z672</f>
        <v>263.04016666666649</v>
      </c>
      <c r="CY43" s="305">
        <f>'Level Calculation Drone Survey'!$Z672</f>
        <v>263.04016666666649</v>
      </c>
      <c r="CZ43" s="305">
        <f>'Level Calculation Drone Survey'!$Z672</f>
        <v>263.04016666666649</v>
      </c>
      <c r="DA43" s="305">
        <f>'Level Calculation Drone Survey'!$Z672</f>
        <v>263.04016666666649</v>
      </c>
      <c r="DB43" s="305">
        <f>'Level Calculation Drone Survey'!$Z672</f>
        <v>263.04016666666649</v>
      </c>
      <c r="DC43" s="305">
        <f>'Level Calculation Drone Survey'!$Z672</f>
        <v>263.04016666666649</v>
      </c>
      <c r="DD43" s="305">
        <f>'Level Calculation Drone Survey'!$Z672</f>
        <v>263.04016666666649</v>
      </c>
      <c r="DE43" s="305">
        <f>'Level Calculation Drone Survey'!$Z672</f>
        <v>263.04016666666649</v>
      </c>
      <c r="DF43" s="305">
        <f>'Level Calculation Drone Survey'!$Z672</f>
        <v>263.04016666666649</v>
      </c>
      <c r="DG43" s="305">
        <f>'Level Calculation Drone Survey'!$Z672</f>
        <v>263.04016666666649</v>
      </c>
      <c r="DH43" s="305">
        <f>'Level Calculation Drone Survey'!$Z672</f>
        <v>263.04016666666649</v>
      </c>
      <c r="DI43" s="305">
        <f>'Level Calculation Drone Survey'!$Z696</f>
        <v>263.04016666666649</v>
      </c>
      <c r="DJ43" s="305">
        <f>'Level Calculation Drone Survey'!$Z696</f>
        <v>263.04016666666649</v>
      </c>
      <c r="DK43" s="305">
        <f>'Level Calculation Drone Survey'!$Z696</f>
        <v>263.04016666666649</v>
      </c>
      <c r="DL43" s="305">
        <f>'Level Calculation Drone Survey'!$Z696</f>
        <v>263.04016666666649</v>
      </c>
      <c r="DM43" s="305">
        <f>'Level Calculation Drone Survey'!$Z696</f>
        <v>263.04016666666649</v>
      </c>
      <c r="DN43" s="305">
        <f>'Level Calculation Drone Survey'!$Z696</f>
        <v>263.04016666666649</v>
      </c>
      <c r="DO43" s="305">
        <f>'Level Calculation Drone Survey'!$Z696</f>
        <v>263.04016666666649</v>
      </c>
      <c r="DP43" s="305">
        <f>'Level Calculation Drone Survey'!$Z696</f>
        <v>263.04016666666649</v>
      </c>
      <c r="DQ43" s="305">
        <f>'Level Calculation Drone Survey'!$Z696</f>
        <v>263.04016666666649</v>
      </c>
      <c r="DR43" s="305">
        <f>'Level Calculation Drone Survey'!$Z696</f>
        <v>263.04016666666649</v>
      </c>
      <c r="DS43" s="305">
        <f>'Level Calculation Drone Survey'!$Z696</f>
        <v>263.04016666666649</v>
      </c>
      <c r="DT43" s="318">
        <f>'Level Calculation Drone Survey'!$Z716</f>
        <v>263.02499374999996</v>
      </c>
      <c r="DU43" s="318">
        <f>'Level Calculation Drone Survey'!$Z716</f>
        <v>263.02499374999996</v>
      </c>
      <c r="DV43" s="318">
        <f>'Level Calculation Drone Survey'!$Z716</f>
        <v>263.02499374999996</v>
      </c>
      <c r="DW43" s="318">
        <f>'Level Calculation Drone Survey'!$Z716</f>
        <v>263.02499374999996</v>
      </c>
      <c r="DX43" s="318">
        <f>'Level Calculation Drone Survey'!$Z716</f>
        <v>263.02499374999996</v>
      </c>
      <c r="DY43" s="318">
        <f>'Level Calculation Drone Survey'!$Z716</f>
        <v>263.02499374999996</v>
      </c>
      <c r="DZ43" s="318">
        <f>'Level Calculation Drone Survey'!$Z716</f>
        <v>263.02499374999996</v>
      </c>
      <c r="EA43" s="318">
        <f>'Level Calculation Drone Survey'!$Z716</f>
        <v>263.02499374999996</v>
      </c>
      <c r="EB43" s="318">
        <f>'Level Calculation Drone Survey'!$Z716</f>
        <v>263.02499374999996</v>
      </c>
      <c r="EC43" s="305">
        <f>'Level Calculation Drone Survey'!$Z744</f>
        <v>262.83516315789461</v>
      </c>
      <c r="ED43" s="305">
        <f>'Level Calculation Drone Survey'!$Z744</f>
        <v>262.83516315789461</v>
      </c>
      <c r="EE43" s="305">
        <f>'Level Calculation Drone Survey'!$Z744</f>
        <v>262.83516315789461</v>
      </c>
      <c r="EF43" s="305">
        <f>'Level Calculation Drone Survey'!$Z744</f>
        <v>262.83516315789461</v>
      </c>
      <c r="EG43" s="305">
        <f>'Level Calculation Drone Survey'!$Z744</f>
        <v>262.83516315789461</v>
      </c>
      <c r="EH43" s="305">
        <f>'Level Calculation Drone Survey'!$Z744</f>
        <v>262.83516315789461</v>
      </c>
      <c r="EI43" s="305">
        <f>'Level Calculation Drone Survey'!$Z744</f>
        <v>262.83516315789461</v>
      </c>
      <c r="EJ43" s="305">
        <f>'Level Calculation Drone Survey'!$Z744</f>
        <v>262.83516315789461</v>
      </c>
      <c r="EK43" s="305">
        <f>'Level Calculation Drone Survey'!$Z744</f>
        <v>262.83516315789461</v>
      </c>
      <c r="EL43" s="305">
        <f>'Level Calculation Drone Survey'!$Z744</f>
        <v>262.83516315789461</v>
      </c>
      <c r="EM43" s="305">
        <f>'Level Calculation Drone Survey'!$Z744</f>
        <v>262.83516315789461</v>
      </c>
      <c r="EN43" s="305">
        <f>'Level Calculation Drone Survey'!$Z744</f>
        <v>262.83516315789461</v>
      </c>
      <c r="EO43" s="305">
        <f>'Level Calculation Drone Survey'!$Z744</f>
        <v>262.83516315789461</v>
      </c>
      <c r="EP43" s="305">
        <f>'Level Calculation Drone Survey'!$Z744</f>
        <v>262.83516315789461</v>
      </c>
      <c r="EQ43" s="305">
        <f>'Level Calculation Drone Survey'!$Z744</f>
        <v>262.83516315789461</v>
      </c>
      <c r="ER43" s="305">
        <f>'Level Calculation Drone Survey'!$Z744</f>
        <v>262.83516315789461</v>
      </c>
      <c r="ES43" s="305">
        <f>'Level Calculation Drone Survey'!$Z744</f>
        <v>262.83516315789461</v>
      </c>
      <c r="ET43" s="305">
        <f>'Level Calculation Drone Survey'!$Z744</f>
        <v>262.83516315789461</v>
      </c>
      <c r="EU43" s="305">
        <f>'Level Calculation Drone Survey'!$Z744</f>
        <v>262.83516315789461</v>
      </c>
      <c r="EV43" s="305">
        <f>'Level Calculation Drone Survey'!$Z744</f>
        <v>262.83516315789461</v>
      </c>
      <c r="EW43" s="305">
        <f>'Level Calculation Drone Survey'!$Z744</f>
        <v>262.83516315789461</v>
      </c>
      <c r="EX43" s="191"/>
      <c r="EY43" s="191"/>
    </row>
    <row r="44" spans="1:155" ht="45" customHeight="1" x14ac:dyDescent="0.45">
      <c r="A44" s="277">
        <v>215</v>
      </c>
      <c r="B44" s="305">
        <f>'Level Calculation Drone Survey'!$Z277</f>
        <v>263.67480499999988</v>
      </c>
      <c r="C44" s="305">
        <f>'Level Calculation Drone Survey'!$Z277</f>
        <v>263.67480499999988</v>
      </c>
      <c r="D44" s="305">
        <f>'Level Calculation Drone Survey'!$Z277</f>
        <v>263.67480499999988</v>
      </c>
      <c r="E44" s="305">
        <f>'Level Calculation Drone Survey'!$Z277</f>
        <v>263.67480499999988</v>
      </c>
      <c r="F44" s="279">
        <f>'Level Calculation Drone Survey'!$Z221</f>
        <v>263.7748049999999</v>
      </c>
      <c r="G44" s="279">
        <f>'Level Calculation Drone Survey'!$Z221</f>
        <v>263.7748049999999</v>
      </c>
      <c r="H44" s="279">
        <f>'Level Calculation Drone Survey'!$Z221</f>
        <v>263.7748049999999</v>
      </c>
      <c r="I44" s="279">
        <f>'Level Calculation Drone Survey'!$Z221</f>
        <v>263.7748049999999</v>
      </c>
      <c r="J44" s="279">
        <f>'Level Calculation Drone Survey'!$Z221</f>
        <v>263.7748049999999</v>
      </c>
      <c r="K44" s="279">
        <f>'Level Calculation Drone Survey'!$Z221</f>
        <v>263.7748049999999</v>
      </c>
      <c r="L44" s="279">
        <f>'Level Calculation Drone Survey'!$Z221</f>
        <v>263.7748049999999</v>
      </c>
      <c r="M44" s="279">
        <f>'Level Calculation Drone Survey'!$Z221</f>
        <v>263.7748049999999</v>
      </c>
      <c r="N44" s="279">
        <f>'Level Calculation Drone Survey'!$Z221</f>
        <v>263.7748049999999</v>
      </c>
      <c r="O44" s="279">
        <f>'Level Calculation Drone Survey'!$Z221</f>
        <v>263.7748049999999</v>
      </c>
      <c r="P44" s="279">
        <f>'Level Calculation Drone Survey'!$Z221</f>
        <v>263.7748049999999</v>
      </c>
      <c r="Q44" s="279">
        <f>'Level Calculation Drone Survey'!$Z221</f>
        <v>263.7748049999999</v>
      </c>
      <c r="R44" s="279">
        <f>'Level Calculation Drone Survey'!$Z221</f>
        <v>263.7748049999999</v>
      </c>
      <c r="S44" s="279">
        <f>'Level Calculation Drone Survey'!$Z221</f>
        <v>263.7748049999999</v>
      </c>
      <c r="T44" s="279">
        <f>'Level Calculation Drone Survey'!$Z221</f>
        <v>263.7748049999999</v>
      </c>
      <c r="U44" s="279">
        <f>'Level Calculation Drone Survey'!$Z221</f>
        <v>263.7748049999999</v>
      </c>
      <c r="V44" s="305">
        <f>'Level Calculation Drone Survey'!$Z378</f>
        <v>263.7748049999999</v>
      </c>
      <c r="W44" s="305">
        <f>'Level Calculation Drone Survey'!$Z378</f>
        <v>263.7748049999999</v>
      </c>
      <c r="X44" s="305"/>
      <c r="Y44" s="305"/>
      <c r="Z44" s="191"/>
      <c r="AA44" s="191"/>
      <c r="AB44" s="191"/>
      <c r="AC44" s="191"/>
      <c r="AD44" s="191"/>
      <c r="AE44" s="191"/>
      <c r="AF44" s="191"/>
      <c r="AG44" s="191"/>
      <c r="AH44" s="191"/>
      <c r="AI44" s="191"/>
      <c r="AJ44" s="191"/>
      <c r="AK44" s="191"/>
      <c r="AL44" s="191"/>
      <c r="AM44" s="191"/>
      <c r="AN44" s="191"/>
      <c r="AO44" s="191"/>
      <c r="AP44" s="191"/>
      <c r="AQ44" s="191"/>
      <c r="AR44" s="191"/>
      <c r="AS44" s="191"/>
      <c r="AT44" s="191"/>
      <c r="AU44" s="191"/>
      <c r="AV44" s="191"/>
      <c r="AW44" s="191"/>
      <c r="AX44" s="191"/>
      <c r="AY44" s="191"/>
      <c r="AZ44" s="312">
        <f>'Level Calculation Drone Survey'!$Z571</f>
        <v>263.53983809523794</v>
      </c>
      <c r="BA44" s="312">
        <f>'Level Calculation Drone Survey'!$Z571</f>
        <v>263.53983809523794</v>
      </c>
      <c r="BB44" s="312">
        <f>'Level Calculation Drone Survey'!$Z571</f>
        <v>263.53983809523794</v>
      </c>
      <c r="BC44" s="312">
        <f>'Level Calculation Drone Survey'!$Z571</f>
        <v>263.53983809523794</v>
      </c>
      <c r="BD44" s="312">
        <f>'Level Calculation Drone Survey'!$Z571</f>
        <v>263.53983809523794</v>
      </c>
      <c r="BE44" s="312">
        <f>'Level Calculation Drone Survey'!$Z571</f>
        <v>263.53983809523794</v>
      </c>
      <c r="BF44" s="279">
        <f>'Level Calculation Drone Survey'!$Z158</f>
        <v>263.58983809523795</v>
      </c>
      <c r="BG44" s="279">
        <f>'Level Calculation Drone Survey'!$Z158</f>
        <v>263.58983809523795</v>
      </c>
      <c r="BH44" s="279">
        <f>'Level Calculation Drone Survey'!$Z158</f>
        <v>263.58983809523795</v>
      </c>
      <c r="BI44" s="279">
        <f>'Level Calculation Drone Survey'!$Z158</f>
        <v>263.58983809523795</v>
      </c>
      <c r="BJ44" s="279">
        <f>'Level Calculation Drone Survey'!$Z158</f>
        <v>263.58983809523795</v>
      </c>
      <c r="BK44" s="279">
        <f>'Level Calculation Drone Survey'!$Z158</f>
        <v>263.58983809523795</v>
      </c>
      <c r="BL44" s="279">
        <f>'Level Calculation Drone Survey'!$Z158</f>
        <v>263.58983809523795</v>
      </c>
      <c r="BM44" s="279">
        <f>'Level Calculation Drone Survey'!$Z158</f>
        <v>263.58983809523795</v>
      </c>
      <c r="BN44" s="279">
        <f>'Level Calculation Drone Survey'!$Z158</f>
        <v>263.58983809523795</v>
      </c>
      <c r="BO44" s="279">
        <f>'Level Calculation Drone Survey'!$Z158</f>
        <v>263.58983809523795</v>
      </c>
      <c r="BP44" s="279">
        <f>'Level Calculation Drone Survey'!$Z158</f>
        <v>263.58983809523795</v>
      </c>
      <c r="BQ44" s="279">
        <f>'Level Calculation Drone Survey'!$Z158</f>
        <v>263.58983809523795</v>
      </c>
      <c r="BR44" s="279">
        <f>'Level Calculation Drone Survey'!$Z158</f>
        <v>263.58983809523795</v>
      </c>
      <c r="BS44" s="279">
        <f>'Level Calculation Drone Survey'!$Z158</f>
        <v>263.58983809523795</v>
      </c>
      <c r="BT44" s="279">
        <f>'Level Calculation Drone Survey'!$Z158</f>
        <v>263.58983809523795</v>
      </c>
      <c r="BU44" s="279">
        <f>'Level Calculation Drone Survey'!$Z158</f>
        <v>263.58983809523795</v>
      </c>
      <c r="BV44" s="279">
        <f>'Level Calculation Drone Survey'!$Z158</f>
        <v>263.58983809523795</v>
      </c>
      <c r="BW44" s="279">
        <f>'Level Calculation Drone Survey'!$Z158</f>
        <v>263.58983809523795</v>
      </c>
      <c r="BX44" s="279">
        <f>'Level Calculation Drone Survey'!$Z158</f>
        <v>263.58983809523795</v>
      </c>
      <c r="BY44" s="279">
        <f>'Level Calculation Drone Survey'!$Z158</f>
        <v>263.58983809523795</v>
      </c>
      <c r="BZ44" s="279">
        <f>'Level Calculation Drone Survey'!$Z158</f>
        <v>263.58983809523795</v>
      </c>
      <c r="CA44" s="313">
        <f>'Level Calculation Drone Survey'!$Z625</f>
        <v>263.33540476190467</v>
      </c>
      <c r="CB44" s="313">
        <f>'Level Calculation Drone Survey'!$Z625</f>
        <v>263.33540476190467</v>
      </c>
      <c r="CC44" s="279">
        <f>'Level Calculation Drone Survey'!$Z137</f>
        <v>263.33540476190467</v>
      </c>
      <c r="CD44" s="279">
        <f>'Level Calculation Drone Survey'!$Z137</f>
        <v>263.33540476190467</v>
      </c>
      <c r="CE44" s="279">
        <f>'Level Calculation Drone Survey'!$Z137</f>
        <v>263.33540476190467</v>
      </c>
      <c r="CF44" s="279">
        <f>'Level Calculation Drone Survey'!$Z137</f>
        <v>263.33540476190467</v>
      </c>
      <c r="CG44" s="279">
        <f>'Level Calculation Drone Survey'!$Z137</f>
        <v>263.33540476190467</v>
      </c>
      <c r="CH44" s="279">
        <f>'Level Calculation Drone Survey'!$Z137</f>
        <v>263.33540476190467</v>
      </c>
      <c r="CI44" s="279">
        <f>'Level Calculation Drone Survey'!$Z137</f>
        <v>263.33540476190467</v>
      </c>
      <c r="CJ44" s="279">
        <f>'Level Calculation Drone Survey'!$Z137</f>
        <v>263.33540476190467</v>
      </c>
      <c r="CK44" s="279">
        <f>'Level Calculation Drone Survey'!$Z137</f>
        <v>263.33540476190467</v>
      </c>
      <c r="CL44" s="279">
        <f>'Level Calculation Drone Survey'!$Z137</f>
        <v>263.33540476190467</v>
      </c>
      <c r="CM44" s="279">
        <f>'Level Calculation Drone Survey'!$Z137</f>
        <v>263.33540476190467</v>
      </c>
      <c r="CN44" s="279">
        <f>'Level Calculation Drone Survey'!$Z137</f>
        <v>263.33540476190467</v>
      </c>
      <c r="CO44" s="279">
        <f>'Level Calculation Drone Survey'!$Z137</f>
        <v>263.33540476190467</v>
      </c>
      <c r="CP44" s="279">
        <f>'Level Calculation Drone Survey'!$Z137</f>
        <v>263.33540476190467</v>
      </c>
      <c r="CQ44" s="279">
        <f>'Level Calculation Drone Survey'!$Z137</f>
        <v>263.33540476190467</v>
      </c>
      <c r="CR44" s="279">
        <f>'Level Calculation Drone Survey'!$Z137</f>
        <v>263.33540476190467</v>
      </c>
      <c r="CS44" s="279">
        <f>'Level Calculation Drone Survey'!$Z137</f>
        <v>263.33540476190467</v>
      </c>
      <c r="CT44" s="279">
        <f>'Level Calculation Drone Survey'!$Z137</f>
        <v>263.33540476190467</v>
      </c>
      <c r="CU44" s="279">
        <f>'Level Calculation Drone Survey'!$Z137</f>
        <v>263.33540476190467</v>
      </c>
      <c r="CV44" s="279">
        <f>'Level Calculation Drone Survey'!$Z137</f>
        <v>263.33540476190467</v>
      </c>
      <c r="CW44" s="279">
        <f>'Level Calculation Drone Survey'!$Z137</f>
        <v>263.33540476190467</v>
      </c>
      <c r="CX44" s="316">
        <f>'Level Calculation Drone Survey'!$Z521</f>
        <v>263.09016666666651</v>
      </c>
      <c r="CY44" s="279">
        <f>'Level Calculation Drone Survey'!$Z116</f>
        <v>263.14016666666652</v>
      </c>
      <c r="CZ44" s="279">
        <f>'Level Calculation Drone Survey'!$Z116</f>
        <v>263.14016666666652</v>
      </c>
      <c r="DA44" s="279">
        <f>'Level Calculation Drone Survey'!$Z116</f>
        <v>263.14016666666652</v>
      </c>
      <c r="DB44" s="279">
        <f>'Level Calculation Drone Survey'!$Z116</f>
        <v>263.14016666666652</v>
      </c>
      <c r="DC44" s="279">
        <f>'Level Calculation Drone Survey'!$Z116</f>
        <v>263.14016666666652</v>
      </c>
      <c r="DD44" s="279">
        <f>'Level Calculation Drone Survey'!$Z116</f>
        <v>263.14016666666652</v>
      </c>
      <c r="DE44" s="279">
        <f>'Level Calculation Drone Survey'!$Z116</f>
        <v>263.14016666666652</v>
      </c>
      <c r="DF44" s="279">
        <f>'Level Calculation Drone Survey'!$Z116</f>
        <v>263.14016666666652</v>
      </c>
      <c r="DG44" s="279">
        <f>'Level Calculation Drone Survey'!$Z116</f>
        <v>263.14016666666652</v>
      </c>
      <c r="DH44" s="279">
        <f>'Level Calculation Drone Survey'!$Z116</f>
        <v>263.14016666666652</v>
      </c>
      <c r="DI44" s="279">
        <f>'Level Calculation Drone Survey'!$Z116</f>
        <v>263.14016666666652</v>
      </c>
      <c r="DJ44" s="279">
        <f>'Level Calculation Drone Survey'!$Z116</f>
        <v>263.14016666666652</v>
      </c>
      <c r="DK44" s="279">
        <f>'Level Calculation Drone Survey'!$Z116</f>
        <v>263.14016666666652</v>
      </c>
      <c r="DL44" s="279">
        <f>'Level Calculation Drone Survey'!$Z116</f>
        <v>263.14016666666652</v>
      </c>
      <c r="DM44" s="279">
        <f>'Level Calculation Drone Survey'!$Z116</f>
        <v>263.14016666666652</v>
      </c>
      <c r="DN44" s="279">
        <f>'Level Calculation Drone Survey'!$Z116</f>
        <v>263.14016666666652</v>
      </c>
      <c r="DO44" s="279">
        <f>'Level Calculation Drone Survey'!$Z116</f>
        <v>263.14016666666652</v>
      </c>
      <c r="DP44" s="279">
        <f>'Level Calculation Drone Survey'!$Z116</f>
        <v>263.14016666666652</v>
      </c>
      <c r="DQ44" s="279">
        <f>'Level Calculation Drone Survey'!$Z116</f>
        <v>263.14016666666652</v>
      </c>
      <c r="DR44" s="279">
        <f>'Level Calculation Drone Survey'!$Z116</f>
        <v>263.14016666666652</v>
      </c>
      <c r="DS44" s="279">
        <f>'Level Calculation Drone Survey'!$Z116</f>
        <v>263.14016666666652</v>
      </c>
      <c r="DT44" s="313">
        <f>'Level Calculation Drone Survey'!$Z700</f>
        <v>263.04016666666649</v>
      </c>
      <c r="DU44" s="313">
        <f>'Level Calculation Drone Survey'!$Z700</f>
        <v>263.04016666666649</v>
      </c>
      <c r="DV44" s="279">
        <f>'Level Calculation Drone Survey'!$Z34</f>
        <v>263.14499374999997</v>
      </c>
      <c r="DW44" s="279">
        <f>'Level Calculation Drone Survey'!$Z34</f>
        <v>263.14499374999997</v>
      </c>
      <c r="DX44" s="279">
        <f>'Level Calculation Drone Survey'!$Z34</f>
        <v>263.14499374999997</v>
      </c>
      <c r="DY44" s="279">
        <f>'Level Calculation Drone Survey'!$Z34</f>
        <v>263.14499374999997</v>
      </c>
      <c r="DZ44" s="279">
        <f>'Level Calculation Drone Survey'!$Z34</f>
        <v>263.14499374999997</v>
      </c>
      <c r="EA44" s="279">
        <f>'Level Calculation Drone Survey'!$Z34</f>
        <v>263.14499374999997</v>
      </c>
      <c r="EB44" s="279">
        <f>'Level Calculation Drone Survey'!$Z34</f>
        <v>263.14499374999997</v>
      </c>
      <c r="EC44" s="279">
        <f>'Level Calculation Drone Survey'!$Z34</f>
        <v>263.14499374999997</v>
      </c>
      <c r="ED44" s="279">
        <f>'Level Calculation Drone Survey'!$Z34</f>
        <v>263.14499374999997</v>
      </c>
      <c r="EE44" s="279">
        <f>'Level Calculation Drone Survey'!$Z34</f>
        <v>263.14499374999997</v>
      </c>
      <c r="EF44" s="279">
        <f>'Level Calculation Drone Survey'!$Z34</f>
        <v>263.14499374999997</v>
      </c>
      <c r="EG44" s="279">
        <f>'Level Calculation Drone Survey'!$Z34</f>
        <v>263.14499374999997</v>
      </c>
      <c r="EH44" s="279">
        <f>'Level Calculation Drone Survey'!$Z34</f>
        <v>263.14499374999997</v>
      </c>
      <c r="EI44" s="279">
        <f>'Level Calculation Drone Survey'!$Z34</f>
        <v>263.14499374999997</v>
      </c>
      <c r="EJ44" s="279">
        <f>'Level Calculation Drone Survey'!$Z34</f>
        <v>263.14499374999997</v>
      </c>
      <c r="EK44" s="279">
        <f>'Level Calculation Drone Survey'!$Z34</f>
        <v>263.14499374999997</v>
      </c>
      <c r="EL44" s="318">
        <f>'Level Calculation Drone Survey'!$Z759</f>
        <v>263.19999375000003</v>
      </c>
      <c r="EM44" s="318">
        <f>'Level Calculation Drone Survey'!$Z759</f>
        <v>263.19999375000003</v>
      </c>
      <c r="EN44" s="318">
        <f>'Level Calculation Drone Survey'!$Z759</f>
        <v>263.19999375000003</v>
      </c>
      <c r="EO44" s="318">
        <f>'Level Calculation Drone Survey'!$Z759</f>
        <v>263.19999375000003</v>
      </c>
      <c r="EP44" s="318">
        <f>'Level Calculation Drone Survey'!$Z759</f>
        <v>263.19999375000003</v>
      </c>
      <c r="EQ44" s="318">
        <f>'Level Calculation Drone Survey'!$Z759</f>
        <v>263.19999375000003</v>
      </c>
      <c r="ER44" s="318">
        <f>'Level Calculation Drone Survey'!$Z759</f>
        <v>263.19999375000003</v>
      </c>
      <c r="ES44" s="318">
        <f>'Level Calculation Drone Survey'!$Z759</f>
        <v>263.19999375000003</v>
      </c>
      <c r="ET44" s="318">
        <f>'Level Calculation Drone Survey'!$Z759</f>
        <v>263.19999375000003</v>
      </c>
      <c r="EU44" s="318">
        <f>'Level Calculation Drone Survey'!$Z759</f>
        <v>263.19999375000003</v>
      </c>
      <c r="EV44" s="318">
        <f>'Level Calculation Drone Survey'!$Z759</f>
        <v>263.19999375000003</v>
      </c>
      <c r="EW44" s="318">
        <f>'Level Calculation Drone Survey'!$Z759</f>
        <v>263.19999375000003</v>
      </c>
      <c r="EX44" s="191"/>
      <c r="EY44" s="191"/>
    </row>
    <row r="45" spans="1:155" ht="45" customHeight="1" x14ac:dyDescent="0.45">
      <c r="A45" s="277">
        <v>220</v>
      </c>
      <c r="B45" s="305">
        <f>'Level Calculation Drone Survey'!$Z278</f>
        <v>263.72480499999989</v>
      </c>
      <c r="C45" s="305">
        <f>'Level Calculation Drone Survey'!$Z278</f>
        <v>263.72480499999989</v>
      </c>
      <c r="D45" s="305">
        <f>'Level Calculation Drone Survey'!$Z278</f>
        <v>263.72480499999989</v>
      </c>
      <c r="E45" s="305">
        <f>'Level Calculation Drone Survey'!$Z278</f>
        <v>263.72480499999989</v>
      </c>
      <c r="F45" s="279">
        <f>'Level Calculation Drone Survey'!$Z222</f>
        <v>263.82480499999991</v>
      </c>
      <c r="G45" s="279">
        <f>'Level Calculation Drone Survey'!$Z222</f>
        <v>263.82480499999991</v>
      </c>
      <c r="H45" s="279">
        <f>'Level Calculation Drone Survey'!$Z222</f>
        <v>263.82480499999991</v>
      </c>
      <c r="I45" s="279">
        <f>'Level Calculation Drone Survey'!$Z222</f>
        <v>263.82480499999991</v>
      </c>
      <c r="J45" s="279">
        <f>'Level Calculation Drone Survey'!$Z222</f>
        <v>263.82480499999991</v>
      </c>
      <c r="K45" s="279">
        <f>'Level Calculation Drone Survey'!$Z222</f>
        <v>263.82480499999991</v>
      </c>
      <c r="L45" s="279">
        <f>'Level Calculation Drone Survey'!$Z222</f>
        <v>263.82480499999991</v>
      </c>
      <c r="M45" s="279">
        <f>'Level Calculation Drone Survey'!$Z222</f>
        <v>263.82480499999991</v>
      </c>
      <c r="N45" s="279">
        <f>'Level Calculation Drone Survey'!$Z222</f>
        <v>263.82480499999991</v>
      </c>
      <c r="O45" s="279">
        <f>'Level Calculation Drone Survey'!$Z222</f>
        <v>263.82480499999991</v>
      </c>
      <c r="P45" s="279">
        <f>'Level Calculation Drone Survey'!$Z222</f>
        <v>263.82480499999991</v>
      </c>
      <c r="Q45" s="279">
        <f>'Level Calculation Drone Survey'!$Z222</f>
        <v>263.82480499999991</v>
      </c>
      <c r="R45" s="279">
        <f>'Level Calculation Drone Survey'!$Z222</f>
        <v>263.82480499999991</v>
      </c>
      <c r="S45" s="279">
        <f>'Level Calculation Drone Survey'!$Z222</f>
        <v>263.82480499999991</v>
      </c>
      <c r="T45" s="279">
        <f>'Level Calculation Drone Survey'!$Z222</f>
        <v>263.82480499999991</v>
      </c>
      <c r="U45" s="279">
        <f>'Level Calculation Drone Survey'!$Z222</f>
        <v>263.82480499999991</v>
      </c>
      <c r="V45" s="305">
        <f>'Level Calculation Drone Survey'!$Z379</f>
        <v>263.82480499999991</v>
      </c>
      <c r="W45" s="305">
        <f>'Level Calculation Drone Survey'!$Z379</f>
        <v>263.82480499999991</v>
      </c>
      <c r="X45" s="305"/>
      <c r="Y45" s="305"/>
      <c r="Z45" s="191"/>
      <c r="AA45" s="191"/>
      <c r="AB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c r="AZ45" s="312">
        <f>'Level Calculation Drone Survey'!$Z572</f>
        <v>263.58983809523795</v>
      </c>
      <c r="BA45" s="312">
        <f>'Level Calculation Drone Survey'!$Z572</f>
        <v>263.58983809523795</v>
      </c>
      <c r="BB45" s="312">
        <f>'Level Calculation Drone Survey'!$Z572</f>
        <v>263.58983809523795</v>
      </c>
      <c r="BC45" s="312">
        <f>'Level Calculation Drone Survey'!$Z572</f>
        <v>263.58983809523795</v>
      </c>
      <c r="BD45" s="312">
        <f>'Level Calculation Drone Survey'!$Z572</f>
        <v>263.58983809523795</v>
      </c>
      <c r="BE45" s="312">
        <f>'Level Calculation Drone Survey'!$Z572</f>
        <v>263.58983809523795</v>
      </c>
      <c r="BF45" s="279">
        <f>'Level Calculation Drone Survey'!$Z159</f>
        <v>263.63983809523796</v>
      </c>
      <c r="BG45" s="279">
        <f>'Level Calculation Drone Survey'!$Z159</f>
        <v>263.63983809523796</v>
      </c>
      <c r="BH45" s="279">
        <f>'Level Calculation Drone Survey'!$Z159</f>
        <v>263.63983809523796</v>
      </c>
      <c r="BI45" s="279">
        <f>'Level Calculation Drone Survey'!$Z159</f>
        <v>263.63983809523796</v>
      </c>
      <c r="BJ45" s="279">
        <f>'Level Calculation Drone Survey'!$Z159</f>
        <v>263.63983809523796</v>
      </c>
      <c r="BK45" s="279">
        <f>'Level Calculation Drone Survey'!$Z159</f>
        <v>263.63983809523796</v>
      </c>
      <c r="BL45" s="279">
        <f>'Level Calculation Drone Survey'!$Z159</f>
        <v>263.63983809523796</v>
      </c>
      <c r="BM45" s="279">
        <f>'Level Calculation Drone Survey'!$Z159</f>
        <v>263.63983809523796</v>
      </c>
      <c r="BN45" s="279">
        <f>'Level Calculation Drone Survey'!$Z159</f>
        <v>263.63983809523796</v>
      </c>
      <c r="BO45" s="279">
        <f>'Level Calculation Drone Survey'!$Z159</f>
        <v>263.63983809523796</v>
      </c>
      <c r="BP45" s="279">
        <f>'Level Calculation Drone Survey'!$Z159</f>
        <v>263.63983809523796</v>
      </c>
      <c r="BQ45" s="279">
        <f>'Level Calculation Drone Survey'!$Z159</f>
        <v>263.63983809523796</v>
      </c>
      <c r="BR45" s="279">
        <f>'Level Calculation Drone Survey'!$Z159</f>
        <v>263.63983809523796</v>
      </c>
      <c r="BS45" s="279">
        <f>'Level Calculation Drone Survey'!$Z159</f>
        <v>263.63983809523796</v>
      </c>
      <c r="BT45" s="279">
        <f>'Level Calculation Drone Survey'!$Z159</f>
        <v>263.63983809523796</v>
      </c>
      <c r="BU45" s="279">
        <f>'Level Calculation Drone Survey'!$Z159</f>
        <v>263.63983809523796</v>
      </c>
      <c r="BV45" s="279">
        <f>'Level Calculation Drone Survey'!$Z159</f>
        <v>263.63983809523796</v>
      </c>
      <c r="BW45" s="279">
        <f>'Level Calculation Drone Survey'!$Z159</f>
        <v>263.63983809523796</v>
      </c>
      <c r="BX45" s="279">
        <f>'Level Calculation Drone Survey'!$Z159</f>
        <v>263.63983809523796</v>
      </c>
      <c r="BY45" s="279">
        <f>'Level Calculation Drone Survey'!$Z159</f>
        <v>263.63983809523796</v>
      </c>
      <c r="BZ45" s="279">
        <f>'Level Calculation Drone Survey'!$Z159</f>
        <v>263.63983809523796</v>
      </c>
      <c r="CA45" s="313">
        <f>'Level Calculation Drone Survey'!$Z626</f>
        <v>263.38540476190468</v>
      </c>
      <c r="CB45" s="313">
        <f>'Level Calculation Drone Survey'!$Z626</f>
        <v>263.38540476190468</v>
      </c>
      <c r="CC45" s="279">
        <f>'Level Calculation Drone Survey'!$Z138</f>
        <v>263.38540476190468</v>
      </c>
      <c r="CD45" s="279">
        <f>'Level Calculation Drone Survey'!$Z138</f>
        <v>263.38540476190468</v>
      </c>
      <c r="CE45" s="279">
        <f>'Level Calculation Drone Survey'!$Z138</f>
        <v>263.38540476190468</v>
      </c>
      <c r="CF45" s="279">
        <f>'Level Calculation Drone Survey'!$Z138</f>
        <v>263.38540476190468</v>
      </c>
      <c r="CG45" s="279">
        <f>'Level Calculation Drone Survey'!$Z138</f>
        <v>263.38540476190468</v>
      </c>
      <c r="CH45" s="279">
        <f>'Level Calculation Drone Survey'!$Z138</f>
        <v>263.38540476190468</v>
      </c>
      <c r="CI45" s="279">
        <f>'Level Calculation Drone Survey'!$Z138</f>
        <v>263.38540476190468</v>
      </c>
      <c r="CJ45" s="279">
        <f>'Level Calculation Drone Survey'!$Z138</f>
        <v>263.38540476190468</v>
      </c>
      <c r="CK45" s="279">
        <f>'Level Calculation Drone Survey'!$Z138</f>
        <v>263.38540476190468</v>
      </c>
      <c r="CL45" s="279">
        <f>'Level Calculation Drone Survey'!$Z138</f>
        <v>263.38540476190468</v>
      </c>
      <c r="CM45" s="279">
        <f>'Level Calculation Drone Survey'!$Z138</f>
        <v>263.38540476190468</v>
      </c>
      <c r="CN45" s="279">
        <f>'Level Calculation Drone Survey'!$Z138</f>
        <v>263.38540476190468</v>
      </c>
      <c r="CO45" s="279">
        <f>'Level Calculation Drone Survey'!$Z138</f>
        <v>263.38540476190468</v>
      </c>
      <c r="CP45" s="279">
        <f>'Level Calculation Drone Survey'!$Z138</f>
        <v>263.38540476190468</v>
      </c>
      <c r="CQ45" s="279">
        <f>'Level Calculation Drone Survey'!$Z138</f>
        <v>263.38540476190468</v>
      </c>
      <c r="CR45" s="279">
        <f>'Level Calculation Drone Survey'!$Z138</f>
        <v>263.38540476190468</v>
      </c>
      <c r="CS45" s="279">
        <f>'Level Calculation Drone Survey'!$Z138</f>
        <v>263.38540476190468</v>
      </c>
      <c r="CT45" s="279">
        <f>'Level Calculation Drone Survey'!$Z138</f>
        <v>263.38540476190468</v>
      </c>
      <c r="CU45" s="279">
        <f>'Level Calculation Drone Survey'!$Z138</f>
        <v>263.38540476190468</v>
      </c>
      <c r="CV45" s="279">
        <f>'Level Calculation Drone Survey'!$Z138</f>
        <v>263.38540476190468</v>
      </c>
      <c r="CW45" s="279">
        <f>'Level Calculation Drone Survey'!$Z138</f>
        <v>263.38540476190468</v>
      </c>
      <c r="CX45" s="316">
        <f>'Level Calculation Drone Survey'!$Z522</f>
        <v>263.14016666666652</v>
      </c>
      <c r="CY45" s="279">
        <f>'Level Calculation Drone Survey'!$Z117</f>
        <v>263.19016666666653</v>
      </c>
      <c r="CZ45" s="279">
        <f>'Level Calculation Drone Survey'!$Z117</f>
        <v>263.19016666666653</v>
      </c>
      <c r="DA45" s="279">
        <f>'Level Calculation Drone Survey'!$Z117</f>
        <v>263.19016666666653</v>
      </c>
      <c r="DB45" s="279">
        <f>'Level Calculation Drone Survey'!$Z117</f>
        <v>263.19016666666653</v>
      </c>
      <c r="DC45" s="279">
        <f>'Level Calculation Drone Survey'!$Z117</f>
        <v>263.19016666666653</v>
      </c>
      <c r="DD45" s="279">
        <f>'Level Calculation Drone Survey'!$Z117</f>
        <v>263.19016666666653</v>
      </c>
      <c r="DE45" s="279">
        <f>'Level Calculation Drone Survey'!$Z117</f>
        <v>263.19016666666653</v>
      </c>
      <c r="DF45" s="279">
        <f>'Level Calculation Drone Survey'!$Z117</f>
        <v>263.19016666666653</v>
      </c>
      <c r="DG45" s="279">
        <f>'Level Calculation Drone Survey'!$Z117</f>
        <v>263.19016666666653</v>
      </c>
      <c r="DH45" s="279">
        <f>'Level Calculation Drone Survey'!$Z117</f>
        <v>263.19016666666653</v>
      </c>
      <c r="DI45" s="279">
        <f>'Level Calculation Drone Survey'!$Z117</f>
        <v>263.19016666666653</v>
      </c>
      <c r="DJ45" s="279">
        <f>'Level Calculation Drone Survey'!$Z117</f>
        <v>263.19016666666653</v>
      </c>
      <c r="DK45" s="279">
        <f>'Level Calculation Drone Survey'!$Z117</f>
        <v>263.19016666666653</v>
      </c>
      <c r="DL45" s="279">
        <f>'Level Calculation Drone Survey'!$Z117</f>
        <v>263.19016666666653</v>
      </c>
      <c r="DM45" s="279">
        <f>'Level Calculation Drone Survey'!$Z117</f>
        <v>263.19016666666653</v>
      </c>
      <c r="DN45" s="279">
        <f>'Level Calculation Drone Survey'!$Z117</f>
        <v>263.19016666666653</v>
      </c>
      <c r="DO45" s="279">
        <f>'Level Calculation Drone Survey'!$Z117</f>
        <v>263.19016666666653</v>
      </c>
      <c r="DP45" s="279">
        <f>'Level Calculation Drone Survey'!$Z117</f>
        <v>263.19016666666653</v>
      </c>
      <c r="DQ45" s="279">
        <f>'Level Calculation Drone Survey'!$Z117</f>
        <v>263.19016666666653</v>
      </c>
      <c r="DR45" s="279">
        <f>'Level Calculation Drone Survey'!$Z117</f>
        <v>263.19016666666653</v>
      </c>
      <c r="DS45" s="279">
        <f>'Level Calculation Drone Survey'!$Z117</f>
        <v>263.19016666666653</v>
      </c>
      <c r="DT45" s="313">
        <f>'Level Calculation Drone Survey'!$Z701</f>
        <v>263.09016666666651</v>
      </c>
      <c r="DU45" s="313">
        <f>'Level Calculation Drone Survey'!$Z701</f>
        <v>263.09016666666651</v>
      </c>
      <c r="DV45" s="279">
        <f>'Level Calculation Drone Survey'!$Z35</f>
        <v>263.19499374999998</v>
      </c>
      <c r="DW45" s="279">
        <f>'Level Calculation Drone Survey'!$Z35</f>
        <v>263.19499374999998</v>
      </c>
      <c r="DX45" s="279">
        <f>'Level Calculation Drone Survey'!$Z35</f>
        <v>263.19499374999998</v>
      </c>
      <c r="DY45" s="279">
        <f>'Level Calculation Drone Survey'!$Z35</f>
        <v>263.19499374999998</v>
      </c>
      <c r="DZ45" s="279">
        <f>'Level Calculation Drone Survey'!$Z35</f>
        <v>263.19499374999998</v>
      </c>
      <c r="EA45" s="279">
        <f>'Level Calculation Drone Survey'!$Z35</f>
        <v>263.19499374999998</v>
      </c>
      <c r="EB45" s="279">
        <f>'Level Calculation Drone Survey'!$Z35</f>
        <v>263.19499374999998</v>
      </c>
      <c r="EC45" s="279">
        <f>'Level Calculation Drone Survey'!$Z35</f>
        <v>263.19499374999998</v>
      </c>
      <c r="ED45" s="279">
        <f>'Level Calculation Drone Survey'!$Z35</f>
        <v>263.19499374999998</v>
      </c>
      <c r="EE45" s="279">
        <f>'Level Calculation Drone Survey'!$Z35</f>
        <v>263.19499374999998</v>
      </c>
      <c r="EF45" s="279">
        <f>'Level Calculation Drone Survey'!$Z35</f>
        <v>263.19499374999998</v>
      </c>
      <c r="EG45" s="279">
        <f>'Level Calculation Drone Survey'!$Z35</f>
        <v>263.19499374999998</v>
      </c>
      <c r="EH45" s="279">
        <f>'Level Calculation Drone Survey'!$Z35</f>
        <v>263.19499374999998</v>
      </c>
      <c r="EI45" s="279">
        <f>'Level Calculation Drone Survey'!$Z35</f>
        <v>263.19499374999998</v>
      </c>
      <c r="EJ45" s="279">
        <f>'Level Calculation Drone Survey'!$Z35</f>
        <v>263.19499374999998</v>
      </c>
      <c r="EK45" s="279">
        <f>'Level Calculation Drone Survey'!$Z35</f>
        <v>263.19499374999998</v>
      </c>
      <c r="EL45" s="318">
        <f>'Level Calculation Drone Survey'!$Z760</f>
        <v>263.19999375000003</v>
      </c>
      <c r="EM45" s="325">
        <f>'Level Calculation Drone Survey'!$Z760</f>
        <v>263.19999375000003</v>
      </c>
      <c r="EN45" s="325">
        <f>'Level Calculation Drone Survey'!$Z760</f>
        <v>263.19999375000003</v>
      </c>
      <c r="EO45" s="325">
        <f>'Level Calculation Drone Survey'!$Z760</f>
        <v>263.19999375000003</v>
      </c>
      <c r="EP45" s="325">
        <f>'Level Calculation Drone Survey'!$Z760</f>
        <v>263.19999375000003</v>
      </c>
      <c r="EQ45" s="325">
        <f>'Level Calculation Drone Survey'!$Z760</f>
        <v>263.19999375000003</v>
      </c>
      <c r="ER45" s="325">
        <f>'Level Calculation Drone Survey'!$Z760</f>
        <v>263.19999375000003</v>
      </c>
      <c r="ES45" s="325">
        <f>'Level Calculation Drone Survey'!$Z760</f>
        <v>263.19999375000003</v>
      </c>
      <c r="ET45" s="325">
        <f>'Level Calculation Drone Survey'!$Z760</f>
        <v>263.19999375000003</v>
      </c>
      <c r="EU45" s="325">
        <f>'Level Calculation Drone Survey'!$Z760</f>
        <v>263.19999375000003</v>
      </c>
      <c r="EV45" s="318">
        <f>'Level Calculation Drone Survey'!$Z760</f>
        <v>263.19999375000003</v>
      </c>
      <c r="EW45" s="191"/>
      <c r="EX45" s="191"/>
      <c r="EY45" s="191"/>
    </row>
    <row r="46" spans="1:155" ht="45" customHeight="1" x14ac:dyDescent="0.45">
      <c r="A46" s="277">
        <v>225</v>
      </c>
      <c r="B46" s="305">
        <f>'Level Calculation Drone Survey'!$Z279</f>
        <v>263.7748049999999</v>
      </c>
      <c r="C46" s="305">
        <f>'Level Calculation Drone Survey'!$Z279</f>
        <v>263.7748049999999</v>
      </c>
      <c r="D46" s="305">
        <f>'Level Calculation Drone Survey'!$Z279</f>
        <v>263.7748049999999</v>
      </c>
      <c r="E46" s="305">
        <f>'Level Calculation Drone Survey'!$Z279</f>
        <v>263.7748049999999</v>
      </c>
      <c r="F46" s="279">
        <f>'Level Calculation Drone Survey'!$Z223</f>
        <v>263.87480499999992</v>
      </c>
      <c r="G46" s="279">
        <f>'Level Calculation Drone Survey'!$Z223</f>
        <v>263.87480499999992</v>
      </c>
      <c r="H46" s="279">
        <f>'Level Calculation Drone Survey'!$Z223</f>
        <v>263.87480499999992</v>
      </c>
      <c r="I46" s="279">
        <f>'Level Calculation Drone Survey'!$Z223</f>
        <v>263.87480499999992</v>
      </c>
      <c r="J46" s="279">
        <f>'Level Calculation Drone Survey'!$Z223</f>
        <v>263.87480499999992</v>
      </c>
      <c r="K46" s="279">
        <f>'Level Calculation Drone Survey'!$Z223</f>
        <v>263.87480499999992</v>
      </c>
      <c r="L46" s="279">
        <f>'Level Calculation Drone Survey'!$Z223</f>
        <v>263.87480499999992</v>
      </c>
      <c r="M46" s="279">
        <f>'Level Calculation Drone Survey'!$Z223</f>
        <v>263.87480499999992</v>
      </c>
      <c r="N46" s="279">
        <f>'Level Calculation Drone Survey'!$Z223</f>
        <v>263.87480499999992</v>
      </c>
      <c r="O46" s="279">
        <f>'Level Calculation Drone Survey'!$Z223</f>
        <v>263.87480499999992</v>
      </c>
      <c r="P46" s="279">
        <f>'Level Calculation Drone Survey'!$Z223</f>
        <v>263.87480499999992</v>
      </c>
      <c r="Q46" s="279">
        <f>'Level Calculation Drone Survey'!$Z223</f>
        <v>263.87480499999992</v>
      </c>
      <c r="R46" s="279">
        <f>'Level Calculation Drone Survey'!$Z223</f>
        <v>263.87480499999992</v>
      </c>
      <c r="S46" s="279">
        <f>'Level Calculation Drone Survey'!$Z223</f>
        <v>263.87480499999992</v>
      </c>
      <c r="T46" s="279">
        <f>'Level Calculation Drone Survey'!$Z223</f>
        <v>263.87480499999992</v>
      </c>
      <c r="U46" s="279">
        <f>'Level Calculation Drone Survey'!$Z223</f>
        <v>263.87480499999992</v>
      </c>
      <c r="V46" s="305">
        <f>'Level Calculation Drone Survey'!$Z380</f>
        <v>263.87480499999992</v>
      </c>
      <c r="W46" s="305">
        <f>'Level Calculation Drone Survey'!$Z380</f>
        <v>263.87480499999992</v>
      </c>
      <c r="X46" s="305">
        <f>'Level Calculation Drone Survey'!$Z380</f>
        <v>263.87480499999992</v>
      </c>
      <c r="Y46" s="305"/>
      <c r="Z46" s="191"/>
      <c r="AA46" s="191"/>
      <c r="AB46" s="191"/>
      <c r="AC46" s="191"/>
      <c r="AD46" s="191"/>
      <c r="AE46" s="191"/>
      <c r="AF46" s="191"/>
      <c r="AG46" s="191"/>
      <c r="AH46" s="191"/>
      <c r="AI46" s="191"/>
      <c r="AJ46" s="191"/>
      <c r="AK46" s="191"/>
      <c r="AL46" s="191"/>
      <c r="AM46" s="191"/>
      <c r="AN46" s="191"/>
      <c r="AO46" s="191"/>
      <c r="AP46" s="191"/>
      <c r="AQ46" s="191"/>
      <c r="AR46" s="191"/>
      <c r="AS46" s="191"/>
      <c r="AT46" s="191"/>
      <c r="AU46" s="191"/>
      <c r="AV46" s="191"/>
      <c r="AW46" s="191"/>
      <c r="AX46" s="191"/>
      <c r="AY46" s="191"/>
      <c r="AZ46" s="312">
        <f>'Level Calculation Drone Survey'!$Z573</f>
        <v>263.63983809523796</v>
      </c>
      <c r="BA46" s="312">
        <f>'Level Calculation Drone Survey'!$Z573</f>
        <v>263.63983809523796</v>
      </c>
      <c r="BB46" s="312">
        <f>'Level Calculation Drone Survey'!$Z573</f>
        <v>263.63983809523796</v>
      </c>
      <c r="BC46" s="312">
        <f>'Level Calculation Drone Survey'!$Z573</f>
        <v>263.63983809523796</v>
      </c>
      <c r="BD46" s="312">
        <f>'Level Calculation Drone Survey'!$Z573</f>
        <v>263.63983809523796</v>
      </c>
      <c r="BE46" s="312">
        <f>'Level Calculation Drone Survey'!$Z573</f>
        <v>263.63983809523796</v>
      </c>
      <c r="BF46" s="279">
        <f>'Level Calculation Drone Survey'!$Z160</f>
        <v>263.68983809523797</v>
      </c>
      <c r="BG46" s="279">
        <f>'Level Calculation Drone Survey'!$Z160</f>
        <v>263.68983809523797</v>
      </c>
      <c r="BH46" s="279">
        <f>'Level Calculation Drone Survey'!$Z160</f>
        <v>263.68983809523797</v>
      </c>
      <c r="BI46" s="279">
        <f>'Level Calculation Drone Survey'!$Z160</f>
        <v>263.68983809523797</v>
      </c>
      <c r="BJ46" s="279">
        <f>'Level Calculation Drone Survey'!$Z160</f>
        <v>263.68983809523797</v>
      </c>
      <c r="BK46" s="279">
        <f>'Level Calculation Drone Survey'!$Z160</f>
        <v>263.68983809523797</v>
      </c>
      <c r="BL46" s="279">
        <f>'Level Calculation Drone Survey'!$Z160</f>
        <v>263.68983809523797</v>
      </c>
      <c r="BM46" s="279">
        <f>'Level Calculation Drone Survey'!$Z160</f>
        <v>263.68983809523797</v>
      </c>
      <c r="BN46" s="279">
        <f>'Level Calculation Drone Survey'!$Z160</f>
        <v>263.68983809523797</v>
      </c>
      <c r="BO46" s="279">
        <f>'Level Calculation Drone Survey'!$Z160</f>
        <v>263.68983809523797</v>
      </c>
      <c r="BP46" s="279">
        <f>'Level Calculation Drone Survey'!$Z160</f>
        <v>263.68983809523797</v>
      </c>
      <c r="BQ46" s="279">
        <f>'Level Calculation Drone Survey'!$Z160</f>
        <v>263.68983809523797</v>
      </c>
      <c r="BR46" s="279">
        <f>'Level Calculation Drone Survey'!$Z160</f>
        <v>263.68983809523797</v>
      </c>
      <c r="BS46" s="279">
        <f>'Level Calculation Drone Survey'!$Z160</f>
        <v>263.68983809523797</v>
      </c>
      <c r="BT46" s="279">
        <f>'Level Calculation Drone Survey'!$Z160</f>
        <v>263.68983809523797</v>
      </c>
      <c r="BU46" s="279">
        <f>'Level Calculation Drone Survey'!$Z160</f>
        <v>263.68983809523797</v>
      </c>
      <c r="BV46" s="279">
        <f>'Level Calculation Drone Survey'!$Z160</f>
        <v>263.68983809523797</v>
      </c>
      <c r="BW46" s="279">
        <f>'Level Calculation Drone Survey'!$Z160</f>
        <v>263.68983809523797</v>
      </c>
      <c r="BX46" s="279">
        <f>'Level Calculation Drone Survey'!$Z160</f>
        <v>263.68983809523797</v>
      </c>
      <c r="BY46" s="279">
        <f>'Level Calculation Drone Survey'!$Z160</f>
        <v>263.68983809523797</v>
      </c>
      <c r="BZ46" s="279">
        <f>'Level Calculation Drone Survey'!$Z160</f>
        <v>263.68983809523797</v>
      </c>
      <c r="CA46" s="313">
        <f>'Level Calculation Drone Survey'!$Z627</f>
        <v>263.43540476190469</v>
      </c>
      <c r="CB46" s="313">
        <f>'Level Calculation Drone Survey'!$Z627</f>
        <v>263.43540476190469</v>
      </c>
      <c r="CC46" s="279">
        <f>'Level Calculation Drone Survey'!$Z139</f>
        <v>263.43540476190469</v>
      </c>
      <c r="CD46" s="279">
        <f>'Level Calculation Drone Survey'!$Z139</f>
        <v>263.43540476190469</v>
      </c>
      <c r="CE46" s="279">
        <f>'Level Calculation Drone Survey'!$Z139</f>
        <v>263.43540476190469</v>
      </c>
      <c r="CF46" s="279">
        <f>'Level Calculation Drone Survey'!$Z139</f>
        <v>263.43540476190469</v>
      </c>
      <c r="CG46" s="279">
        <f>'Level Calculation Drone Survey'!$Z139</f>
        <v>263.43540476190469</v>
      </c>
      <c r="CH46" s="279">
        <f>'Level Calculation Drone Survey'!$Z139</f>
        <v>263.43540476190469</v>
      </c>
      <c r="CI46" s="279">
        <f>'Level Calculation Drone Survey'!$Z139</f>
        <v>263.43540476190469</v>
      </c>
      <c r="CJ46" s="279">
        <f>'Level Calculation Drone Survey'!$Z139</f>
        <v>263.43540476190469</v>
      </c>
      <c r="CK46" s="279">
        <f>'Level Calculation Drone Survey'!$Z139</f>
        <v>263.43540476190469</v>
      </c>
      <c r="CL46" s="279">
        <f>'Level Calculation Drone Survey'!$Z139</f>
        <v>263.43540476190469</v>
      </c>
      <c r="CM46" s="279">
        <f>'Level Calculation Drone Survey'!$Z139</f>
        <v>263.43540476190469</v>
      </c>
      <c r="CN46" s="279">
        <f>'Level Calculation Drone Survey'!$Z139</f>
        <v>263.43540476190469</v>
      </c>
      <c r="CO46" s="279">
        <f>'Level Calculation Drone Survey'!$Z139</f>
        <v>263.43540476190469</v>
      </c>
      <c r="CP46" s="279">
        <f>'Level Calculation Drone Survey'!$Z139</f>
        <v>263.43540476190469</v>
      </c>
      <c r="CQ46" s="279">
        <f>'Level Calculation Drone Survey'!$Z139</f>
        <v>263.43540476190469</v>
      </c>
      <c r="CR46" s="279">
        <f>'Level Calculation Drone Survey'!$Z139</f>
        <v>263.43540476190469</v>
      </c>
      <c r="CS46" s="279">
        <f>'Level Calculation Drone Survey'!$Z139</f>
        <v>263.43540476190469</v>
      </c>
      <c r="CT46" s="279">
        <f>'Level Calculation Drone Survey'!$Z139</f>
        <v>263.43540476190469</v>
      </c>
      <c r="CU46" s="279">
        <f>'Level Calculation Drone Survey'!$Z139</f>
        <v>263.43540476190469</v>
      </c>
      <c r="CV46" s="279">
        <f>'Level Calculation Drone Survey'!$Z139</f>
        <v>263.43540476190469</v>
      </c>
      <c r="CW46" s="279">
        <f>'Level Calculation Drone Survey'!$Z139</f>
        <v>263.43540476190469</v>
      </c>
      <c r="CX46" s="316">
        <f>'Level Calculation Drone Survey'!$Z523</f>
        <v>263.19016666666653</v>
      </c>
      <c r="CY46" s="279">
        <f>'Level Calculation Drone Survey'!$Z118</f>
        <v>263.24016666666654</v>
      </c>
      <c r="CZ46" s="279">
        <f>'Level Calculation Drone Survey'!$Z118</f>
        <v>263.24016666666654</v>
      </c>
      <c r="DA46" s="279">
        <f>'Level Calculation Drone Survey'!$Z118</f>
        <v>263.24016666666654</v>
      </c>
      <c r="DB46" s="279">
        <f>'Level Calculation Drone Survey'!$Z118</f>
        <v>263.24016666666654</v>
      </c>
      <c r="DC46" s="279">
        <f>'Level Calculation Drone Survey'!$Z118</f>
        <v>263.24016666666654</v>
      </c>
      <c r="DD46" s="279">
        <f>'Level Calculation Drone Survey'!$Z118</f>
        <v>263.24016666666654</v>
      </c>
      <c r="DE46" s="279">
        <f>'Level Calculation Drone Survey'!$Z118</f>
        <v>263.24016666666654</v>
      </c>
      <c r="DF46" s="279">
        <f>'Level Calculation Drone Survey'!$Z118</f>
        <v>263.24016666666654</v>
      </c>
      <c r="DG46" s="279">
        <f>'Level Calculation Drone Survey'!$Z118</f>
        <v>263.24016666666654</v>
      </c>
      <c r="DH46" s="279">
        <f>'Level Calculation Drone Survey'!$Z118</f>
        <v>263.24016666666654</v>
      </c>
      <c r="DI46" s="279">
        <f>'Level Calculation Drone Survey'!$Z118</f>
        <v>263.24016666666654</v>
      </c>
      <c r="DJ46" s="279">
        <f>'Level Calculation Drone Survey'!$Z118</f>
        <v>263.24016666666654</v>
      </c>
      <c r="DK46" s="279">
        <f>'Level Calculation Drone Survey'!$Z118</f>
        <v>263.24016666666654</v>
      </c>
      <c r="DL46" s="279">
        <f>'Level Calculation Drone Survey'!$Z118</f>
        <v>263.24016666666654</v>
      </c>
      <c r="DM46" s="279">
        <f>'Level Calculation Drone Survey'!$Z118</f>
        <v>263.24016666666654</v>
      </c>
      <c r="DN46" s="279">
        <f>'Level Calculation Drone Survey'!$Z118</f>
        <v>263.24016666666654</v>
      </c>
      <c r="DO46" s="279">
        <f>'Level Calculation Drone Survey'!$Z118</f>
        <v>263.24016666666654</v>
      </c>
      <c r="DP46" s="279">
        <f>'Level Calculation Drone Survey'!$Z118</f>
        <v>263.24016666666654</v>
      </c>
      <c r="DQ46" s="279">
        <f>'Level Calculation Drone Survey'!$Z118</f>
        <v>263.24016666666654</v>
      </c>
      <c r="DR46" s="279">
        <f>'Level Calculation Drone Survey'!$Z118</f>
        <v>263.24016666666654</v>
      </c>
      <c r="DS46" s="279">
        <f>'Level Calculation Drone Survey'!$Z118</f>
        <v>263.24016666666654</v>
      </c>
      <c r="DT46" s="313">
        <f>'Level Calculation Drone Survey'!$Z702</f>
        <v>263.14016666666652</v>
      </c>
      <c r="DU46" s="313">
        <f>'Level Calculation Drone Survey'!$Z702</f>
        <v>263.14016666666652</v>
      </c>
      <c r="DV46" s="279">
        <f>'Level Calculation Drone Survey'!$Z36</f>
        <v>263.24499374999999</v>
      </c>
      <c r="DW46" s="279">
        <f>'Level Calculation Drone Survey'!$Z36</f>
        <v>263.24499374999999</v>
      </c>
      <c r="DX46" s="279">
        <f>'Level Calculation Drone Survey'!$Z36</f>
        <v>263.24499374999999</v>
      </c>
      <c r="DY46" s="279">
        <f>'Level Calculation Drone Survey'!$Z36</f>
        <v>263.24499374999999</v>
      </c>
      <c r="DZ46" s="279">
        <f>'Level Calculation Drone Survey'!$Z36</f>
        <v>263.24499374999999</v>
      </c>
      <c r="EA46" s="279">
        <f>'Level Calculation Drone Survey'!$Z36</f>
        <v>263.24499374999999</v>
      </c>
      <c r="EB46" s="279">
        <f>'Level Calculation Drone Survey'!$Z36</f>
        <v>263.24499374999999</v>
      </c>
      <c r="EC46" s="279">
        <f>'Level Calculation Drone Survey'!$Z36</f>
        <v>263.24499374999999</v>
      </c>
      <c r="ED46" s="279">
        <f>'Level Calculation Drone Survey'!$Z36</f>
        <v>263.24499374999999</v>
      </c>
      <c r="EE46" s="279">
        <f>'Level Calculation Drone Survey'!$Z36</f>
        <v>263.24499374999999</v>
      </c>
      <c r="EF46" s="279">
        <f>'Level Calculation Drone Survey'!$Z36</f>
        <v>263.24499374999999</v>
      </c>
      <c r="EG46" s="279">
        <f>'Level Calculation Drone Survey'!$Z36</f>
        <v>263.24499374999999</v>
      </c>
      <c r="EH46" s="279">
        <f>'Level Calculation Drone Survey'!$Z36</f>
        <v>263.24499374999999</v>
      </c>
      <c r="EI46" s="279">
        <f>'Level Calculation Drone Survey'!$Z36</f>
        <v>263.24499374999999</v>
      </c>
      <c r="EJ46" s="279">
        <f>'Level Calculation Drone Survey'!$Z36</f>
        <v>263.24499374999999</v>
      </c>
      <c r="EK46" s="279">
        <f>'Level Calculation Drone Survey'!$Z36</f>
        <v>263.24499374999999</v>
      </c>
      <c r="EL46" s="318">
        <f>'Level Calculation Drone Survey'!$Z761</f>
        <v>263.19999375000003</v>
      </c>
      <c r="EM46" s="325">
        <f>'Level Calculation Drone Survey'!$Z761</f>
        <v>263.19999375000003</v>
      </c>
      <c r="EN46" s="325">
        <f>'Level Calculation Drone Survey'!$Z761</f>
        <v>263.19999375000003</v>
      </c>
      <c r="EO46" s="325">
        <f>'Level Calculation Drone Survey'!$Z761</f>
        <v>263.19999375000003</v>
      </c>
      <c r="EP46" s="325">
        <f>'Level Calculation Drone Survey'!$Z761</f>
        <v>263.19999375000003</v>
      </c>
      <c r="EQ46" s="325">
        <f>'Level Calculation Drone Survey'!$Z761</f>
        <v>263.19999375000003</v>
      </c>
      <c r="ER46" s="325">
        <f>'Level Calculation Drone Survey'!$Z761</f>
        <v>263.19999375000003</v>
      </c>
      <c r="ES46" s="325">
        <f>'Level Calculation Drone Survey'!$Z761</f>
        <v>263.19999375000003</v>
      </c>
      <c r="ET46" s="325">
        <f>'Level Calculation Drone Survey'!$Z761</f>
        <v>263.19999375000003</v>
      </c>
      <c r="EU46" s="325">
        <f>'Level Calculation Drone Survey'!$Z761</f>
        <v>263.19999375000003</v>
      </c>
      <c r="EV46" s="318">
        <f>'Level Calculation Drone Survey'!$Z761</f>
        <v>263.19999375000003</v>
      </c>
      <c r="EW46" s="191"/>
      <c r="EX46" s="191"/>
      <c r="EY46" s="191"/>
    </row>
    <row r="47" spans="1:155" ht="45" customHeight="1" x14ac:dyDescent="0.45">
      <c r="A47" s="277">
        <v>230</v>
      </c>
      <c r="B47" s="305">
        <f>'Level Calculation Drone Survey'!$Z280</f>
        <v>263.82480499999991</v>
      </c>
      <c r="C47" s="305">
        <f>'Level Calculation Drone Survey'!$Z280</f>
        <v>263.82480499999991</v>
      </c>
      <c r="D47" s="305">
        <f>'Level Calculation Drone Survey'!$Z280</f>
        <v>263.82480499999991</v>
      </c>
      <c r="E47" s="305">
        <f>'Level Calculation Drone Survey'!$Z280</f>
        <v>263.82480499999991</v>
      </c>
      <c r="F47" s="279">
        <f>'Level Calculation Drone Survey'!$Z224</f>
        <v>263.92480499999994</v>
      </c>
      <c r="G47" s="279">
        <f>'Level Calculation Drone Survey'!$Z224</f>
        <v>263.92480499999994</v>
      </c>
      <c r="H47" s="279">
        <f>'Level Calculation Drone Survey'!$Z224</f>
        <v>263.92480499999994</v>
      </c>
      <c r="I47" s="279">
        <f>'Level Calculation Drone Survey'!$Z224</f>
        <v>263.92480499999994</v>
      </c>
      <c r="J47" s="279">
        <f>'Level Calculation Drone Survey'!$Z224</f>
        <v>263.92480499999994</v>
      </c>
      <c r="K47" s="279">
        <f>'Level Calculation Drone Survey'!$Z224</f>
        <v>263.92480499999994</v>
      </c>
      <c r="L47" s="279">
        <f>'Level Calculation Drone Survey'!$Z224</f>
        <v>263.92480499999994</v>
      </c>
      <c r="M47" s="279">
        <f>'Level Calculation Drone Survey'!$Z224</f>
        <v>263.92480499999994</v>
      </c>
      <c r="N47" s="279">
        <f>'Level Calculation Drone Survey'!$Z224</f>
        <v>263.92480499999994</v>
      </c>
      <c r="O47" s="279">
        <f>'Level Calculation Drone Survey'!$Z224</f>
        <v>263.92480499999994</v>
      </c>
      <c r="P47" s="279">
        <f>'Level Calculation Drone Survey'!$Z224</f>
        <v>263.92480499999994</v>
      </c>
      <c r="Q47" s="279">
        <f>'Level Calculation Drone Survey'!$Z224</f>
        <v>263.92480499999994</v>
      </c>
      <c r="R47" s="279">
        <f>'Level Calculation Drone Survey'!$Z224</f>
        <v>263.92480499999994</v>
      </c>
      <c r="S47" s="279">
        <f>'Level Calculation Drone Survey'!$Z224</f>
        <v>263.92480499999994</v>
      </c>
      <c r="T47" s="279">
        <f>'Level Calculation Drone Survey'!$Z224</f>
        <v>263.92480499999994</v>
      </c>
      <c r="U47" s="279">
        <f>'Level Calculation Drone Survey'!$Z224</f>
        <v>263.92480499999994</v>
      </c>
      <c r="V47" s="305">
        <f>'Level Calculation Drone Survey'!$Z381</f>
        <v>263.92480499999994</v>
      </c>
      <c r="W47" s="305">
        <f>'Level Calculation Drone Survey'!$Z381</f>
        <v>263.92480499999994</v>
      </c>
      <c r="X47" s="305">
        <f>'Level Calculation Drone Survey'!$Z381</f>
        <v>263.92480499999994</v>
      </c>
      <c r="Y47" s="305"/>
      <c r="Z47" s="191"/>
      <c r="AA47" s="191"/>
      <c r="AB47" s="191"/>
      <c r="AC47" s="191"/>
      <c r="AD47" s="191"/>
      <c r="AE47" s="191"/>
      <c r="AF47" s="191"/>
      <c r="AG47" s="191"/>
      <c r="AH47" s="191"/>
      <c r="AI47" s="191"/>
      <c r="AJ47" s="191"/>
      <c r="AK47" s="191"/>
      <c r="AL47" s="191"/>
      <c r="AM47" s="191"/>
      <c r="AN47" s="191"/>
      <c r="AO47" s="191"/>
      <c r="AP47" s="191"/>
      <c r="AQ47" s="191"/>
      <c r="AR47" s="191"/>
      <c r="AS47" s="191"/>
      <c r="AT47" s="191"/>
      <c r="AU47" s="191"/>
      <c r="AV47" s="191"/>
      <c r="AW47" s="191"/>
      <c r="AX47" s="191"/>
      <c r="AY47" s="191"/>
      <c r="AZ47" s="312">
        <f>'Level Calculation Drone Survey'!$Z574</f>
        <v>263.68983809523797</v>
      </c>
      <c r="BA47" s="312">
        <f>'Level Calculation Drone Survey'!$Z574</f>
        <v>263.68983809523797</v>
      </c>
      <c r="BB47" s="312">
        <f>'Level Calculation Drone Survey'!$Z574</f>
        <v>263.68983809523797</v>
      </c>
      <c r="BC47" s="312">
        <f>'Level Calculation Drone Survey'!$Z574</f>
        <v>263.68983809523797</v>
      </c>
      <c r="BD47" s="312">
        <f>'Level Calculation Drone Survey'!$Z574</f>
        <v>263.68983809523797</v>
      </c>
      <c r="BE47" s="312">
        <f>'Level Calculation Drone Survey'!$Z574</f>
        <v>263.68983809523797</v>
      </c>
      <c r="BF47" s="279">
        <f>'Level Calculation Drone Survey'!$Z161</f>
        <v>263.73983809523799</v>
      </c>
      <c r="BG47" s="279">
        <f>'Level Calculation Drone Survey'!$Z161</f>
        <v>263.73983809523799</v>
      </c>
      <c r="BH47" s="279">
        <f>'Level Calculation Drone Survey'!$Z161</f>
        <v>263.73983809523799</v>
      </c>
      <c r="BI47" s="279">
        <f>'Level Calculation Drone Survey'!$Z161</f>
        <v>263.73983809523799</v>
      </c>
      <c r="BJ47" s="279">
        <f>'Level Calculation Drone Survey'!$Z161</f>
        <v>263.73983809523799</v>
      </c>
      <c r="BK47" s="279">
        <f>'Level Calculation Drone Survey'!$Z161</f>
        <v>263.73983809523799</v>
      </c>
      <c r="BL47" s="279">
        <f>'Level Calculation Drone Survey'!$Z161</f>
        <v>263.73983809523799</v>
      </c>
      <c r="BM47" s="279">
        <f>'Level Calculation Drone Survey'!$Z161</f>
        <v>263.73983809523799</v>
      </c>
      <c r="BN47" s="279">
        <f>'Level Calculation Drone Survey'!$Z161</f>
        <v>263.73983809523799</v>
      </c>
      <c r="BO47" s="279">
        <f>'Level Calculation Drone Survey'!$Z161</f>
        <v>263.73983809523799</v>
      </c>
      <c r="BP47" s="279">
        <f>'Level Calculation Drone Survey'!$Z161</f>
        <v>263.73983809523799</v>
      </c>
      <c r="BQ47" s="279">
        <f>'Level Calculation Drone Survey'!$Z161</f>
        <v>263.73983809523799</v>
      </c>
      <c r="BR47" s="279">
        <f>'Level Calculation Drone Survey'!$Z161</f>
        <v>263.73983809523799</v>
      </c>
      <c r="BS47" s="279">
        <f>'Level Calculation Drone Survey'!$Z161</f>
        <v>263.73983809523799</v>
      </c>
      <c r="BT47" s="279">
        <f>'Level Calculation Drone Survey'!$Z161</f>
        <v>263.73983809523799</v>
      </c>
      <c r="BU47" s="279">
        <f>'Level Calculation Drone Survey'!$Z161</f>
        <v>263.73983809523799</v>
      </c>
      <c r="BV47" s="279">
        <f>'Level Calculation Drone Survey'!$Z161</f>
        <v>263.73983809523799</v>
      </c>
      <c r="BW47" s="279">
        <f>'Level Calculation Drone Survey'!$Z161</f>
        <v>263.73983809523799</v>
      </c>
      <c r="BX47" s="279">
        <f>'Level Calculation Drone Survey'!$Z161</f>
        <v>263.73983809523799</v>
      </c>
      <c r="BY47" s="279">
        <f>'Level Calculation Drone Survey'!$Z161</f>
        <v>263.73983809523799</v>
      </c>
      <c r="BZ47" s="279">
        <f>'Level Calculation Drone Survey'!$Z161</f>
        <v>263.73983809523799</v>
      </c>
      <c r="CA47" s="313">
        <f>'Level Calculation Drone Survey'!$Z628</f>
        <v>263.4854047619047</v>
      </c>
      <c r="CB47" s="313">
        <f>'Level Calculation Drone Survey'!$Z628</f>
        <v>263.4854047619047</v>
      </c>
      <c r="CC47" s="279">
        <f>'Level Calculation Drone Survey'!$Z140</f>
        <v>263.4854047619047</v>
      </c>
      <c r="CD47" s="279">
        <f>'Level Calculation Drone Survey'!$Z140</f>
        <v>263.4854047619047</v>
      </c>
      <c r="CE47" s="279">
        <f>'Level Calculation Drone Survey'!$Z140</f>
        <v>263.4854047619047</v>
      </c>
      <c r="CF47" s="279">
        <f>'Level Calculation Drone Survey'!$Z140</f>
        <v>263.4854047619047</v>
      </c>
      <c r="CG47" s="279">
        <f>'Level Calculation Drone Survey'!$Z140</f>
        <v>263.4854047619047</v>
      </c>
      <c r="CH47" s="279">
        <f>'Level Calculation Drone Survey'!$Z140</f>
        <v>263.4854047619047</v>
      </c>
      <c r="CI47" s="279">
        <f>'Level Calculation Drone Survey'!$Z140</f>
        <v>263.4854047619047</v>
      </c>
      <c r="CJ47" s="279">
        <f>'Level Calculation Drone Survey'!$Z140</f>
        <v>263.4854047619047</v>
      </c>
      <c r="CK47" s="279">
        <f>'Level Calculation Drone Survey'!$Z140</f>
        <v>263.4854047619047</v>
      </c>
      <c r="CL47" s="279">
        <f>'Level Calculation Drone Survey'!$Z140</f>
        <v>263.4854047619047</v>
      </c>
      <c r="CM47" s="279">
        <f>'Level Calculation Drone Survey'!$Z140</f>
        <v>263.4854047619047</v>
      </c>
      <c r="CN47" s="279">
        <f>'Level Calculation Drone Survey'!$Z140</f>
        <v>263.4854047619047</v>
      </c>
      <c r="CO47" s="279">
        <f>'Level Calculation Drone Survey'!$Z140</f>
        <v>263.4854047619047</v>
      </c>
      <c r="CP47" s="279">
        <f>'Level Calculation Drone Survey'!$Z140</f>
        <v>263.4854047619047</v>
      </c>
      <c r="CQ47" s="279">
        <f>'Level Calculation Drone Survey'!$Z140</f>
        <v>263.4854047619047</v>
      </c>
      <c r="CR47" s="279">
        <f>'Level Calculation Drone Survey'!$Z140</f>
        <v>263.4854047619047</v>
      </c>
      <c r="CS47" s="279">
        <f>'Level Calculation Drone Survey'!$Z140</f>
        <v>263.4854047619047</v>
      </c>
      <c r="CT47" s="279">
        <f>'Level Calculation Drone Survey'!$Z140</f>
        <v>263.4854047619047</v>
      </c>
      <c r="CU47" s="279">
        <f>'Level Calculation Drone Survey'!$Z140</f>
        <v>263.4854047619047</v>
      </c>
      <c r="CV47" s="279">
        <f>'Level Calculation Drone Survey'!$Z140</f>
        <v>263.4854047619047</v>
      </c>
      <c r="CW47" s="279">
        <f>'Level Calculation Drone Survey'!$Z140</f>
        <v>263.4854047619047</v>
      </c>
      <c r="CX47" s="316">
        <f>'Level Calculation Drone Survey'!$Z524</f>
        <v>263.24016666666654</v>
      </c>
      <c r="CY47" s="279">
        <f>'Level Calculation Drone Survey'!$Z119</f>
        <v>263.29016666666655</v>
      </c>
      <c r="CZ47" s="279">
        <f>'Level Calculation Drone Survey'!$Z119</f>
        <v>263.29016666666655</v>
      </c>
      <c r="DA47" s="279">
        <f>'Level Calculation Drone Survey'!$Z119</f>
        <v>263.29016666666655</v>
      </c>
      <c r="DB47" s="279">
        <f>'Level Calculation Drone Survey'!$Z119</f>
        <v>263.29016666666655</v>
      </c>
      <c r="DC47" s="279">
        <f>'Level Calculation Drone Survey'!$Z119</f>
        <v>263.29016666666655</v>
      </c>
      <c r="DD47" s="279">
        <f>'Level Calculation Drone Survey'!$Z119</f>
        <v>263.29016666666655</v>
      </c>
      <c r="DE47" s="279">
        <f>'Level Calculation Drone Survey'!$Z119</f>
        <v>263.29016666666655</v>
      </c>
      <c r="DF47" s="279">
        <f>'Level Calculation Drone Survey'!$Z119</f>
        <v>263.29016666666655</v>
      </c>
      <c r="DG47" s="279">
        <f>'Level Calculation Drone Survey'!$Z119</f>
        <v>263.29016666666655</v>
      </c>
      <c r="DH47" s="279">
        <f>'Level Calculation Drone Survey'!$Z119</f>
        <v>263.29016666666655</v>
      </c>
      <c r="DI47" s="279">
        <f>'Level Calculation Drone Survey'!$Z119</f>
        <v>263.29016666666655</v>
      </c>
      <c r="DJ47" s="279">
        <f>'Level Calculation Drone Survey'!$Z119</f>
        <v>263.29016666666655</v>
      </c>
      <c r="DK47" s="279">
        <f>'Level Calculation Drone Survey'!$Z119</f>
        <v>263.29016666666655</v>
      </c>
      <c r="DL47" s="279">
        <f>'Level Calculation Drone Survey'!$Z119</f>
        <v>263.29016666666655</v>
      </c>
      <c r="DM47" s="279">
        <f>'Level Calculation Drone Survey'!$Z119</f>
        <v>263.29016666666655</v>
      </c>
      <c r="DN47" s="279">
        <f>'Level Calculation Drone Survey'!$Z119</f>
        <v>263.29016666666655</v>
      </c>
      <c r="DO47" s="279">
        <f>'Level Calculation Drone Survey'!$Z119</f>
        <v>263.29016666666655</v>
      </c>
      <c r="DP47" s="279">
        <f>'Level Calculation Drone Survey'!$Z119</f>
        <v>263.29016666666655</v>
      </c>
      <c r="DQ47" s="279">
        <f>'Level Calculation Drone Survey'!$Z119</f>
        <v>263.29016666666655</v>
      </c>
      <c r="DR47" s="279">
        <f>'Level Calculation Drone Survey'!$Z119</f>
        <v>263.29016666666655</v>
      </c>
      <c r="DS47" s="279">
        <f>'Level Calculation Drone Survey'!$Z119</f>
        <v>263.29016666666655</v>
      </c>
      <c r="DT47" s="313">
        <f>'Level Calculation Drone Survey'!$Z703</f>
        <v>263.19016666666653</v>
      </c>
      <c r="DU47" s="313">
        <f>'Level Calculation Drone Survey'!$Z703</f>
        <v>263.19016666666653</v>
      </c>
      <c r="DV47" s="279">
        <f>'Level Calculation Drone Survey'!$Z37</f>
        <v>263.29499375</v>
      </c>
      <c r="DW47" s="279">
        <f>'Level Calculation Drone Survey'!$Z37</f>
        <v>263.29499375</v>
      </c>
      <c r="DX47" s="279">
        <f>'Level Calculation Drone Survey'!$Z37</f>
        <v>263.29499375</v>
      </c>
      <c r="DY47" s="279">
        <f>'Level Calculation Drone Survey'!$Z37</f>
        <v>263.29499375</v>
      </c>
      <c r="DZ47" s="279">
        <f>'Level Calculation Drone Survey'!$Z37</f>
        <v>263.29499375</v>
      </c>
      <c r="EA47" s="279">
        <f>'Level Calculation Drone Survey'!$Z37</f>
        <v>263.29499375</v>
      </c>
      <c r="EB47" s="279">
        <f>'Level Calculation Drone Survey'!$Z37</f>
        <v>263.29499375</v>
      </c>
      <c r="EC47" s="279">
        <f>'Level Calculation Drone Survey'!$Z37</f>
        <v>263.29499375</v>
      </c>
      <c r="ED47" s="279">
        <f>'Level Calculation Drone Survey'!$Z37</f>
        <v>263.29499375</v>
      </c>
      <c r="EE47" s="279">
        <f>'Level Calculation Drone Survey'!$Z37</f>
        <v>263.29499375</v>
      </c>
      <c r="EF47" s="279">
        <f>'Level Calculation Drone Survey'!$Z37</f>
        <v>263.29499375</v>
      </c>
      <c r="EG47" s="279">
        <f>'Level Calculation Drone Survey'!$Z37</f>
        <v>263.29499375</v>
      </c>
      <c r="EH47" s="279">
        <f>'Level Calculation Drone Survey'!$Z37</f>
        <v>263.29499375</v>
      </c>
      <c r="EI47" s="279">
        <f>'Level Calculation Drone Survey'!$Z37</f>
        <v>263.29499375</v>
      </c>
      <c r="EJ47" s="279">
        <f>'Level Calculation Drone Survey'!$Z37</f>
        <v>263.29499375</v>
      </c>
      <c r="EK47" s="279">
        <f>'Level Calculation Drone Survey'!$Z37</f>
        <v>263.29499375</v>
      </c>
      <c r="EL47" s="318">
        <f>'Level Calculation Drone Survey'!$Z762</f>
        <v>263.19999375000003</v>
      </c>
      <c r="EM47" s="325">
        <f>'Level Calculation Drone Survey'!$Z762</f>
        <v>263.19999375000003</v>
      </c>
      <c r="EN47" s="325">
        <f>'Level Calculation Drone Survey'!$Z762</f>
        <v>263.19999375000003</v>
      </c>
      <c r="EO47" s="325">
        <f>'Level Calculation Drone Survey'!$Z762</f>
        <v>263.19999375000003</v>
      </c>
      <c r="EP47" s="325">
        <f>'Level Calculation Drone Survey'!$Z762</f>
        <v>263.19999375000003</v>
      </c>
      <c r="EQ47" s="325">
        <f>'Level Calculation Drone Survey'!$Z762</f>
        <v>263.19999375000003</v>
      </c>
      <c r="ER47" s="325">
        <f>'Level Calculation Drone Survey'!$Z762</f>
        <v>263.19999375000003</v>
      </c>
      <c r="ES47" s="325">
        <f>'Level Calculation Drone Survey'!$Z762</f>
        <v>263.19999375000003</v>
      </c>
      <c r="ET47" s="325">
        <f>'Level Calculation Drone Survey'!$Z762</f>
        <v>263.19999375000003</v>
      </c>
      <c r="EU47" s="325">
        <f>'Level Calculation Drone Survey'!$Z762</f>
        <v>263.19999375000003</v>
      </c>
      <c r="EV47" s="318">
        <f>'Level Calculation Drone Survey'!$Z762</f>
        <v>263.19999375000003</v>
      </c>
      <c r="EW47" s="191"/>
      <c r="EX47" s="191"/>
      <c r="EY47" s="191"/>
    </row>
    <row r="48" spans="1:155" ht="45" customHeight="1" x14ac:dyDescent="0.45">
      <c r="A48" s="277">
        <v>235</v>
      </c>
      <c r="B48" s="305"/>
      <c r="C48" s="305">
        <f>'Level Calculation Drone Survey'!$Z281</f>
        <v>263.87480499999992</v>
      </c>
      <c r="D48" s="305">
        <f>'Level Calculation Drone Survey'!$Z281</f>
        <v>263.87480499999992</v>
      </c>
      <c r="E48" s="305">
        <f>'Level Calculation Drone Survey'!$Z281</f>
        <v>263.87480499999992</v>
      </c>
      <c r="F48" s="279">
        <f>'Level Calculation Drone Survey'!$Z225</f>
        <v>263.97480499999995</v>
      </c>
      <c r="G48" s="279">
        <f>'Level Calculation Drone Survey'!$Z225</f>
        <v>263.97480499999995</v>
      </c>
      <c r="H48" s="279">
        <f>'Level Calculation Drone Survey'!$Z225</f>
        <v>263.97480499999995</v>
      </c>
      <c r="I48" s="279">
        <f>'Level Calculation Drone Survey'!$Z225</f>
        <v>263.97480499999995</v>
      </c>
      <c r="J48" s="279">
        <f>'Level Calculation Drone Survey'!$Z225</f>
        <v>263.97480499999995</v>
      </c>
      <c r="K48" s="279">
        <f>'Level Calculation Drone Survey'!$Z225</f>
        <v>263.97480499999995</v>
      </c>
      <c r="L48" s="279">
        <f>'Level Calculation Drone Survey'!$Z225</f>
        <v>263.97480499999995</v>
      </c>
      <c r="M48" s="279">
        <f>'Level Calculation Drone Survey'!$Z225</f>
        <v>263.97480499999995</v>
      </c>
      <c r="N48" s="279">
        <f>'Level Calculation Drone Survey'!$Z225</f>
        <v>263.97480499999995</v>
      </c>
      <c r="O48" s="279">
        <f>'Level Calculation Drone Survey'!$Z225</f>
        <v>263.97480499999995</v>
      </c>
      <c r="P48" s="279">
        <f>'Level Calculation Drone Survey'!$Z225</f>
        <v>263.97480499999995</v>
      </c>
      <c r="Q48" s="279">
        <f>'Level Calculation Drone Survey'!$Z225</f>
        <v>263.97480499999995</v>
      </c>
      <c r="R48" s="279">
        <f>'Level Calculation Drone Survey'!$Z225</f>
        <v>263.97480499999995</v>
      </c>
      <c r="S48" s="279">
        <f>'Level Calculation Drone Survey'!$Z225</f>
        <v>263.97480499999995</v>
      </c>
      <c r="T48" s="279">
        <f>'Level Calculation Drone Survey'!$Z225</f>
        <v>263.97480499999995</v>
      </c>
      <c r="U48" s="279">
        <f>'Level Calculation Drone Survey'!$Z225</f>
        <v>263.97480499999995</v>
      </c>
      <c r="V48" s="305">
        <f>'Level Calculation Drone Survey'!$Z382</f>
        <v>263.97480499999995</v>
      </c>
      <c r="W48" s="305">
        <f>'Level Calculation Drone Survey'!$Z382</f>
        <v>263.97480499999995</v>
      </c>
      <c r="X48" s="305">
        <f>'Level Calculation Drone Survey'!$Z382</f>
        <v>263.97480499999995</v>
      </c>
      <c r="Y48" s="305">
        <f>'Level Calculation Drone Survey'!$Z382</f>
        <v>263.97480499999995</v>
      </c>
      <c r="Z48" s="191"/>
      <c r="AA48" s="191"/>
      <c r="AB48" s="191"/>
      <c r="AC48" s="191"/>
      <c r="AD48" s="191"/>
      <c r="AE48" s="191"/>
      <c r="AF48" s="191"/>
      <c r="AG48" s="191"/>
      <c r="AH48" s="191"/>
      <c r="AI48" s="191"/>
      <c r="AJ48" s="191"/>
      <c r="AK48" s="191"/>
      <c r="AL48" s="191"/>
      <c r="AM48" s="191"/>
      <c r="AN48" s="191"/>
      <c r="AO48" s="191"/>
      <c r="AP48" s="191"/>
      <c r="AQ48" s="191"/>
      <c r="AR48" s="191"/>
      <c r="AS48" s="191"/>
      <c r="AT48" s="191"/>
      <c r="AU48" s="191"/>
      <c r="AV48" s="191"/>
      <c r="AW48" s="191"/>
      <c r="AX48" s="191"/>
      <c r="AY48" s="191"/>
      <c r="AZ48" s="312">
        <f>'Level Calculation Drone Survey'!$Z575</f>
        <v>263.73983809523799</v>
      </c>
      <c r="BA48" s="312">
        <f>'Level Calculation Drone Survey'!$Z575</f>
        <v>263.73983809523799</v>
      </c>
      <c r="BB48" s="312">
        <f>'Level Calculation Drone Survey'!$Z575</f>
        <v>263.73983809523799</v>
      </c>
      <c r="BC48" s="312">
        <f>'Level Calculation Drone Survey'!$Z575</f>
        <v>263.73983809523799</v>
      </c>
      <c r="BD48" s="312">
        <f>'Level Calculation Drone Survey'!$Z575</f>
        <v>263.73983809523799</v>
      </c>
      <c r="BE48" s="312">
        <f>'Level Calculation Drone Survey'!$Z575</f>
        <v>263.73983809523799</v>
      </c>
      <c r="BF48" s="279">
        <f>'Level Calculation Drone Survey'!$Z162</f>
        <v>263.789838095238</v>
      </c>
      <c r="BG48" s="279">
        <f>'Level Calculation Drone Survey'!$Z162</f>
        <v>263.789838095238</v>
      </c>
      <c r="BH48" s="279">
        <f>'Level Calculation Drone Survey'!$Z162</f>
        <v>263.789838095238</v>
      </c>
      <c r="BI48" s="279">
        <f>'Level Calculation Drone Survey'!$Z162</f>
        <v>263.789838095238</v>
      </c>
      <c r="BJ48" s="279">
        <f>'Level Calculation Drone Survey'!$Z162</f>
        <v>263.789838095238</v>
      </c>
      <c r="BK48" s="279">
        <f>'Level Calculation Drone Survey'!$Z162</f>
        <v>263.789838095238</v>
      </c>
      <c r="BL48" s="279">
        <f>'Level Calculation Drone Survey'!$Z162</f>
        <v>263.789838095238</v>
      </c>
      <c r="BM48" s="279">
        <f>'Level Calculation Drone Survey'!$Z162</f>
        <v>263.789838095238</v>
      </c>
      <c r="BN48" s="279">
        <f>'Level Calculation Drone Survey'!$Z162</f>
        <v>263.789838095238</v>
      </c>
      <c r="BO48" s="279">
        <f>'Level Calculation Drone Survey'!$Z162</f>
        <v>263.789838095238</v>
      </c>
      <c r="BP48" s="279">
        <f>'Level Calculation Drone Survey'!$Z162</f>
        <v>263.789838095238</v>
      </c>
      <c r="BQ48" s="279">
        <f>'Level Calculation Drone Survey'!$Z162</f>
        <v>263.789838095238</v>
      </c>
      <c r="BR48" s="279">
        <f>'Level Calculation Drone Survey'!$Z162</f>
        <v>263.789838095238</v>
      </c>
      <c r="BS48" s="279">
        <f>'Level Calculation Drone Survey'!$Z162</f>
        <v>263.789838095238</v>
      </c>
      <c r="BT48" s="279">
        <f>'Level Calculation Drone Survey'!$Z162</f>
        <v>263.789838095238</v>
      </c>
      <c r="BU48" s="279">
        <f>'Level Calculation Drone Survey'!$Z162</f>
        <v>263.789838095238</v>
      </c>
      <c r="BV48" s="279">
        <f>'Level Calculation Drone Survey'!$Z162</f>
        <v>263.789838095238</v>
      </c>
      <c r="BW48" s="279">
        <f>'Level Calculation Drone Survey'!$Z162</f>
        <v>263.789838095238</v>
      </c>
      <c r="BX48" s="279">
        <f>'Level Calculation Drone Survey'!$Z162</f>
        <v>263.789838095238</v>
      </c>
      <c r="BY48" s="279">
        <f>'Level Calculation Drone Survey'!$Z162</f>
        <v>263.789838095238</v>
      </c>
      <c r="BZ48" s="279">
        <f>'Level Calculation Drone Survey'!$Z162</f>
        <v>263.789838095238</v>
      </c>
      <c r="CA48" s="313">
        <f>'Level Calculation Drone Survey'!$Z629</f>
        <v>263.53540476190472</v>
      </c>
      <c r="CB48" s="313">
        <f>'Level Calculation Drone Survey'!$Z629</f>
        <v>263.53540476190472</v>
      </c>
      <c r="CC48" s="279">
        <f>'Level Calculation Drone Survey'!$Z141</f>
        <v>263.53540476190472</v>
      </c>
      <c r="CD48" s="279">
        <f>'Level Calculation Drone Survey'!$Z141</f>
        <v>263.53540476190472</v>
      </c>
      <c r="CE48" s="279">
        <f>'Level Calculation Drone Survey'!$Z141</f>
        <v>263.53540476190472</v>
      </c>
      <c r="CF48" s="279">
        <f>'Level Calculation Drone Survey'!$Z141</f>
        <v>263.53540476190472</v>
      </c>
      <c r="CG48" s="279">
        <f>'Level Calculation Drone Survey'!$Z141</f>
        <v>263.53540476190472</v>
      </c>
      <c r="CH48" s="279">
        <f>'Level Calculation Drone Survey'!$Z141</f>
        <v>263.53540476190472</v>
      </c>
      <c r="CI48" s="279">
        <f>'Level Calculation Drone Survey'!$Z141</f>
        <v>263.53540476190472</v>
      </c>
      <c r="CJ48" s="279">
        <f>'Level Calculation Drone Survey'!$Z141</f>
        <v>263.53540476190472</v>
      </c>
      <c r="CK48" s="279">
        <f>'Level Calculation Drone Survey'!$Z141</f>
        <v>263.53540476190472</v>
      </c>
      <c r="CL48" s="279">
        <f>'Level Calculation Drone Survey'!$Z141</f>
        <v>263.53540476190472</v>
      </c>
      <c r="CM48" s="279">
        <f>'Level Calculation Drone Survey'!$Z141</f>
        <v>263.53540476190472</v>
      </c>
      <c r="CN48" s="279">
        <f>'Level Calculation Drone Survey'!$Z141</f>
        <v>263.53540476190472</v>
      </c>
      <c r="CO48" s="279">
        <f>'Level Calculation Drone Survey'!$Z141</f>
        <v>263.53540476190472</v>
      </c>
      <c r="CP48" s="279">
        <f>'Level Calculation Drone Survey'!$Z141</f>
        <v>263.53540476190472</v>
      </c>
      <c r="CQ48" s="279">
        <f>'Level Calculation Drone Survey'!$Z141</f>
        <v>263.53540476190472</v>
      </c>
      <c r="CR48" s="279">
        <f>'Level Calculation Drone Survey'!$Z141</f>
        <v>263.53540476190472</v>
      </c>
      <c r="CS48" s="279">
        <f>'Level Calculation Drone Survey'!$Z141</f>
        <v>263.53540476190472</v>
      </c>
      <c r="CT48" s="279">
        <f>'Level Calculation Drone Survey'!$Z141</f>
        <v>263.53540476190472</v>
      </c>
      <c r="CU48" s="279">
        <f>'Level Calculation Drone Survey'!$Z141</f>
        <v>263.53540476190472</v>
      </c>
      <c r="CV48" s="279">
        <f>'Level Calculation Drone Survey'!$Z141</f>
        <v>263.53540476190472</v>
      </c>
      <c r="CW48" s="279">
        <f>'Level Calculation Drone Survey'!$Z141</f>
        <v>263.53540476190472</v>
      </c>
      <c r="CX48" s="316">
        <f>'Level Calculation Drone Survey'!$Z525</f>
        <v>263.29016666666655</v>
      </c>
      <c r="CY48" s="279">
        <f>'Level Calculation Drone Survey'!$Z120</f>
        <v>263.34016666666656</v>
      </c>
      <c r="CZ48" s="279">
        <f>'Level Calculation Drone Survey'!$Z120</f>
        <v>263.34016666666656</v>
      </c>
      <c r="DA48" s="279">
        <f>'Level Calculation Drone Survey'!$Z120</f>
        <v>263.34016666666656</v>
      </c>
      <c r="DB48" s="279">
        <f>'Level Calculation Drone Survey'!$Z120</f>
        <v>263.34016666666656</v>
      </c>
      <c r="DC48" s="279">
        <f>'Level Calculation Drone Survey'!$Z120</f>
        <v>263.34016666666656</v>
      </c>
      <c r="DD48" s="279">
        <f>'Level Calculation Drone Survey'!$Z120</f>
        <v>263.34016666666656</v>
      </c>
      <c r="DE48" s="279">
        <f>'Level Calculation Drone Survey'!$Z120</f>
        <v>263.34016666666656</v>
      </c>
      <c r="DF48" s="279">
        <f>'Level Calculation Drone Survey'!$Z120</f>
        <v>263.34016666666656</v>
      </c>
      <c r="DG48" s="279">
        <f>'Level Calculation Drone Survey'!$Z120</f>
        <v>263.34016666666656</v>
      </c>
      <c r="DH48" s="279">
        <f>'Level Calculation Drone Survey'!$Z120</f>
        <v>263.34016666666656</v>
      </c>
      <c r="DI48" s="279">
        <f>'Level Calculation Drone Survey'!$Z120</f>
        <v>263.34016666666656</v>
      </c>
      <c r="DJ48" s="279">
        <f>'Level Calculation Drone Survey'!$Z120</f>
        <v>263.34016666666656</v>
      </c>
      <c r="DK48" s="279">
        <f>'Level Calculation Drone Survey'!$Z120</f>
        <v>263.34016666666656</v>
      </c>
      <c r="DL48" s="279">
        <f>'Level Calculation Drone Survey'!$Z120</f>
        <v>263.34016666666656</v>
      </c>
      <c r="DM48" s="279">
        <f>'Level Calculation Drone Survey'!$Z120</f>
        <v>263.34016666666656</v>
      </c>
      <c r="DN48" s="279">
        <f>'Level Calculation Drone Survey'!$Z120</f>
        <v>263.34016666666656</v>
      </c>
      <c r="DO48" s="279">
        <f>'Level Calculation Drone Survey'!$Z120</f>
        <v>263.34016666666656</v>
      </c>
      <c r="DP48" s="279">
        <f>'Level Calculation Drone Survey'!$Z120</f>
        <v>263.34016666666656</v>
      </c>
      <c r="DQ48" s="279">
        <f>'Level Calculation Drone Survey'!$Z120</f>
        <v>263.34016666666656</v>
      </c>
      <c r="DR48" s="279">
        <f>'Level Calculation Drone Survey'!$Z120</f>
        <v>263.34016666666656</v>
      </c>
      <c r="DS48" s="279">
        <f>'Level Calculation Drone Survey'!$Z120</f>
        <v>263.34016666666656</v>
      </c>
      <c r="DT48" s="313">
        <f>'Level Calculation Drone Survey'!$Z704</f>
        <v>263.24016666666654</v>
      </c>
      <c r="DU48" s="313">
        <f>'Level Calculation Drone Survey'!$Z704</f>
        <v>263.24016666666654</v>
      </c>
      <c r="DV48" s="279">
        <f>'Level Calculation Drone Survey'!$Z38</f>
        <v>263.34499375000001</v>
      </c>
      <c r="DW48" s="279">
        <f>'Level Calculation Drone Survey'!$Z38</f>
        <v>263.34499375000001</v>
      </c>
      <c r="DX48" s="279">
        <f>'Level Calculation Drone Survey'!$Z38</f>
        <v>263.34499375000001</v>
      </c>
      <c r="DY48" s="279">
        <f>'Level Calculation Drone Survey'!$Z38</f>
        <v>263.34499375000001</v>
      </c>
      <c r="DZ48" s="279">
        <f>'Level Calculation Drone Survey'!$Z38</f>
        <v>263.34499375000001</v>
      </c>
      <c r="EA48" s="279">
        <f>'Level Calculation Drone Survey'!$Z38</f>
        <v>263.34499375000001</v>
      </c>
      <c r="EB48" s="279">
        <f>'Level Calculation Drone Survey'!$Z38</f>
        <v>263.34499375000001</v>
      </c>
      <c r="EC48" s="279">
        <f>'Level Calculation Drone Survey'!$Z38</f>
        <v>263.34499375000001</v>
      </c>
      <c r="ED48" s="279">
        <f>'Level Calculation Drone Survey'!$Z38</f>
        <v>263.34499375000001</v>
      </c>
      <c r="EE48" s="279">
        <f>'Level Calculation Drone Survey'!$Z38</f>
        <v>263.34499375000001</v>
      </c>
      <c r="EF48" s="279">
        <f>'Level Calculation Drone Survey'!$Z38</f>
        <v>263.34499375000001</v>
      </c>
      <c r="EG48" s="279">
        <f>'Level Calculation Drone Survey'!$Z38</f>
        <v>263.34499375000001</v>
      </c>
      <c r="EH48" s="279">
        <f>'Level Calculation Drone Survey'!$Z38</f>
        <v>263.34499375000001</v>
      </c>
      <c r="EI48" s="279">
        <f>'Level Calculation Drone Survey'!$Z38</f>
        <v>263.34499375000001</v>
      </c>
      <c r="EJ48" s="279">
        <f>'Level Calculation Drone Survey'!$Z38</f>
        <v>263.34499375000001</v>
      </c>
      <c r="EK48" s="279">
        <f>'Level Calculation Drone Survey'!$Z38</f>
        <v>263.34499375000001</v>
      </c>
      <c r="EL48" s="318">
        <f>'Level Calculation Drone Survey'!$Z763</f>
        <v>263.19999375000003</v>
      </c>
      <c r="EM48" s="325">
        <f>'Level Calculation Drone Survey'!$Z763</f>
        <v>263.19999375000003</v>
      </c>
      <c r="EN48" s="325">
        <f>'Level Calculation Drone Survey'!$Z763</f>
        <v>263.19999375000003</v>
      </c>
      <c r="EO48" s="325">
        <f>'Level Calculation Drone Survey'!$Z763</f>
        <v>263.19999375000003</v>
      </c>
      <c r="EP48" s="325">
        <f>'Level Calculation Drone Survey'!$Z763</f>
        <v>263.19999375000003</v>
      </c>
      <c r="EQ48" s="325">
        <f>'Level Calculation Drone Survey'!$Z763</f>
        <v>263.19999375000003</v>
      </c>
      <c r="ER48" s="325">
        <f>'Level Calculation Drone Survey'!$Z763</f>
        <v>263.19999375000003</v>
      </c>
      <c r="ES48" s="325">
        <f>'Level Calculation Drone Survey'!$Z763</f>
        <v>263.19999375000003</v>
      </c>
      <c r="ET48" s="325">
        <f>'Level Calculation Drone Survey'!$Z763</f>
        <v>263.19999375000003</v>
      </c>
      <c r="EU48" s="325">
        <f>'Level Calculation Drone Survey'!$Z763</f>
        <v>263.19999375000003</v>
      </c>
      <c r="EV48" s="318">
        <f>'Level Calculation Drone Survey'!$Z763</f>
        <v>263.19999375000003</v>
      </c>
      <c r="EW48" s="191"/>
      <c r="EX48" s="191"/>
      <c r="EY48" s="191"/>
    </row>
    <row r="49" spans="1:155" ht="45" customHeight="1" x14ac:dyDescent="0.45">
      <c r="A49" s="277">
        <v>240</v>
      </c>
      <c r="B49" s="305"/>
      <c r="C49" s="305">
        <f>'Level Calculation Drone Survey'!$Z282</f>
        <v>263.92480499999994</v>
      </c>
      <c r="D49" s="305">
        <f>'Level Calculation Drone Survey'!$Z282</f>
        <v>263.92480499999994</v>
      </c>
      <c r="E49" s="305">
        <f>'Level Calculation Drone Survey'!$Z282</f>
        <v>263.92480499999994</v>
      </c>
      <c r="F49" s="279">
        <f>'Level Calculation Drone Survey'!$Z226</f>
        <v>264.02480499999996</v>
      </c>
      <c r="G49" s="279">
        <f>'Level Calculation Drone Survey'!$Z226</f>
        <v>264.02480499999996</v>
      </c>
      <c r="H49" s="279">
        <f>'Level Calculation Drone Survey'!$Z226</f>
        <v>264.02480499999996</v>
      </c>
      <c r="I49" s="279">
        <f>'Level Calculation Drone Survey'!$Z226</f>
        <v>264.02480499999996</v>
      </c>
      <c r="J49" s="279">
        <f>'Level Calculation Drone Survey'!$Z226</f>
        <v>264.02480499999996</v>
      </c>
      <c r="K49" s="279">
        <f>'Level Calculation Drone Survey'!$Z226</f>
        <v>264.02480499999996</v>
      </c>
      <c r="L49" s="279">
        <f>'Level Calculation Drone Survey'!$Z226</f>
        <v>264.02480499999996</v>
      </c>
      <c r="M49" s="279">
        <f>'Level Calculation Drone Survey'!$Z226</f>
        <v>264.02480499999996</v>
      </c>
      <c r="N49" s="279">
        <f>'Level Calculation Drone Survey'!$Z226</f>
        <v>264.02480499999996</v>
      </c>
      <c r="O49" s="279">
        <f>'Level Calculation Drone Survey'!$Z226</f>
        <v>264.02480499999996</v>
      </c>
      <c r="P49" s="279">
        <f>'Level Calculation Drone Survey'!$Z226</f>
        <v>264.02480499999996</v>
      </c>
      <c r="Q49" s="279">
        <f>'Level Calculation Drone Survey'!$Z226</f>
        <v>264.02480499999996</v>
      </c>
      <c r="R49" s="279">
        <f>'Level Calculation Drone Survey'!$Z226</f>
        <v>264.02480499999996</v>
      </c>
      <c r="S49" s="279">
        <f>'Level Calculation Drone Survey'!$Z226</f>
        <v>264.02480499999996</v>
      </c>
      <c r="T49" s="279">
        <f>'Level Calculation Drone Survey'!$Z226</f>
        <v>264.02480499999996</v>
      </c>
      <c r="U49" s="279">
        <f>'Level Calculation Drone Survey'!$Z226</f>
        <v>264.02480499999996</v>
      </c>
      <c r="V49" s="279">
        <f>'Level Calculation Drone Survey'!$Z226</f>
        <v>264.02480499999996</v>
      </c>
      <c r="W49" s="279">
        <f>'Level Calculation Drone Survey'!$Z226</f>
        <v>264.02480499999996</v>
      </c>
      <c r="X49" s="279">
        <f>'Level Calculation Drone Survey'!$Z226</f>
        <v>264.02480499999996</v>
      </c>
      <c r="Y49" s="279">
        <f>'Level Calculation Drone Survey'!$Z226</f>
        <v>264.02480499999996</v>
      </c>
      <c r="Z49" s="305">
        <f>'Level Calculation Drone Survey'!$Z361</f>
        <v>263.82480499999997</v>
      </c>
      <c r="AA49" s="305"/>
      <c r="AB49" s="305"/>
      <c r="AC49" s="281"/>
      <c r="AD49" s="191"/>
      <c r="AE49" s="191"/>
      <c r="AF49" s="191"/>
      <c r="AG49" s="191"/>
      <c r="AH49" s="191"/>
      <c r="AI49" s="191"/>
      <c r="AJ49" s="191"/>
      <c r="AK49" s="191"/>
      <c r="AL49" s="191"/>
      <c r="AM49" s="191"/>
      <c r="AN49" s="191"/>
      <c r="AO49" s="191"/>
      <c r="AP49" s="191"/>
      <c r="AQ49" s="191"/>
      <c r="AR49" s="191"/>
      <c r="AS49" s="191"/>
      <c r="AT49" s="191"/>
      <c r="AU49" s="191"/>
      <c r="AV49" s="191"/>
      <c r="AW49" s="191"/>
      <c r="AX49" s="191"/>
      <c r="AY49" s="191"/>
      <c r="AZ49" s="312">
        <f>'Level Calculation Drone Survey'!$Z576</f>
        <v>263.789838095238</v>
      </c>
      <c r="BA49" s="312">
        <f>'Level Calculation Drone Survey'!$Z576</f>
        <v>263.789838095238</v>
      </c>
      <c r="BB49" s="312">
        <f>'Level Calculation Drone Survey'!$Z576</f>
        <v>263.789838095238</v>
      </c>
      <c r="BC49" s="312">
        <f>'Level Calculation Drone Survey'!$Z576</f>
        <v>263.789838095238</v>
      </c>
      <c r="BD49" s="312">
        <f>'Level Calculation Drone Survey'!$Z576</f>
        <v>263.789838095238</v>
      </c>
      <c r="BE49" s="312">
        <f>'Level Calculation Drone Survey'!$Z576</f>
        <v>263.789838095238</v>
      </c>
      <c r="BF49" s="279">
        <f>'Level Calculation Drone Survey'!$Z163</f>
        <v>263.83983809523801</v>
      </c>
      <c r="BG49" s="279">
        <f>'Level Calculation Drone Survey'!$Z163</f>
        <v>263.83983809523801</v>
      </c>
      <c r="BH49" s="279">
        <f>'Level Calculation Drone Survey'!$Z163</f>
        <v>263.83983809523801</v>
      </c>
      <c r="BI49" s="279">
        <f>'Level Calculation Drone Survey'!$Z163</f>
        <v>263.83983809523801</v>
      </c>
      <c r="BJ49" s="279">
        <f>'Level Calculation Drone Survey'!$Z163</f>
        <v>263.83983809523801</v>
      </c>
      <c r="BK49" s="279">
        <f>'Level Calculation Drone Survey'!$Z163</f>
        <v>263.83983809523801</v>
      </c>
      <c r="BL49" s="279">
        <f>'Level Calculation Drone Survey'!$Z163</f>
        <v>263.83983809523801</v>
      </c>
      <c r="BM49" s="279">
        <f>'Level Calculation Drone Survey'!$Z163</f>
        <v>263.83983809523801</v>
      </c>
      <c r="BN49" s="279">
        <f>'Level Calculation Drone Survey'!$Z163</f>
        <v>263.83983809523801</v>
      </c>
      <c r="BO49" s="279">
        <f>'Level Calculation Drone Survey'!$Z163</f>
        <v>263.83983809523801</v>
      </c>
      <c r="BP49" s="279">
        <f>'Level Calculation Drone Survey'!$Z163</f>
        <v>263.83983809523801</v>
      </c>
      <c r="BQ49" s="279">
        <f>'Level Calculation Drone Survey'!$Z163</f>
        <v>263.83983809523801</v>
      </c>
      <c r="BR49" s="279">
        <f>'Level Calculation Drone Survey'!$Z163</f>
        <v>263.83983809523801</v>
      </c>
      <c r="BS49" s="279">
        <f>'Level Calculation Drone Survey'!$Z163</f>
        <v>263.83983809523801</v>
      </c>
      <c r="BT49" s="279">
        <f>'Level Calculation Drone Survey'!$Z163</f>
        <v>263.83983809523801</v>
      </c>
      <c r="BU49" s="279">
        <f>'Level Calculation Drone Survey'!$Z163</f>
        <v>263.83983809523801</v>
      </c>
      <c r="BV49" s="279">
        <f>'Level Calculation Drone Survey'!$Z163</f>
        <v>263.83983809523801</v>
      </c>
      <c r="BW49" s="279">
        <f>'Level Calculation Drone Survey'!$Z163</f>
        <v>263.83983809523801</v>
      </c>
      <c r="BX49" s="279">
        <f>'Level Calculation Drone Survey'!$Z163</f>
        <v>263.83983809523801</v>
      </c>
      <c r="BY49" s="279">
        <f>'Level Calculation Drone Survey'!$Z163</f>
        <v>263.83983809523801</v>
      </c>
      <c r="BZ49" s="279">
        <f>'Level Calculation Drone Survey'!$Z163</f>
        <v>263.83983809523801</v>
      </c>
      <c r="CA49" s="313">
        <f>'Level Calculation Drone Survey'!$Z630</f>
        <v>263.58540476190473</v>
      </c>
      <c r="CB49" s="313">
        <f>'Level Calculation Drone Survey'!$Z630</f>
        <v>263.58540476190473</v>
      </c>
      <c r="CC49" s="279">
        <f>'Level Calculation Drone Survey'!$Z142</f>
        <v>263.58540476190473</v>
      </c>
      <c r="CD49" s="279">
        <f>'Level Calculation Drone Survey'!$Z142</f>
        <v>263.58540476190473</v>
      </c>
      <c r="CE49" s="279">
        <f>'Level Calculation Drone Survey'!$Z142</f>
        <v>263.58540476190473</v>
      </c>
      <c r="CF49" s="279">
        <f>'Level Calculation Drone Survey'!$Z142</f>
        <v>263.58540476190473</v>
      </c>
      <c r="CG49" s="279">
        <f>'Level Calculation Drone Survey'!$Z142</f>
        <v>263.58540476190473</v>
      </c>
      <c r="CH49" s="279">
        <f>'Level Calculation Drone Survey'!$Z142</f>
        <v>263.58540476190473</v>
      </c>
      <c r="CI49" s="279">
        <f>'Level Calculation Drone Survey'!$Z142</f>
        <v>263.58540476190473</v>
      </c>
      <c r="CJ49" s="279">
        <f>'Level Calculation Drone Survey'!$Z142</f>
        <v>263.58540476190473</v>
      </c>
      <c r="CK49" s="279">
        <f>'Level Calculation Drone Survey'!$Z142</f>
        <v>263.58540476190473</v>
      </c>
      <c r="CL49" s="279">
        <f>'Level Calculation Drone Survey'!$Z142</f>
        <v>263.58540476190473</v>
      </c>
      <c r="CM49" s="279">
        <f>'Level Calculation Drone Survey'!$Z142</f>
        <v>263.58540476190473</v>
      </c>
      <c r="CN49" s="279">
        <f>'Level Calculation Drone Survey'!$Z142</f>
        <v>263.58540476190473</v>
      </c>
      <c r="CO49" s="279">
        <f>'Level Calculation Drone Survey'!$Z142</f>
        <v>263.58540476190473</v>
      </c>
      <c r="CP49" s="279">
        <f>'Level Calculation Drone Survey'!$Z142</f>
        <v>263.58540476190473</v>
      </c>
      <c r="CQ49" s="279">
        <f>'Level Calculation Drone Survey'!$Z142</f>
        <v>263.58540476190473</v>
      </c>
      <c r="CR49" s="279">
        <f>'Level Calculation Drone Survey'!$Z142</f>
        <v>263.58540476190473</v>
      </c>
      <c r="CS49" s="279">
        <f>'Level Calculation Drone Survey'!$Z142</f>
        <v>263.58540476190473</v>
      </c>
      <c r="CT49" s="279">
        <f>'Level Calculation Drone Survey'!$Z142</f>
        <v>263.58540476190473</v>
      </c>
      <c r="CU49" s="279">
        <f>'Level Calculation Drone Survey'!$Z142</f>
        <v>263.58540476190473</v>
      </c>
      <c r="CV49" s="279">
        <f>'Level Calculation Drone Survey'!$Z142</f>
        <v>263.58540476190473</v>
      </c>
      <c r="CW49" s="279">
        <f>'Level Calculation Drone Survey'!$Z142</f>
        <v>263.58540476190473</v>
      </c>
      <c r="CX49" s="316">
        <f>'Level Calculation Drone Survey'!$Z526</f>
        <v>263.34016666666656</v>
      </c>
      <c r="CY49" s="279">
        <f>'Level Calculation Drone Survey'!$Z121</f>
        <v>263.39016666666657</v>
      </c>
      <c r="CZ49" s="279">
        <f>'Level Calculation Drone Survey'!$Z121</f>
        <v>263.39016666666657</v>
      </c>
      <c r="DA49" s="279">
        <f>'Level Calculation Drone Survey'!$Z121</f>
        <v>263.39016666666657</v>
      </c>
      <c r="DB49" s="279">
        <f>'Level Calculation Drone Survey'!$Z121</f>
        <v>263.39016666666657</v>
      </c>
      <c r="DC49" s="279">
        <f>'Level Calculation Drone Survey'!$Z121</f>
        <v>263.39016666666657</v>
      </c>
      <c r="DD49" s="279">
        <f>'Level Calculation Drone Survey'!$Z121</f>
        <v>263.39016666666657</v>
      </c>
      <c r="DE49" s="279">
        <f>'Level Calculation Drone Survey'!$Z121</f>
        <v>263.39016666666657</v>
      </c>
      <c r="DF49" s="279">
        <f>'Level Calculation Drone Survey'!$Z121</f>
        <v>263.39016666666657</v>
      </c>
      <c r="DG49" s="279">
        <f>'Level Calculation Drone Survey'!$Z121</f>
        <v>263.39016666666657</v>
      </c>
      <c r="DH49" s="279">
        <f>'Level Calculation Drone Survey'!$Z121</f>
        <v>263.39016666666657</v>
      </c>
      <c r="DI49" s="279">
        <f>'Level Calculation Drone Survey'!$Z121</f>
        <v>263.39016666666657</v>
      </c>
      <c r="DJ49" s="279">
        <f>'Level Calculation Drone Survey'!$Z121</f>
        <v>263.39016666666657</v>
      </c>
      <c r="DK49" s="279">
        <f>'Level Calculation Drone Survey'!$Z121</f>
        <v>263.39016666666657</v>
      </c>
      <c r="DL49" s="279">
        <f>'Level Calculation Drone Survey'!$Z121</f>
        <v>263.39016666666657</v>
      </c>
      <c r="DM49" s="279">
        <f>'Level Calculation Drone Survey'!$Z121</f>
        <v>263.39016666666657</v>
      </c>
      <c r="DN49" s="279">
        <f>'Level Calculation Drone Survey'!$Z121</f>
        <v>263.39016666666657</v>
      </c>
      <c r="DO49" s="279">
        <f>'Level Calculation Drone Survey'!$Z121</f>
        <v>263.39016666666657</v>
      </c>
      <c r="DP49" s="279">
        <f>'Level Calculation Drone Survey'!$Z121</f>
        <v>263.39016666666657</v>
      </c>
      <c r="DQ49" s="279">
        <f>'Level Calculation Drone Survey'!$Z121</f>
        <v>263.39016666666657</v>
      </c>
      <c r="DR49" s="279">
        <f>'Level Calculation Drone Survey'!$Z121</f>
        <v>263.39016666666657</v>
      </c>
      <c r="DS49" s="279">
        <f>'Level Calculation Drone Survey'!$Z121</f>
        <v>263.39016666666657</v>
      </c>
      <c r="DT49" s="313">
        <f>'Level Calculation Drone Survey'!$Z705</f>
        <v>263.29016666666655</v>
      </c>
      <c r="DU49" s="313">
        <f>'Level Calculation Drone Survey'!$Z705</f>
        <v>263.29016666666655</v>
      </c>
      <c r="DV49" s="279">
        <f>'Level Calculation Drone Survey'!$Z39</f>
        <v>263.39499375000003</v>
      </c>
      <c r="DW49" s="279">
        <f>'Level Calculation Drone Survey'!$Z39</f>
        <v>263.39499375000003</v>
      </c>
      <c r="DX49" s="279">
        <f>'Level Calculation Drone Survey'!$Z39</f>
        <v>263.39499375000003</v>
      </c>
      <c r="DY49" s="279">
        <f>'Level Calculation Drone Survey'!$Z39</f>
        <v>263.39499375000003</v>
      </c>
      <c r="DZ49" s="279">
        <f>'Level Calculation Drone Survey'!$Z39</f>
        <v>263.39499375000003</v>
      </c>
      <c r="EA49" s="279">
        <f>'Level Calculation Drone Survey'!$Z39</f>
        <v>263.39499375000003</v>
      </c>
      <c r="EB49" s="279">
        <f>'Level Calculation Drone Survey'!$Z39</f>
        <v>263.39499375000003</v>
      </c>
      <c r="EC49" s="279">
        <f>'Level Calculation Drone Survey'!$Z39</f>
        <v>263.39499375000003</v>
      </c>
      <c r="ED49" s="279">
        <f>'Level Calculation Drone Survey'!$Z39</f>
        <v>263.39499375000003</v>
      </c>
      <c r="EE49" s="279">
        <f>'Level Calculation Drone Survey'!$Z39</f>
        <v>263.39499375000003</v>
      </c>
      <c r="EF49" s="279">
        <f>'Level Calculation Drone Survey'!$Z39</f>
        <v>263.39499375000003</v>
      </c>
      <c r="EG49" s="279">
        <f>'Level Calculation Drone Survey'!$Z39</f>
        <v>263.39499375000003</v>
      </c>
      <c r="EH49" s="279">
        <f>'Level Calculation Drone Survey'!$Z39</f>
        <v>263.39499375000003</v>
      </c>
      <c r="EI49" s="279">
        <f>'Level Calculation Drone Survey'!$Z39</f>
        <v>263.39499375000003</v>
      </c>
      <c r="EJ49" s="279">
        <f>'Level Calculation Drone Survey'!$Z39</f>
        <v>263.39499375000003</v>
      </c>
      <c r="EK49" s="279">
        <f>'Level Calculation Drone Survey'!$Z39</f>
        <v>263.39499375000003</v>
      </c>
      <c r="EL49" s="318">
        <f>'Level Calculation Drone Survey'!$Z764</f>
        <v>263.19999375000003</v>
      </c>
      <c r="EM49" s="325">
        <f>'Level Calculation Drone Survey'!$Z764</f>
        <v>263.19999375000003</v>
      </c>
      <c r="EN49" s="325">
        <f>'Level Calculation Drone Survey'!$Z764</f>
        <v>263.19999375000003</v>
      </c>
      <c r="EO49" s="325">
        <f>'Level Calculation Drone Survey'!$Z764</f>
        <v>263.19999375000003</v>
      </c>
      <c r="EP49" s="325">
        <f>'Level Calculation Drone Survey'!$Z764</f>
        <v>263.19999375000003</v>
      </c>
      <c r="EQ49" s="325">
        <f>'Level Calculation Drone Survey'!$Z764</f>
        <v>263.19999375000003</v>
      </c>
      <c r="ER49" s="325">
        <f>'Level Calculation Drone Survey'!$Z764</f>
        <v>263.19999375000003</v>
      </c>
      <c r="ES49" s="325">
        <f>'Level Calculation Drone Survey'!$Z764</f>
        <v>263.19999375000003</v>
      </c>
      <c r="ET49" s="325">
        <f>'Level Calculation Drone Survey'!$Z764</f>
        <v>263.19999375000003</v>
      </c>
      <c r="EU49" s="325">
        <f>'Level Calculation Drone Survey'!$Z764</f>
        <v>263.19999375000003</v>
      </c>
      <c r="EV49" s="318">
        <f>'Level Calculation Drone Survey'!$Z764</f>
        <v>263.19999375000003</v>
      </c>
      <c r="EW49" s="191"/>
      <c r="EX49" s="191"/>
      <c r="EY49" s="191"/>
    </row>
    <row r="50" spans="1:155" ht="45" customHeight="1" x14ac:dyDescent="0.45">
      <c r="A50" s="277">
        <v>245</v>
      </c>
      <c r="B50" s="305"/>
      <c r="C50" s="305">
        <f>'Level Calculation Drone Survey'!$Z283</f>
        <v>263.97480499999995</v>
      </c>
      <c r="D50" s="305">
        <f>'Level Calculation Drone Survey'!$Z283</f>
        <v>263.97480499999995</v>
      </c>
      <c r="E50" s="305">
        <f>'Level Calculation Drone Survey'!$Z283</f>
        <v>263.97480499999995</v>
      </c>
      <c r="F50" s="279">
        <f>'Level Calculation Drone Survey'!$Z227</f>
        <v>264.07480499999997</v>
      </c>
      <c r="G50" s="279">
        <f>'Level Calculation Drone Survey'!$Z227</f>
        <v>264.07480499999997</v>
      </c>
      <c r="H50" s="279">
        <f>'Level Calculation Drone Survey'!$Z227</f>
        <v>264.07480499999997</v>
      </c>
      <c r="I50" s="279">
        <f>'Level Calculation Drone Survey'!$Z227</f>
        <v>264.07480499999997</v>
      </c>
      <c r="J50" s="279">
        <f>'Level Calculation Drone Survey'!$Z227</f>
        <v>264.07480499999997</v>
      </c>
      <c r="K50" s="279">
        <f>'Level Calculation Drone Survey'!$Z227</f>
        <v>264.07480499999997</v>
      </c>
      <c r="L50" s="279">
        <f>'Level Calculation Drone Survey'!$Z227</f>
        <v>264.07480499999997</v>
      </c>
      <c r="M50" s="279">
        <f>'Level Calculation Drone Survey'!$Z227</f>
        <v>264.07480499999997</v>
      </c>
      <c r="N50" s="279">
        <f>'Level Calculation Drone Survey'!$Z227</f>
        <v>264.07480499999997</v>
      </c>
      <c r="O50" s="279">
        <f>'Level Calculation Drone Survey'!$Z227</f>
        <v>264.07480499999997</v>
      </c>
      <c r="P50" s="279">
        <f>'Level Calculation Drone Survey'!$Z227</f>
        <v>264.07480499999997</v>
      </c>
      <c r="Q50" s="279">
        <f>'Level Calculation Drone Survey'!$Z227</f>
        <v>264.07480499999997</v>
      </c>
      <c r="R50" s="279">
        <f>'Level Calculation Drone Survey'!$Z227</f>
        <v>264.07480499999997</v>
      </c>
      <c r="S50" s="279">
        <f>'Level Calculation Drone Survey'!$Z227</f>
        <v>264.07480499999997</v>
      </c>
      <c r="T50" s="279">
        <f>'Level Calculation Drone Survey'!$Z227</f>
        <v>264.07480499999997</v>
      </c>
      <c r="U50" s="279">
        <f>'Level Calculation Drone Survey'!$Z227</f>
        <v>264.07480499999997</v>
      </c>
      <c r="V50" s="279">
        <f>'Level Calculation Drone Survey'!$Z227</f>
        <v>264.07480499999997</v>
      </c>
      <c r="W50" s="279">
        <f>'Level Calculation Drone Survey'!$Z227</f>
        <v>264.07480499999997</v>
      </c>
      <c r="X50" s="279">
        <f>'Level Calculation Drone Survey'!$Z227</f>
        <v>264.07480499999997</v>
      </c>
      <c r="Y50" s="279">
        <f>'Level Calculation Drone Survey'!$Z227</f>
        <v>264.07480499999997</v>
      </c>
      <c r="Z50" s="305">
        <f>'Level Calculation Drone Survey'!$Z362</f>
        <v>263.87480499999998</v>
      </c>
      <c r="AA50" s="305">
        <f>'Level Calculation Drone Survey'!$Z362</f>
        <v>263.87480499999998</v>
      </c>
      <c r="AB50" s="305"/>
      <c r="AC50" s="281"/>
      <c r="AD50" s="191"/>
      <c r="AE50" s="191"/>
      <c r="AF50" s="191"/>
      <c r="AG50" s="191"/>
      <c r="AH50" s="191"/>
      <c r="AI50" s="191"/>
      <c r="AJ50" s="191"/>
      <c r="AK50" s="191"/>
      <c r="AL50" s="191"/>
      <c r="AM50" s="191"/>
      <c r="AN50" s="191"/>
      <c r="AO50" s="191"/>
      <c r="AP50" s="191"/>
      <c r="AQ50" s="191"/>
      <c r="AR50" s="191"/>
      <c r="AS50" s="191"/>
      <c r="AT50" s="191"/>
      <c r="AU50" s="191"/>
      <c r="AV50" s="191"/>
      <c r="AW50" s="191"/>
      <c r="AX50" s="191"/>
      <c r="AY50" s="191"/>
      <c r="AZ50" s="191"/>
      <c r="BA50" s="305">
        <f>'Level Calculation Drone Survey'!$Z557</f>
        <v>263.789838095238</v>
      </c>
      <c r="BB50" s="305">
        <f>'Level Calculation Drone Survey'!$Z557</f>
        <v>263.789838095238</v>
      </c>
      <c r="BC50" s="305">
        <f>'Level Calculation Drone Survey'!$Z557</f>
        <v>263.789838095238</v>
      </c>
      <c r="BD50" s="305">
        <f>'Level Calculation Drone Survey'!$Z557</f>
        <v>263.789838095238</v>
      </c>
      <c r="BE50" s="305">
        <f>'Level Calculation Drone Survey'!$Z557</f>
        <v>263.789838095238</v>
      </c>
      <c r="BF50" s="279">
        <f>'Level Calculation Drone Survey'!$Z164</f>
        <v>263.88983809523802</v>
      </c>
      <c r="BG50" s="279">
        <f>'Level Calculation Drone Survey'!$Z164</f>
        <v>263.88983809523802</v>
      </c>
      <c r="BH50" s="279">
        <f>'Level Calculation Drone Survey'!$Z164</f>
        <v>263.88983809523802</v>
      </c>
      <c r="BI50" s="279">
        <f>'Level Calculation Drone Survey'!$Z164</f>
        <v>263.88983809523802</v>
      </c>
      <c r="BJ50" s="279">
        <f>'Level Calculation Drone Survey'!$Z164</f>
        <v>263.88983809523802</v>
      </c>
      <c r="BK50" s="279">
        <f>'Level Calculation Drone Survey'!$Z164</f>
        <v>263.88983809523802</v>
      </c>
      <c r="BL50" s="279">
        <f>'Level Calculation Drone Survey'!$Z164</f>
        <v>263.88983809523802</v>
      </c>
      <c r="BM50" s="279">
        <f>'Level Calculation Drone Survey'!$Z164</f>
        <v>263.88983809523802</v>
      </c>
      <c r="BN50" s="279">
        <f>'Level Calculation Drone Survey'!$Z164</f>
        <v>263.88983809523802</v>
      </c>
      <c r="BO50" s="279">
        <f>'Level Calculation Drone Survey'!$Z164</f>
        <v>263.88983809523802</v>
      </c>
      <c r="BP50" s="279">
        <f>'Level Calculation Drone Survey'!$Z164</f>
        <v>263.88983809523802</v>
      </c>
      <c r="BQ50" s="279">
        <f>'Level Calculation Drone Survey'!$Z164</f>
        <v>263.88983809523802</v>
      </c>
      <c r="BR50" s="279">
        <f>'Level Calculation Drone Survey'!$Z164</f>
        <v>263.88983809523802</v>
      </c>
      <c r="BS50" s="279">
        <f>'Level Calculation Drone Survey'!$Z164</f>
        <v>263.88983809523802</v>
      </c>
      <c r="BT50" s="279">
        <f>'Level Calculation Drone Survey'!$Z164</f>
        <v>263.88983809523802</v>
      </c>
      <c r="BU50" s="279">
        <f>'Level Calculation Drone Survey'!$Z164</f>
        <v>263.88983809523802</v>
      </c>
      <c r="BV50" s="279">
        <f>'Level Calculation Drone Survey'!$Z164</f>
        <v>263.88983809523802</v>
      </c>
      <c r="BW50" s="279">
        <f>'Level Calculation Drone Survey'!$Z164</f>
        <v>263.88983809523802</v>
      </c>
      <c r="BX50" s="279">
        <f>'Level Calculation Drone Survey'!$Z164</f>
        <v>263.88983809523802</v>
      </c>
      <c r="BY50" s="279">
        <f>'Level Calculation Drone Survey'!$Z164</f>
        <v>263.88983809523802</v>
      </c>
      <c r="BZ50" s="279">
        <f>'Level Calculation Drone Survey'!$Z164</f>
        <v>263.88983809523802</v>
      </c>
      <c r="CA50" s="313">
        <f>'Level Calculation Drone Survey'!$Z631</f>
        <v>263.63540476190474</v>
      </c>
      <c r="CB50" s="313">
        <f>'Level Calculation Drone Survey'!$Z631</f>
        <v>263.63540476190474</v>
      </c>
      <c r="CC50" s="279">
        <f>'Level Calculation Drone Survey'!$Z143</f>
        <v>263.63540476190474</v>
      </c>
      <c r="CD50" s="279">
        <f>'Level Calculation Drone Survey'!$Z143</f>
        <v>263.63540476190474</v>
      </c>
      <c r="CE50" s="279">
        <f>'Level Calculation Drone Survey'!$Z143</f>
        <v>263.63540476190474</v>
      </c>
      <c r="CF50" s="279">
        <f>'Level Calculation Drone Survey'!$Z143</f>
        <v>263.63540476190474</v>
      </c>
      <c r="CG50" s="279">
        <f>'Level Calculation Drone Survey'!$Z143</f>
        <v>263.63540476190474</v>
      </c>
      <c r="CH50" s="279">
        <f>'Level Calculation Drone Survey'!$Z143</f>
        <v>263.63540476190474</v>
      </c>
      <c r="CI50" s="279">
        <f>'Level Calculation Drone Survey'!$Z143</f>
        <v>263.63540476190474</v>
      </c>
      <c r="CJ50" s="279">
        <f>'Level Calculation Drone Survey'!$Z143</f>
        <v>263.63540476190474</v>
      </c>
      <c r="CK50" s="279">
        <f>'Level Calculation Drone Survey'!$Z143</f>
        <v>263.63540476190474</v>
      </c>
      <c r="CL50" s="279">
        <f>'Level Calculation Drone Survey'!$Z143</f>
        <v>263.63540476190474</v>
      </c>
      <c r="CM50" s="279">
        <f>'Level Calculation Drone Survey'!$Z143</f>
        <v>263.63540476190474</v>
      </c>
      <c r="CN50" s="279">
        <f>'Level Calculation Drone Survey'!$Z143</f>
        <v>263.63540476190474</v>
      </c>
      <c r="CO50" s="279">
        <f>'Level Calculation Drone Survey'!$Z143</f>
        <v>263.63540476190474</v>
      </c>
      <c r="CP50" s="279">
        <f>'Level Calculation Drone Survey'!$Z143</f>
        <v>263.63540476190474</v>
      </c>
      <c r="CQ50" s="279">
        <f>'Level Calculation Drone Survey'!$Z143</f>
        <v>263.63540476190474</v>
      </c>
      <c r="CR50" s="279">
        <f>'Level Calculation Drone Survey'!$Z143</f>
        <v>263.63540476190474</v>
      </c>
      <c r="CS50" s="279">
        <f>'Level Calculation Drone Survey'!$Z143</f>
        <v>263.63540476190474</v>
      </c>
      <c r="CT50" s="279">
        <f>'Level Calculation Drone Survey'!$Z143</f>
        <v>263.63540476190474</v>
      </c>
      <c r="CU50" s="279">
        <f>'Level Calculation Drone Survey'!$Z143</f>
        <v>263.63540476190474</v>
      </c>
      <c r="CV50" s="279">
        <f>'Level Calculation Drone Survey'!$Z143</f>
        <v>263.63540476190474</v>
      </c>
      <c r="CW50" s="279">
        <f>'Level Calculation Drone Survey'!$Z143</f>
        <v>263.63540476190474</v>
      </c>
      <c r="CX50" s="316">
        <f>'Level Calculation Drone Survey'!$Z527</f>
        <v>263.39016666666657</v>
      </c>
      <c r="CY50" s="279">
        <f>'Level Calculation Drone Survey'!$Z122</f>
        <v>263.44016666666658</v>
      </c>
      <c r="CZ50" s="279">
        <f>'Level Calculation Drone Survey'!$Z122</f>
        <v>263.44016666666658</v>
      </c>
      <c r="DA50" s="279">
        <f>'Level Calculation Drone Survey'!$Z122</f>
        <v>263.44016666666658</v>
      </c>
      <c r="DB50" s="279">
        <f>'Level Calculation Drone Survey'!$Z122</f>
        <v>263.44016666666658</v>
      </c>
      <c r="DC50" s="279">
        <f>'Level Calculation Drone Survey'!$Z122</f>
        <v>263.44016666666658</v>
      </c>
      <c r="DD50" s="279">
        <f>'Level Calculation Drone Survey'!$Z122</f>
        <v>263.44016666666658</v>
      </c>
      <c r="DE50" s="279">
        <f>'Level Calculation Drone Survey'!$Z122</f>
        <v>263.44016666666658</v>
      </c>
      <c r="DF50" s="279">
        <f>'Level Calculation Drone Survey'!$Z122</f>
        <v>263.44016666666658</v>
      </c>
      <c r="DG50" s="279">
        <f>'Level Calculation Drone Survey'!$Z122</f>
        <v>263.44016666666658</v>
      </c>
      <c r="DH50" s="279">
        <f>'Level Calculation Drone Survey'!$Z122</f>
        <v>263.44016666666658</v>
      </c>
      <c r="DI50" s="279">
        <f>'Level Calculation Drone Survey'!$Z122</f>
        <v>263.44016666666658</v>
      </c>
      <c r="DJ50" s="279">
        <f>'Level Calculation Drone Survey'!$Z122</f>
        <v>263.44016666666658</v>
      </c>
      <c r="DK50" s="279">
        <f>'Level Calculation Drone Survey'!$Z122</f>
        <v>263.44016666666658</v>
      </c>
      <c r="DL50" s="279">
        <f>'Level Calculation Drone Survey'!$Z122</f>
        <v>263.44016666666658</v>
      </c>
      <c r="DM50" s="279">
        <f>'Level Calculation Drone Survey'!$Z122</f>
        <v>263.44016666666658</v>
      </c>
      <c r="DN50" s="279">
        <f>'Level Calculation Drone Survey'!$Z122</f>
        <v>263.44016666666658</v>
      </c>
      <c r="DO50" s="279">
        <f>'Level Calculation Drone Survey'!$Z122</f>
        <v>263.44016666666658</v>
      </c>
      <c r="DP50" s="279">
        <f>'Level Calculation Drone Survey'!$Z122</f>
        <v>263.44016666666658</v>
      </c>
      <c r="DQ50" s="279">
        <f>'Level Calculation Drone Survey'!$Z122</f>
        <v>263.44016666666658</v>
      </c>
      <c r="DR50" s="279">
        <f>'Level Calculation Drone Survey'!$Z122</f>
        <v>263.44016666666658</v>
      </c>
      <c r="DS50" s="279">
        <f>'Level Calculation Drone Survey'!$Z122</f>
        <v>263.44016666666658</v>
      </c>
      <c r="DT50" s="313">
        <f>'Level Calculation Drone Survey'!$Z706</f>
        <v>263.34016666666656</v>
      </c>
      <c r="DU50" s="313">
        <f>'Level Calculation Drone Survey'!$Z706</f>
        <v>263.34016666666656</v>
      </c>
      <c r="DV50" s="279">
        <f>'Level Calculation Drone Survey'!$Z40</f>
        <v>263.44499375000004</v>
      </c>
      <c r="DW50" s="279">
        <f>'Level Calculation Drone Survey'!$Z40</f>
        <v>263.44499375000004</v>
      </c>
      <c r="DX50" s="279">
        <f>'Level Calculation Drone Survey'!$Z40</f>
        <v>263.44499375000004</v>
      </c>
      <c r="DY50" s="279">
        <f>'Level Calculation Drone Survey'!$Z40</f>
        <v>263.44499375000004</v>
      </c>
      <c r="DZ50" s="279">
        <f>'Level Calculation Drone Survey'!$Z40</f>
        <v>263.44499375000004</v>
      </c>
      <c r="EA50" s="279">
        <f>'Level Calculation Drone Survey'!$Z40</f>
        <v>263.44499375000004</v>
      </c>
      <c r="EB50" s="279">
        <f>'Level Calculation Drone Survey'!$Z40</f>
        <v>263.44499375000004</v>
      </c>
      <c r="EC50" s="279">
        <f>'Level Calculation Drone Survey'!$Z40</f>
        <v>263.44499375000004</v>
      </c>
      <c r="ED50" s="279">
        <f>'Level Calculation Drone Survey'!$Z40</f>
        <v>263.44499375000004</v>
      </c>
      <c r="EE50" s="279">
        <f>'Level Calculation Drone Survey'!$Z40</f>
        <v>263.44499375000004</v>
      </c>
      <c r="EF50" s="279">
        <f>'Level Calculation Drone Survey'!$Z40</f>
        <v>263.44499375000004</v>
      </c>
      <c r="EG50" s="279">
        <f>'Level Calculation Drone Survey'!$Z40</f>
        <v>263.44499375000004</v>
      </c>
      <c r="EH50" s="279">
        <f>'Level Calculation Drone Survey'!$Z40</f>
        <v>263.44499375000004</v>
      </c>
      <c r="EI50" s="279">
        <f>'Level Calculation Drone Survey'!$Z40</f>
        <v>263.44499375000004</v>
      </c>
      <c r="EJ50" s="279">
        <f>'Level Calculation Drone Survey'!$Z40</f>
        <v>263.44499375000004</v>
      </c>
      <c r="EK50" s="279">
        <f>'Level Calculation Drone Survey'!$Z40</f>
        <v>263.44499375000004</v>
      </c>
      <c r="EL50" s="318">
        <f>'Level Calculation Drone Survey'!$Z765</f>
        <v>263.19999375000003</v>
      </c>
      <c r="EM50" s="325">
        <f>'Level Calculation Drone Survey'!$Z765</f>
        <v>263.19999375000003</v>
      </c>
      <c r="EN50" s="325">
        <f>'Level Calculation Drone Survey'!$Z765</f>
        <v>263.19999375000003</v>
      </c>
      <c r="EO50" s="325">
        <f>'Level Calculation Drone Survey'!$Z765</f>
        <v>263.19999375000003</v>
      </c>
      <c r="EP50" s="325">
        <f>'Level Calculation Drone Survey'!$Z765</f>
        <v>263.19999375000003</v>
      </c>
      <c r="EQ50" s="325">
        <f>'Level Calculation Drone Survey'!$Z765</f>
        <v>263.19999375000003</v>
      </c>
      <c r="ER50" s="325">
        <f>'Level Calculation Drone Survey'!$Z765</f>
        <v>263.19999375000003</v>
      </c>
      <c r="ES50" s="325">
        <f>'Level Calculation Drone Survey'!$Z765</f>
        <v>263.19999375000003</v>
      </c>
      <c r="ET50" s="325">
        <f>'Level Calculation Drone Survey'!$Z765</f>
        <v>263.19999375000003</v>
      </c>
      <c r="EU50" s="325">
        <f>'Level Calculation Drone Survey'!$Z765</f>
        <v>263.19999375000003</v>
      </c>
      <c r="EV50" s="318">
        <f>'Level Calculation Drone Survey'!$Z765</f>
        <v>263.19999375000003</v>
      </c>
      <c r="EW50" s="191"/>
      <c r="EX50" s="191"/>
      <c r="EY50" s="191"/>
    </row>
    <row r="51" spans="1:155" ht="45" customHeight="1" x14ac:dyDescent="0.45">
      <c r="A51" s="277">
        <v>250</v>
      </c>
      <c r="B51" s="305"/>
      <c r="C51" s="305">
        <f>'Level Calculation Drone Survey'!$Z284</f>
        <v>264.02480499999996</v>
      </c>
      <c r="D51" s="305">
        <f>'Level Calculation Drone Survey'!$Z284</f>
        <v>264.02480499999996</v>
      </c>
      <c r="E51" s="305">
        <f>'Level Calculation Drone Survey'!$Z284</f>
        <v>264.02480499999996</v>
      </c>
      <c r="F51" s="279">
        <f>'Level Calculation Drone Survey'!$Z228</f>
        <v>264.12480499999998</v>
      </c>
      <c r="G51" s="279">
        <f>'Level Calculation Drone Survey'!$Z228</f>
        <v>264.12480499999998</v>
      </c>
      <c r="H51" s="279">
        <f>'Level Calculation Drone Survey'!$Z228</f>
        <v>264.12480499999998</v>
      </c>
      <c r="I51" s="279">
        <f>'Level Calculation Drone Survey'!$Z228</f>
        <v>264.12480499999998</v>
      </c>
      <c r="J51" s="279">
        <f>'Level Calculation Drone Survey'!$Z228</f>
        <v>264.12480499999998</v>
      </c>
      <c r="K51" s="279">
        <f>'Level Calculation Drone Survey'!$Z228</f>
        <v>264.12480499999998</v>
      </c>
      <c r="L51" s="279">
        <f>'Level Calculation Drone Survey'!$Z228</f>
        <v>264.12480499999998</v>
      </c>
      <c r="M51" s="279">
        <f>'Level Calculation Drone Survey'!$Z228</f>
        <v>264.12480499999998</v>
      </c>
      <c r="N51" s="279">
        <f>'Level Calculation Drone Survey'!$Z228</f>
        <v>264.12480499999998</v>
      </c>
      <c r="O51" s="279">
        <f>'Level Calculation Drone Survey'!$Z228</f>
        <v>264.12480499999998</v>
      </c>
      <c r="P51" s="279">
        <f>'Level Calculation Drone Survey'!$Z228</f>
        <v>264.12480499999998</v>
      </c>
      <c r="Q51" s="279">
        <f>'Level Calculation Drone Survey'!$Z228</f>
        <v>264.12480499999998</v>
      </c>
      <c r="R51" s="279">
        <f>'Level Calculation Drone Survey'!$Z228</f>
        <v>264.12480499999998</v>
      </c>
      <c r="S51" s="279">
        <f>'Level Calculation Drone Survey'!$Z228</f>
        <v>264.12480499999998</v>
      </c>
      <c r="T51" s="279">
        <f>'Level Calculation Drone Survey'!$Z228</f>
        <v>264.12480499999998</v>
      </c>
      <c r="U51" s="279">
        <f>'Level Calculation Drone Survey'!$Z228</f>
        <v>264.12480499999998</v>
      </c>
      <c r="V51" s="279">
        <f>'Level Calculation Drone Survey'!$Z228</f>
        <v>264.12480499999998</v>
      </c>
      <c r="W51" s="279">
        <f>'Level Calculation Drone Survey'!$Z228</f>
        <v>264.12480499999998</v>
      </c>
      <c r="X51" s="279">
        <f>'Level Calculation Drone Survey'!$Z228</f>
        <v>264.12480499999998</v>
      </c>
      <c r="Y51" s="279">
        <f>'Level Calculation Drone Survey'!$Z228</f>
        <v>264.12480499999998</v>
      </c>
      <c r="Z51" s="305">
        <f>'Level Calculation Drone Survey'!$Z363</f>
        <v>263.92480499999999</v>
      </c>
      <c r="AA51" s="305">
        <f>'Level Calculation Drone Survey'!$Z363</f>
        <v>263.92480499999999</v>
      </c>
      <c r="AB51" s="305"/>
      <c r="AC51" s="281"/>
      <c r="AD51" s="191"/>
      <c r="AE51" s="191"/>
      <c r="AF51" s="191"/>
      <c r="AG51" s="191"/>
      <c r="AH51" s="191"/>
      <c r="AI51" s="191"/>
      <c r="AJ51" s="191"/>
      <c r="AK51" s="191"/>
      <c r="AL51" s="191"/>
      <c r="AM51" s="191"/>
      <c r="AN51" s="191"/>
      <c r="AO51" s="191"/>
      <c r="AP51" s="191"/>
      <c r="AQ51" s="191"/>
      <c r="AR51" s="191"/>
      <c r="AS51" s="191"/>
      <c r="AT51" s="191"/>
      <c r="AU51" s="191"/>
      <c r="AV51" s="191"/>
      <c r="AW51" s="191"/>
      <c r="AX51" s="191"/>
      <c r="AY51" s="191"/>
      <c r="AZ51" s="191"/>
      <c r="BA51" s="305">
        <f>'Level Calculation Drone Survey'!$Z558</f>
        <v>263.83983809523801</v>
      </c>
      <c r="BB51" s="305">
        <f>'Level Calculation Drone Survey'!$Z558</f>
        <v>263.83983809523801</v>
      </c>
      <c r="BC51" s="305">
        <f>'Level Calculation Drone Survey'!$Z558</f>
        <v>263.83983809523801</v>
      </c>
      <c r="BD51" s="305">
        <f>'Level Calculation Drone Survey'!$Z558</f>
        <v>263.83983809523801</v>
      </c>
      <c r="BE51" s="305">
        <f>'Level Calculation Drone Survey'!$Z558</f>
        <v>263.83983809523801</v>
      </c>
      <c r="BF51" s="280">
        <f>'Level Calculation Drone Survey'!$Z165</f>
        <v>263.93983809523803</v>
      </c>
      <c r="BG51" s="280">
        <f>'Level Calculation Drone Survey'!$Z165</f>
        <v>263.93983809523803</v>
      </c>
      <c r="BH51" s="280">
        <f>'Level Calculation Drone Survey'!$Z165</f>
        <v>263.93983809523803</v>
      </c>
      <c r="BI51" s="280">
        <f>'Level Calculation Drone Survey'!$Z165</f>
        <v>263.93983809523803</v>
      </c>
      <c r="BJ51" s="280">
        <f>'Level Calculation Drone Survey'!$Z165</f>
        <v>263.93983809523803</v>
      </c>
      <c r="BK51" s="280">
        <f>'Level Calculation Drone Survey'!$Z165</f>
        <v>263.93983809523803</v>
      </c>
      <c r="BL51" s="280">
        <f>'Level Calculation Drone Survey'!$Z165</f>
        <v>263.93983809523803</v>
      </c>
      <c r="BM51" s="280">
        <f>'Level Calculation Drone Survey'!$Z165</f>
        <v>263.93983809523803</v>
      </c>
      <c r="BN51" s="280">
        <f>'Level Calculation Drone Survey'!$Z165</f>
        <v>263.93983809523803</v>
      </c>
      <c r="BO51" s="280">
        <f>'Level Calculation Drone Survey'!$Z165</f>
        <v>263.93983809523803</v>
      </c>
      <c r="BP51" s="280">
        <f>'Level Calculation Drone Survey'!$Z165</f>
        <v>263.93983809523803</v>
      </c>
      <c r="BQ51" s="280">
        <f>'Level Calculation Drone Survey'!$Z165</f>
        <v>263.93983809523803</v>
      </c>
      <c r="BR51" s="280">
        <f>'Level Calculation Drone Survey'!$Z165</f>
        <v>263.93983809523803</v>
      </c>
      <c r="BS51" s="280">
        <f>'Level Calculation Drone Survey'!$Z165</f>
        <v>263.93983809523803</v>
      </c>
      <c r="BT51" s="280">
        <f>'Level Calculation Drone Survey'!$Z165</f>
        <v>263.93983809523803</v>
      </c>
      <c r="BU51" s="280">
        <f>'Level Calculation Drone Survey'!$Z165</f>
        <v>263.93983809523803</v>
      </c>
      <c r="BV51" s="280">
        <f>'Level Calculation Drone Survey'!$Z165</f>
        <v>263.93983809523803</v>
      </c>
      <c r="BW51" s="280">
        <f>'Level Calculation Drone Survey'!$Z165</f>
        <v>263.93983809523803</v>
      </c>
      <c r="BX51" s="280">
        <f>'Level Calculation Drone Survey'!$Z165</f>
        <v>263.93983809523803</v>
      </c>
      <c r="BY51" s="280">
        <f>'Level Calculation Drone Survey'!$Z165</f>
        <v>263.93983809523803</v>
      </c>
      <c r="BZ51" s="280">
        <f>'Level Calculation Drone Survey'!$Z165</f>
        <v>263.93983809523803</v>
      </c>
      <c r="CA51" s="313">
        <f>'Level Calculation Drone Survey'!$Z632</f>
        <v>263.68540476190475</v>
      </c>
      <c r="CB51" s="313">
        <f>'Level Calculation Drone Survey'!$Z632</f>
        <v>263.68540476190475</v>
      </c>
      <c r="CC51" s="279">
        <f>'Level Calculation Drone Survey'!$Z144</f>
        <v>263.68540476190475</v>
      </c>
      <c r="CD51" s="279">
        <f>'Level Calculation Drone Survey'!$Z144</f>
        <v>263.68540476190475</v>
      </c>
      <c r="CE51" s="279">
        <f>'Level Calculation Drone Survey'!$Z144</f>
        <v>263.68540476190475</v>
      </c>
      <c r="CF51" s="279">
        <f>'Level Calculation Drone Survey'!$Z144</f>
        <v>263.68540476190475</v>
      </c>
      <c r="CG51" s="279">
        <f>'Level Calculation Drone Survey'!$Z144</f>
        <v>263.68540476190475</v>
      </c>
      <c r="CH51" s="279">
        <f>'Level Calculation Drone Survey'!$Z144</f>
        <v>263.68540476190475</v>
      </c>
      <c r="CI51" s="279">
        <f>'Level Calculation Drone Survey'!$Z144</f>
        <v>263.68540476190475</v>
      </c>
      <c r="CJ51" s="279">
        <f>'Level Calculation Drone Survey'!$Z144</f>
        <v>263.68540476190475</v>
      </c>
      <c r="CK51" s="279">
        <f>'Level Calculation Drone Survey'!$Z144</f>
        <v>263.68540476190475</v>
      </c>
      <c r="CL51" s="279">
        <f>'Level Calculation Drone Survey'!$Z144</f>
        <v>263.68540476190475</v>
      </c>
      <c r="CM51" s="279">
        <f>'Level Calculation Drone Survey'!$Z144</f>
        <v>263.68540476190475</v>
      </c>
      <c r="CN51" s="279">
        <f>'Level Calculation Drone Survey'!$Z144</f>
        <v>263.68540476190475</v>
      </c>
      <c r="CO51" s="279">
        <f>'Level Calculation Drone Survey'!$Z144</f>
        <v>263.68540476190475</v>
      </c>
      <c r="CP51" s="279">
        <f>'Level Calculation Drone Survey'!$Z144</f>
        <v>263.68540476190475</v>
      </c>
      <c r="CQ51" s="279">
        <f>'Level Calculation Drone Survey'!$Z144</f>
        <v>263.68540476190475</v>
      </c>
      <c r="CR51" s="279">
        <f>'Level Calculation Drone Survey'!$Z144</f>
        <v>263.68540476190475</v>
      </c>
      <c r="CS51" s="279">
        <f>'Level Calculation Drone Survey'!$Z144</f>
        <v>263.68540476190475</v>
      </c>
      <c r="CT51" s="279">
        <f>'Level Calculation Drone Survey'!$Z144</f>
        <v>263.68540476190475</v>
      </c>
      <c r="CU51" s="279">
        <f>'Level Calculation Drone Survey'!$Z144</f>
        <v>263.68540476190475</v>
      </c>
      <c r="CV51" s="279">
        <f>'Level Calculation Drone Survey'!$Z144</f>
        <v>263.68540476190475</v>
      </c>
      <c r="CW51" s="279">
        <f>'Level Calculation Drone Survey'!$Z144</f>
        <v>263.68540476190475</v>
      </c>
      <c r="CX51" s="316">
        <f>'Level Calculation Drone Survey'!$Z528</f>
        <v>263.44016666666658</v>
      </c>
      <c r="CY51" s="279">
        <f>'Level Calculation Drone Survey'!$Z123</f>
        <v>263.4901666666666</v>
      </c>
      <c r="CZ51" s="279">
        <f>'Level Calculation Drone Survey'!$Z123</f>
        <v>263.4901666666666</v>
      </c>
      <c r="DA51" s="279">
        <f>'Level Calculation Drone Survey'!$Z123</f>
        <v>263.4901666666666</v>
      </c>
      <c r="DB51" s="279">
        <f>'Level Calculation Drone Survey'!$Z123</f>
        <v>263.4901666666666</v>
      </c>
      <c r="DC51" s="279">
        <f>'Level Calculation Drone Survey'!$Z123</f>
        <v>263.4901666666666</v>
      </c>
      <c r="DD51" s="279">
        <f>'Level Calculation Drone Survey'!$Z123</f>
        <v>263.4901666666666</v>
      </c>
      <c r="DE51" s="279">
        <f>'Level Calculation Drone Survey'!$Z123</f>
        <v>263.4901666666666</v>
      </c>
      <c r="DF51" s="279">
        <f>'Level Calculation Drone Survey'!$Z123</f>
        <v>263.4901666666666</v>
      </c>
      <c r="DG51" s="279">
        <f>'Level Calculation Drone Survey'!$Z123</f>
        <v>263.4901666666666</v>
      </c>
      <c r="DH51" s="279">
        <f>'Level Calculation Drone Survey'!$Z123</f>
        <v>263.4901666666666</v>
      </c>
      <c r="DI51" s="279">
        <f>'Level Calculation Drone Survey'!$Z123</f>
        <v>263.4901666666666</v>
      </c>
      <c r="DJ51" s="279">
        <f>'Level Calculation Drone Survey'!$Z123</f>
        <v>263.4901666666666</v>
      </c>
      <c r="DK51" s="279">
        <f>'Level Calculation Drone Survey'!$Z123</f>
        <v>263.4901666666666</v>
      </c>
      <c r="DL51" s="279">
        <f>'Level Calculation Drone Survey'!$Z123</f>
        <v>263.4901666666666</v>
      </c>
      <c r="DM51" s="279">
        <f>'Level Calculation Drone Survey'!$Z123</f>
        <v>263.4901666666666</v>
      </c>
      <c r="DN51" s="279">
        <f>'Level Calculation Drone Survey'!$Z123</f>
        <v>263.4901666666666</v>
      </c>
      <c r="DO51" s="279">
        <f>'Level Calculation Drone Survey'!$Z123</f>
        <v>263.4901666666666</v>
      </c>
      <c r="DP51" s="279">
        <f>'Level Calculation Drone Survey'!$Z123</f>
        <v>263.4901666666666</v>
      </c>
      <c r="DQ51" s="279">
        <f>'Level Calculation Drone Survey'!$Z123</f>
        <v>263.4901666666666</v>
      </c>
      <c r="DR51" s="279">
        <f>'Level Calculation Drone Survey'!$Z123</f>
        <v>263.4901666666666</v>
      </c>
      <c r="DS51" s="279">
        <f>'Level Calculation Drone Survey'!$Z123</f>
        <v>263.4901666666666</v>
      </c>
      <c r="DT51" s="313">
        <f>'Level Calculation Drone Survey'!$Z707</f>
        <v>263.39016666666657</v>
      </c>
      <c r="DU51" s="313">
        <f>'Level Calculation Drone Survey'!$Z707</f>
        <v>263.39016666666657</v>
      </c>
      <c r="DV51" s="279">
        <f>'Level Calculation Drone Survey'!$Z41</f>
        <v>263.49499375000005</v>
      </c>
      <c r="DW51" s="279">
        <f>'Level Calculation Drone Survey'!$Z41</f>
        <v>263.49499375000005</v>
      </c>
      <c r="DX51" s="279">
        <f>'Level Calculation Drone Survey'!$Z41</f>
        <v>263.49499375000005</v>
      </c>
      <c r="DY51" s="279">
        <f>'Level Calculation Drone Survey'!$Z41</f>
        <v>263.49499375000005</v>
      </c>
      <c r="DZ51" s="279">
        <f>'Level Calculation Drone Survey'!$Z41</f>
        <v>263.49499375000005</v>
      </c>
      <c r="EA51" s="279">
        <f>'Level Calculation Drone Survey'!$Z41</f>
        <v>263.49499375000005</v>
      </c>
      <c r="EB51" s="279">
        <f>'Level Calculation Drone Survey'!$Z41</f>
        <v>263.49499375000005</v>
      </c>
      <c r="EC51" s="279">
        <f>'Level Calculation Drone Survey'!$Z41</f>
        <v>263.49499375000005</v>
      </c>
      <c r="ED51" s="279">
        <f>'Level Calculation Drone Survey'!$Z41</f>
        <v>263.49499375000005</v>
      </c>
      <c r="EE51" s="279">
        <f>'Level Calculation Drone Survey'!$Z41</f>
        <v>263.49499375000005</v>
      </c>
      <c r="EF51" s="279">
        <f>'Level Calculation Drone Survey'!$Z41</f>
        <v>263.49499375000005</v>
      </c>
      <c r="EG51" s="279">
        <f>'Level Calculation Drone Survey'!$Z41</f>
        <v>263.49499375000005</v>
      </c>
      <c r="EH51" s="279">
        <f>'Level Calculation Drone Survey'!$Z41</f>
        <v>263.49499375000005</v>
      </c>
      <c r="EI51" s="279">
        <f>'Level Calculation Drone Survey'!$Z41</f>
        <v>263.49499375000005</v>
      </c>
      <c r="EJ51" s="279">
        <f>'Level Calculation Drone Survey'!$Z41</f>
        <v>263.49499375000005</v>
      </c>
      <c r="EK51" s="279">
        <f>'Level Calculation Drone Survey'!$Z41</f>
        <v>263.49499375000005</v>
      </c>
      <c r="EL51" s="318">
        <f>'Level Calculation Drone Survey'!$Z766</f>
        <v>263.19999375000003</v>
      </c>
      <c r="EM51" s="318">
        <f>'Level Calculation Drone Survey'!$Z766</f>
        <v>263.19999375000003</v>
      </c>
      <c r="EN51" s="318">
        <f>'Level Calculation Drone Survey'!$Z766</f>
        <v>263.19999375000003</v>
      </c>
      <c r="EO51" s="318">
        <f>'Level Calculation Drone Survey'!$Z766</f>
        <v>263.19999375000003</v>
      </c>
      <c r="EP51" s="318">
        <f>'Level Calculation Drone Survey'!$Z766</f>
        <v>263.19999375000003</v>
      </c>
      <c r="EQ51" s="318">
        <f>'Level Calculation Drone Survey'!$Z766</f>
        <v>263.19999375000003</v>
      </c>
      <c r="ER51" s="318">
        <f>'Level Calculation Drone Survey'!$Z766</f>
        <v>263.19999375000003</v>
      </c>
      <c r="ES51" s="318">
        <f>'Level Calculation Drone Survey'!$Z766</f>
        <v>263.19999375000003</v>
      </c>
      <c r="ET51" s="318">
        <f>'Level Calculation Drone Survey'!$Z766</f>
        <v>263.19999375000003</v>
      </c>
      <c r="EU51" s="318">
        <f>'Level Calculation Drone Survey'!$Z766</f>
        <v>263.19999375000003</v>
      </c>
      <c r="EV51" s="318">
        <f>'Level Calculation Drone Survey'!$Z766</f>
        <v>263.19999375000003</v>
      </c>
      <c r="EW51" s="191"/>
      <c r="EX51" s="191"/>
      <c r="EY51" s="191"/>
    </row>
    <row r="52" spans="1:155" ht="45" customHeight="1" x14ac:dyDescent="0.45">
      <c r="A52" s="277">
        <v>255</v>
      </c>
      <c r="B52" s="305"/>
      <c r="C52" s="305">
        <f>'Level Calculation Drone Survey'!$Z285</f>
        <v>264.07480499999997</v>
      </c>
      <c r="D52" s="305">
        <f>'Level Calculation Drone Survey'!$Z285</f>
        <v>264.07480499999997</v>
      </c>
      <c r="E52" s="305">
        <f>'Level Calculation Drone Survey'!$Z285</f>
        <v>264.07480499999997</v>
      </c>
      <c r="F52" s="279">
        <f>'Level Calculation Drone Survey'!$Z229</f>
        <v>264.17480499999999</v>
      </c>
      <c r="G52" s="279">
        <f>'Level Calculation Drone Survey'!$Z229</f>
        <v>264.17480499999999</v>
      </c>
      <c r="H52" s="279">
        <f>'Level Calculation Drone Survey'!$Z229</f>
        <v>264.17480499999999</v>
      </c>
      <c r="I52" s="279">
        <f>'Level Calculation Drone Survey'!$Z229</f>
        <v>264.17480499999999</v>
      </c>
      <c r="J52" s="279">
        <f>'Level Calculation Drone Survey'!$Z229</f>
        <v>264.17480499999999</v>
      </c>
      <c r="K52" s="279">
        <f>'Level Calculation Drone Survey'!$Z229</f>
        <v>264.17480499999999</v>
      </c>
      <c r="L52" s="279">
        <f>'Level Calculation Drone Survey'!$Z229</f>
        <v>264.17480499999999</v>
      </c>
      <c r="M52" s="279">
        <f>'Level Calculation Drone Survey'!$Z229</f>
        <v>264.17480499999999</v>
      </c>
      <c r="N52" s="279">
        <f>'Level Calculation Drone Survey'!$Z229</f>
        <v>264.17480499999999</v>
      </c>
      <c r="O52" s="279">
        <f>'Level Calculation Drone Survey'!$Z229</f>
        <v>264.17480499999999</v>
      </c>
      <c r="P52" s="279">
        <f>'Level Calculation Drone Survey'!$Z229</f>
        <v>264.17480499999999</v>
      </c>
      <c r="Q52" s="279">
        <f>'Level Calculation Drone Survey'!$Z229</f>
        <v>264.17480499999999</v>
      </c>
      <c r="R52" s="279">
        <f>'Level Calculation Drone Survey'!$Z229</f>
        <v>264.17480499999999</v>
      </c>
      <c r="S52" s="279">
        <f>'Level Calculation Drone Survey'!$Z229</f>
        <v>264.17480499999999</v>
      </c>
      <c r="T52" s="279">
        <f>'Level Calculation Drone Survey'!$Z229</f>
        <v>264.17480499999999</v>
      </c>
      <c r="U52" s="279">
        <f>'Level Calculation Drone Survey'!$Z229</f>
        <v>264.17480499999999</v>
      </c>
      <c r="V52" s="279">
        <f>'Level Calculation Drone Survey'!$Z229</f>
        <v>264.17480499999999</v>
      </c>
      <c r="W52" s="279">
        <f>'Level Calculation Drone Survey'!$Z229</f>
        <v>264.17480499999999</v>
      </c>
      <c r="X52" s="279">
        <f>'Level Calculation Drone Survey'!$Z229</f>
        <v>264.17480499999999</v>
      </c>
      <c r="Y52" s="279">
        <f>'Level Calculation Drone Survey'!$Z229</f>
        <v>264.17480499999999</v>
      </c>
      <c r="Z52" s="305">
        <f>'Level Calculation Drone Survey'!$Z364</f>
        <v>263.974805</v>
      </c>
      <c r="AA52" s="305">
        <f>'Level Calculation Drone Survey'!$Z364</f>
        <v>263.974805</v>
      </c>
      <c r="AB52" s="305">
        <f>'Level Calculation Drone Survey'!$Z364</f>
        <v>263.974805</v>
      </c>
      <c r="AC52" s="28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278"/>
      <c r="BB52" s="191"/>
      <c r="BC52" s="278">
        <v>263.80180000000001</v>
      </c>
      <c r="BD52" s="305">
        <f>'Level Calculation Drone Survey'!$Z559</f>
        <v>263.789838095238</v>
      </c>
      <c r="BE52" s="305">
        <f>'Level Calculation Drone Survey'!$Z559</f>
        <v>263.789838095238</v>
      </c>
      <c r="BF52" s="279">
        <f>'Level Calculation Drone Survey'!$Z166</f>
        <v>263.88983809523802</v>
      </c>
      <c r="BG52" s="279">
        <f>'Level Calculation Drone Survey'!$Z166</f>
        <v>263.88983809523802</v>
      </c>
      <c r="BH52" s="279">
        <f>'Level Calculation Drone Survey'!$Z166</f>
        <v>263.88983809523802</v>
      </c>
      <c r="BI52" s="279">
        <f>'Level Calculation Drone Survey'!$Z166</f>
        <v>263.88983809523802</v>
      </c>
      <c r="BJ52" s="279">
        <f>'Level Calculation Drone Survey'!$Z166</f>
        <v>263.88983809523802</v>
      </c>
      <c r="BK52" s="279">
        <f>'Level Calculation Drone Survey'!$Z166</f>
        <v>263.88983809523802</v>
      </c>
      <c r="BL52" s="279">
        <f>'Level Calculation Drone Survey'!$Z166</f>
        <v>263.88983809523802</v>
      </c>
      <c r="BM52" s="279">
        <f>'Level Calculation Drone Survey'!$Z166</f>
        <v>263.88983809523802</v>
      </c>
      <c r="BN52" s="279">
        <f>'Level Calculation Drone Survey'!$Z166</f>
        <v>263.88983809523802</v>
      </c>
      <c r="BO52" s="279">
        <f>'Level Calculation Drone Survey'!$Z166</f>
        <v>263.88983809523802</v>
      </c>
      <c r="BP52" s="279">
        <f>'Level Calculation Drone Survey'!$Z166</f>
        <v>263.88983809523802</v>
      </c>
      <c r="BQ52" s="279">
        <f>'Level Calculation Drone Survey'!$Z166</f>
        <v>263.88983809523802</v>
      </c>
      <c r="BR52" s="279">
        <f>'Level Calculation Drone Survey'!$Z166</f>
        <v>263.88983809523802</v>
      </c>
      <c r="BS52" s="279">
        <f>'Level Calculation Drone Survey'!$Z166</f>
        <v>263.88983809523802</v>
      </c>
      <c r="BT52" s="279">
        <f>'Level Calculation Drone Survey'!$Z166</f>
        <v>263.88983809523802</v>
      </c>
      <c r="BU52" s="279">
        <f>'Level Calculation Drone Survey'!$Z166</f>
        <v>263.88983809523802</v>
      </c>
      <c r="BV52" s="279">
        <f>'Level Calculation Drone Survey'!$Z166</f>
        <v>263.88983809523802</v>
      </c>
      <c r="BW52" s="279">
        <f>'Level Calculation Drone Survey'!$Z166</f>
        <v>263.88983809523802</v>
      </c>
      <c r="BX52" s="279">
        <f>'Level Calculation Drone Survey'!$Z166</f>
        <v>263.88983809523802</v>
      </c>
      <c r="BY52" s="279">
        <f>'Level Calculation Drone Survey'!$Z166</f>
        <v>263.88983809523802</v>
      </c>
      <c r="BZ52" s="279">
        <f>'Level Calculation Drone Survey'!$Z166</f>
        <v>263.88983809523802</v>
      </c>
      <c r="CA52" s="313">
        <f>'Level Calculation Drone Survey'!$Z633</f>
        <v>263.73540476190476</v>
      </c>
      <c r="CB52" s="313">
        <f>'Level Calculation Drone Survey'!$Z633</f>
        <v>263.73540476190476</v>
      </c>
      <c r="CC52" s="279">
        <f>'Level Calculation Drone Survey'!$Z145</f>
        <v>263.73540476190476</v>
      </c>
      <c r="CD52" s="279">
        <f>'Level Calculation Drone Survey'!$Z145</f>
        <v>263.73540476190476</v>
      </c>
      <c r="CE52" s="279">
        <f>'Level Calculation Drone Survey'!$Z145</f>
        <v>263.73540476190476</v>
      </c>
      <c r="CF52" s="279">
        <f>'Level Calculation Drone Survey'!$Z145</f>
        <v>263.73540476190476</v>
      </c>
      <c r="CG52" s="279">
        <f>'Level Calculation Drone Survey'!$Z145</f>
        <v>263.73540476190476</v>
      </c>
      <c r="CH52" s="279">
        <f>'Level Calculation Drone Survey'!$Z145</f>
        <v>263.73540476190476</v>
      </c>
      <c r="CI52" s="279">
        <f>'Level Calculation Drone Survey'!$Z145</f>
        <v>263.73540476190476</v>
      </c>
      <c r="CJ52" s="279">
        <f>'Level Calculation Drone Survey'!$Z145</f>
        <v>263.73540476190476</v>
      </c>
      <c r="CK52" s="279">
        <f>'Level Calculation Drone Survey'!$Z145</f>
        <v>263.73540476190476</v>
      </c>
      <c r="CL52" s="279">
        <f>'Level Calculation Drone Survey'!$Z145</f>
        <v>263.73540476190476</v>
      </c>
      <c r="CM52" s="279">
        <f>'Level Calculation Drone Survey'!$Z145</f>
        <v>263.73540476190476</v>
      </c>
      <c r="CN52" s="279">
        <f>'Level Calculation Drone Survey'!$Z145</f>
        <v>263.73540476190476</v>
      </c>
      <c r="CO52" s="279">
        <f>'Level Calculation Drone Survey'!$Z145</f>
        <v>263.73540476190476</v>
      </c>
      <c r="CP52" s="279">
        <f>'Level Calculation Drone Survey'!$Z145</f>
        <v>263.73540476190476</v>
      </c>
      <c r="CQ52" s="279">
        <f>'Level Calculation Drone Survey'!$Z145</f>
        <v>263.73540476190476</v>
      </c>
      <c r="CR52" s="279">
        <f>'Level Calculation Drone Survey'!$Z145</f>
        <v>263.73540476190476</v>
      </c>
      <c r="CS52" s="279">
        <f>'Level Calculation Drone Survey'!$Z145</f>
        <v>263.73540476190476</v>
      </c>
      <c r="CT52" s="279">
        <f>'Level Calculation Drone Survey'!$Z145</f>
        <v>263.73540476190476</v>
      </c>
      <c r="CU52" s="279">
        <f>'Level Calculation Drone Survey'!$Z145</f>
        <v>263.73540476190476</v>
      </c>
      <c r="CV52" s="279">
        <f>'Level Calculation Drone Survey'!$Z145</f>
        <v>263.73540476190476</v>
      </c>
      <c r="CW52" s="279">
        <f>'Level Calculation Drone Survey'!$Z145</f>
        <v>263.73540476190476</v>
      </c>
      <c r="CX52" s="316">
        <f>'Level Calculation Drone Survey'!$Z529</f>
        <v>263.4901666666666</v>
      </c>
      <c r="CY52" s="279">
        <f>'Level Calculation Drone Survey'!$Z124</f>
        <v>263.54016666666661</v>
      </c>
      <c r="CZ52" s="279">
        <f>'Level Calculation Drone Survey'!$Z124</f>
        <v>263.54016666666661</v>
      </c>
      <c r="DA52" s="279">
        <f>'Level Calculation Drone Survey'!$Z124</f>
        <v>263.54016666666661</v>
      </c>
      <c r="DB52" s="279">
        <f>'Level Calculation Drone Survey'!$Z124</f>
        <v>263.54016666666661</v>
      </c>
      <c r="DC52" s="279">
        <f>'Level Calculation Drone Survey'!$Z124</f>
        <v>263.54016666666661</v>
      </c>
      <c r="DD52" s="279">
        <f>'Level Calculation Drone Survey'!$Z124</f>
        <v>263.54016666666661</v>
      </c>
      <c r="DE52" s="279">
        <f>'Level Calculation Drone Survey'!$Z124</f>
        <v>263.54016666666661</v>
      </c>
      <c r="DF52" s="279">
        <f>'Level Calculation Drone Survey'!$Z124</f>
        <v>263.54016666666661</v>
      </c>
      <c r="DG52" s="279">
        <f>'Level Calculation Drone Survey'!$Z124</f>
        <v>263.54016666666661</v>
      </c>
      <c r="DH52" s="279">
        <f>'Level Calculation Drone Survey'!$Z124</f>
        <v>263.54016666666661</v>
      </c>
      <c r="DI52" s="279">
        <f>'Level Calculation Drone Survey'!$Z124</f>
        <v>263.54016666666661</v>
      </c>
      <c r="DJ52" s="279">
        <f>'Level Calculation Drone Survey'!$Z124</f>
        <v>263.54016666666661</v>
      </c>
      <c r="DK52" s="279">
        <f>'Level Calculation Drone Survey'!$Z124</f>
        <v>263.54016666666661</v>
      </c>
      <c r="DL52" s="279">
        <f>'Level Calculation Drone Survey'!$Z124</f>
        <v>263.54016666666661</v>
      </c>
      <c r="DM52" s="279">
        <f>'Level Calculation Drone Survey'!$Z124</f>
        <v>263.54016666666661</v>
      </c>
      <c r="DN52" s="279">
        <f>'Level Calculation Drone Survey'!$Z124</f>
        <v>263.54016666666661</v>
      </c>
      <c r="DO52" s="279">
        <f>'Level Calculation Drone Survey'!$Z124</f>
        <v>263.54016666666661</v>
      </c>
      <c r="DP52" s="279">
        <f>'Level Calculation Drone Survey'!$Z124</f>
        <v>263.54016666666661</v>
      </c>
      <c r="DQ52" s="279">
        <f>'Level Calculation Drone Survey'!$Z124</f>
        <v>263.54016666666661</v>
      </c>
      <c r="DR52" s="279">
        <f>'Level Calculation Drone Survey'!$Z124</f>
        <v>263.54016666666661</v>
      </c>
      <c r="DS52" s="279">
        <f>'Level Calculation Drone Survey'!$Z124</f>
        <v>263.54016666666661</v>
      </c>
      <c r="DT52" s="313">
        <f>'Level Calculation Drone Survey'!$Z708</f>
        <v>263.44016666666658</v>
      </c>
      <c r="DU52" s="313">
        <f>'Level Calculation Drone Survey'!$Z708</f>
        <v>263.44016666666658</v>
      </c>
      <c r="DV52" s="279">
        <f>'Level Calculation Drone Survey'!$Z42</f>
        <v>263.54499375000006</v>
      </c>
      <c r="DW52" s="279">
        <f>'Level Calculation Drone Survey'!$Z42</f>
        <v>263.54499375000006</v>
      </c>
      <c r="DX52" s="279">
        <f>'Level Calculation Drone Survey'!$Z42</f>
        <v>263.54499375000006</v>
      </c>
      <c r="DY52" s="279">
        <f>'Level Calculation Drone Survey'!$Z42</f>
        <v>263.54499375000006</v>
      </c>
      <c r="DZ52" s="279">
        <f>'Level Calculation Drone Survey'!$Z42</f>
        <v>263.54499375000006</v>
      </c>
      <c r="EA52" s="279">
        <f>'Level Calculation Drone Survey'!$Z42</f>
        <v>263.54499375000006</v>
      </c>
      <c r="EB52" s="279">
        <f>'Level Calculation Drone Survey'!$Z42</f>
        <v>263.54499375000006</v>
      </c>
      <c r="EC52" s="279">
        <f>'Level Calculation Drone Survey'!$Z42</f>
        <v>263.54499375000006</v>
      </c>
      <c r="ED52" s="279">
        <f>'Level Calculation Drone Survey'!$Z42</f>
        <v>263.54499375000006</v>
      </c>
      <c r="EE52" s="279">
        <f>'Level Calculation Drone Survey'!$Z42</f>
        <v>263.54499375000006</v>
      </c>
      <c r="EF52" s="279">
        <f>'Level Calculation Drone Survey'!$Z42</f>
        <v>263.54499375000006</v>
      </c>
      <c r="EG52" s="279">
        <f>'Level Calculation Drone Survey'!$Z42</f>
        <v>263.54499375000006</v>
      </c>
      <c r="EH52" s="279">
        <f>'Level Calculation Drone Survey'!$Z42</f>
        <v>263.54499375000006</v>
      </c>
      <c r="EI52" s="279">
        <f>'Level Calculation Drone Survey'!$Z42</f>
        <v>263.54499375000006</v>
      </c>
      <c r="EJ52" s="279">
        <f>'Level Calculation Drone Survey'!$Z42</f>
        <v>263.54499375000006</v>
      </c>
      <c r="EK52" s="279">
        <f>'Level Calculation Drone Survey'!$Z42</f>
        <v>263.54499375000006</v>
      </c>
      <c r="EL52" s="305">
        <f>'Level Calculation Drone Survey'!$Z752</f>
        <v>263.34999375000001</v>
      </c>
      <c r="EM52" s="305">
        <f>'Level Calculation Drone Survey'!$Z752</f>
        <v>263.34999375000001</v>
      </c>
      <c r="EN52" s="305">
        <f>'Level Calculation Drone Survey'!$Z752</f>
        <v>263.34999375000001</v>
      </c>
      <c r="EO52" s="305">
        <f>'Level Calculation Drone Survey'!$Z752</f>
        <v>263.34999375000001</v>
      </c>
      <c r="EP52" s="305">
        <f>'Level Calculation Drone Survey'!$Z752</f>
        <v>263.34999375000001</v>
      </c>
      <c r="EQ52" s="305">
        <f>'Level Calculation Drone Survey'!$Z752</f>
        <v>263.34999375000001</v>
      </c>
      <c r="ER52" s="305">
        <f>'Level Calculation Drone Survey'!$Z752</f>
        <v>263.34999375000001</v>
      </c>
      <c r="ES52" s="305">
        <f>'Level Calculation Drone Survey'!$Z752</f>
        <v>263.34999375000001</v>
      </c>
      <c r="ET52" s="305">
        <f>'Level Calculation Drone Survey'!$Z752</f>
        <v>263.34999375000001</v>
      </c>
      <c r="EU52" s="305">
        <f>'Level Calculation Drone Survey'!$Z752</f>
        <v>263.34999375000001</v>
      </c>
      <c r="EV52" s="191"/>
      <c r="EW52" s="191"/>
      <c r="EX52" s="191"/>
      <c r="EY52" s="191"/>
    </row>
    <row r="53" spans="1:155" ht="45" customHeight="1" x14ac:dyDescent="0.45">
      <c r="A53" s="277">
        <v>260</v>
      </c>
      <c r="B53" s="305"/>
      <c r="C53" s="305">
        <f>'Level Calculation Drone Survey'!$Z286</f>
        <v>264.12480499999998</v>
      </c>
      <c r="D53" s="305">
        <f>'Level Calculation Drone Survey'!$Z286</f>
        <v>264.12480499999998</v>
      </c>
      <c r="E53" s="305">
        <f>'Level Calculation Drone Survey'!$Z286</f>
        <v>264.12480499999998</v>
      </c>
      <c r="F53" s="280">
        <f>'Level Calculation Drone Survey'!$Z230</f>
        <v>264.224805</v>
      </c>
      <c r="G53" s="280">
        <f>'Level Calculation Drone Survey'!$Z230</f>
        <v>264.224805</v>
      </c>
      <c r="H53" s="280">
        <f>'Level Calculation Drone Survey'!$Z230</f>
        <v>264.224805</v>
      </c>
      <c r="I53" s="280">
        <f>'Level Calculation Drone Survey'!$Z230</f>
        <v>264.224805</v>
      </c>
      <c r="J53" s="280">
        <f>'Level Calculation Drone Survey'!$Z230</f>
        <v>264.224805</v>
      </c>
      <c r="K53" s="280">
        <f>'Level Calculation Drone Survey'!$Z230</f>
        <v>264.224805</v>
      </c>
      <c r="L53" s="280">
        <f>'Level Calculation Drone Survey'!$Z230</f>
        <v>264.224805</v>
      </c>
      <c r="M53" s="280">
        <f>'Level Calculation Drone Survey'!$Z230</f>
        <v>264.224805</v>
      </c>
      <c r="N53" s="280">
        <f>'Level Calculation Drone Survey'!$Z230</f>
        <v>264.224805</v>
      </c>
      <c r="O53" s="280">
        <f>'Level Calculation Drone Survey'!$Z230</f>
        <v>264.224805</v>
      </c>
      <c r="P53" s="280">
        <f>'Level Calculation Drone Survey'!$Z230</f>
        <v>264.224805</v>
      </c>
      <c r="Q53" s="280">
        <f>'Level Calculation Drone Survey'!$Z230</f>
        <v>264.224805</v>
      </c>
      <c r="R53" s="280">
        <f>'Level Calculation Drone Survey'!$Z230</f>
        <v>264.224805</v>
      </c>
      <c r="S53" s="280">
        <f>'Level Calculation Drone Survey'!$Z230</f>
        <v>264.224805</v>
      </c>
      <c r="T53" s="280">
        <f>'Level Calculation Drone Survey'!$Z230</f>
        <v>264.224805</v>
      </c>
      <c r="U53" s="280">
        <f>'Level Calculation Drone Survey'!$Z230</f>
        <v>264.224805</v>
      </c>
      <c r="V53" s="280">
        <f>'Level Calculation Drone Survey'!$Z230</f>
        <v>264.224805</v>
      </c>
      <c r="W53" s="280">
        <f>'Level Calculation Drone Survey'!$Z230</f>
        <v>264.224805</v>
      </c>
      <c r="X53" s="280">
        <f>'Level Calculation Drone Survey'!$Z230</f>
        <v>264.224805</v>
      </c>
      <c r="Y53" s="280">
        <f>'Level Calculation Drone Survey'!$Z230</f>
        <v>264.224805</v>
      </c>
      <c r="Z53" s="305">
        <f>'Level Calculation Drone Survey'!$Z365</f>
        <v>264.02480500000001</v>
      </c>
      <c r="AA53" s="278">
        <f>'Level Calculation Drone Survey'!$Z365</f>
        <v>264.02480500000001</v>
      </c>
      <c r="AB53" s="305">
        <f>'Level Calculation Drone Survey'!$Z365</f>
        <v>264.02480500000001</v>
      </c>
      <c r="AC53" s="281"/>
      <c r="AD53" s="191"/>
      <c r="AE53" s="191"/>
      <c r="AF53" s="191"/>
      <c r="AG53" s="191"/>
      <c r="AH53" s="191"/>
      <c r="AI53" s="191"/>
      <c r="AJ53" s="191"/>
      <c r="AK53" s="191"/>
      <c r="AL53" s="191"/>
      <c r="AM53" s="191"/>
      <c r="AN53" s="191"/>
      <c r="AO53" s="191"/>
      <c r="AP53" s="191"/>
      <c r="AQ53" s="191"/>
      <c r="AR53" s="191"/>
      <c r="AS53" s="191"/>
      <c r="AT53" s="191"/>
      <c r="AU53" s="191"/>
      <c r="AV53" s="191"/>
      <c r="AW53" s="191"/>
      <c r="AX53" s="191"/>
      <c r="AY53" s="191"/>
      <c r="AZ53" s="191"/>
      <c r="BA53" s="191"/>
      <c r="BB53" s="191"/>
      <c r="BC53" s="191"/>
      <c r="BD53" s="305">
        <f>'Level Calculation Drone Survey'!$Z560</f>
        <v>263.73983809523799</v>
      </c>
      <c r="BE53" s="305">
        <f>'Level Calculation Drone Survey'!$Z560</f>
        <v>263.73983809523799</v>
      </c>
      <c r="BF53" s="279">
        <f>'Level Calculation Drone Survey'!$Z167</f>
        <v>263.83983809523801</v>
      </c>
      <c r="BG53" s="279">
        <f>'Level Calculation Drone Survey'!$Z167</f>
        <v>263.83983809523801</v>
      </c>
      <c r="BH53" s="279">
        <f>'Level Calculation Drone Survey'!$Z167</f>
        <v>263.83983809523801</v>
      </c>
      <c r="BI53" s="279">
        <f>'Level Calculation Drone Survey'!$Z167</f>
        <v>263.83983809523801</v>
      </c>
      <c r="BJ53" s="279">
        <f>'Level Calculation Drone Survey'!$Z167</f>
        <v>263.83983809523801</v>
      </c>
      <c r="BK53" s="279">
        <f>'Level Calculation Drone Survey'!$Z167</f>
        <v>263.83983809523801</v>
      </c>
      <c r="BL53" s="279">
        <f>'Level Calculation Drone Survey'!$Z167</f>
        <v>263.83983809523801</v>
      </c>
      <c r="BM53" s="279">
        <f>'Level Calculation Drone Survey'!$Z167</f>
        <v>263.83983809523801</v>
      </c>
      <c r="BN53" s="279">
        <f>'Level Calculation Drone Survey'!$Z167</f>
        <v>263.83983809523801</v>
      </c>
      <c r="BO53" s="279">
        <f>'Level Calculation Drone Survey'!$Z167</f>
        <v>263.83983809523801</v>
      </c>
      <c r="BP53" s="279">
        <f>'Level Calculation Drone Survey'!$Z167</f>
        <v>263.83983809523801</v>
      </c>
      <c r="BQ53" s="279">
        <f>'Level Calculation Drone Survey'!$Z167</f>
        <v>263.83983809523801</v>
      </c>
      <c r="BR53" s="279">
        <f>'Level Calculation Drone Survey'!$Z167</f>
        <v>263.83983809523801</v>
      </c>
      <c r="BS53" s="279">
        <f>'Level Calculation Drone Survey'!$Z167</f>
        <v>263.83983809523801</v>
      </c>
      <c r="BT53" s="279">
        <f>'Level Calculation Drone Survey'!$Z167</f>
        <v>263.83983809523801</v>
      </c>
      <c r="BU53" s="279">
        <f>'Level Calculation Drone Survey'!$Z167</f>
        <v>263.83983809523801</v>
      </c>
      <c r="BV53" s="279">
        <f>'Level Calculation Drone Survey'!$Z167</f>
        <v>263.83983809523801</v>
      </c>
      <c r="BW53" s="279">
        <f>'Level Calculation Drone Survey'!$Z167</f>
        <v>263.83983809523801</v>
      </c>
      <c r="BX53" s="279">
        <f>'Level Calculation Drone Survey'!$Z167</f>
        <v>263.83983809523801</v>
      </c>
      <c r="BY53" s="279">
        <f>'Level Calculation Drone Survey'!$Z167</f>
        <v>263.83983809523801</v>
      </c>
      <c r="BZ53" s="279">
        <f>'Level Calculation Drone Survey'!$Z167</f>
        <v>263.83983809523801</v>
      </c>
      <c r="CA53" s="313">
        <f>'Level Calculation Drone Survey'!$Z634</f>
        <v>263.78540476190477</v>
      </c>
      <c r="CB53" s="313">
        <f>'Level Calculation Drone Survey'!$Z634</f>
        <v>263.78540476190477</v>
      </c>
      <c r="CC53" s="279">
        <f>'Level Calculation Drone Survey'!$Z146</f>
        <v>263.78540476190477</v>
      </c>
      <c r="CD53" s="279">
        <f>'Level Calculation Drone Survey'!$Z146</f>
        <v>263.78540476190477</v>
      </c>
      <c r="CE53" s="279">
        <f>'Level Calculation Drone Survey'!$Z146</f>
        <v>263.78540476190477</v>
      </c>
      <c r="CF53" s="279">
        <f>'Level Calculation Drone Survey'!$Z146</f>
        <v>263.78540476190477</v>
      </c>
      <c r="CG53" s="279">
        <f>'Level Calculation Drone Survey'!$Z146</f>
        <v>263.78540476190477</v>
      </c>
      <c r="CH53" s="279">
        <f>'Level Calculation Drone Survey'!$Z146</f>
        <v>263.78540476190477</v>
      </c>
      <c r="CI53" s="279">
        <f>'Level Calculation Drone Survey'!$Z146</f>
        <v>263.78540476190477</v>
      </c>
      <c r="CJ53" s="279">
        <f>'Level Calculation Drone Survey'!$Z146</f>
        <v>263.78540476190477</v>
      </c>
      <c r="CK53" s="279">
        <f>'Level Calculation Drone Survey'!$Z146</f>
        <v>263.78540476190477</v>
      </c>
      <c r="CL53" s="279">
        <f>'Level Calculation Drone Survey'!$Z146</f>
        <v>263.78540476190477</v>
      </c>
      <c r="CM53" s="279">
        <f>'Level Calculation Drone Survey'!$Z146</f>
        <v>263.78540476190477</v>
      </c>
      <c r="CN53" s="279">
        <f>'Level Calculation Drone Survey'!$Z146</f>
        <v>263.78540476190477</v>
      </c>
      <c r="CO53" s="279">
        <f>'Level Calculation Drone Survey'!$Z146</f>
        <v>263.78540476190477</v>
      </c>
      <c r="CP53" s="279">
        <f>'Level Calculation Drone Survey'!$Z146</f>
        <v>263.78540476190477</v>
      </c>
      <c r="CQ53" s="279">
        <f>'Level Calculation Drone Survey'!$Z146</f>
        <v>263.78540476190477</v>
      </c>
      <c r="CR53" s="279">
        <f>'Level Calculation Drone Survey'!$Z146</f>
        <v>263.78540476190477</v>
      </c>
      <c r="CS53" s="279">
        <f>'Level Calculation Drone Survey'!$Z146</f>
        <v>263.78540476190477</v>
      </c>
      <c r="CT53" s="279">
        <f>'Level Calculation Drone Survey'!$Z146</f>
        <v>263.78540476190477</v>
      </c>
      <c r="CU53" s="279">
        <f>'Level Calculation Drone Survey'!$Z146</f>
        <v>263.78540476190477</v>
      </c>
      <c r="CV53" s="279">
        <f>'Level Calculation Drone Survey'!$Z146</f>
        <v>263.78540476190477</v>
      </c>
      <c r="CW53" s="279">
        <f>'Level Calculation Drone Survey'!$Z146</f>
        <v>263.78540476190477</v>
      </c>
      <c r="CX53" s="316">
        <f>'Level Calculation Drone Survey'!$Z530</f>
        <v>263.54016666666661</v>
      </c>
      <c r="CY53" s="279">
        <f>'Level Calculation Drone Survey'!$Z125</f>
        <v>263.59016666666662</v>
      </c>
      <c r="CZ53" s="279">
        <f>'Level Calculation Drone Survey'!$Z125</f>
        <v>263.59016666666662</v>
      </c>
      <c r="DA53" s="279">
        <f>'Level Calculation Drone Survey'!$Z125</f>
        <v>263.59016666666662</v>
      </c>
      <c r="DB53" s="279">
        <f>'Level Calculation Drone Survey'!$Z125</f>
        <v>263.59016666666662</v>
      </c>
      <c r="DC53" s="279">
        <f>'Level Calculation Drone Survey'!$Z125</f>
        <v>263.59016666666662</v>
      </c>
      <c r="DD53" s="279">
        <f>'Level Calculation Drone Survey'!$Z125</f>
        <v>263.59016666666662</v>
      </c>
      <c r="DE53" s="279">
        <f>'Level Calculation Drone Survey'!$Z125</f>
        <v>263.59016666666662</v>
      </c>
      <c r="DF53" s="279">
        <f>'Level Calculation Drone Survey'!$Z125</f>
        <v>263.59016666666662</v>
      </c>
      <c r="DG53" s="279">
        <f>'Level Calculation Drone Survey'!$Z125</f>
        <v>263.59016666666662</v>
      </c>
      <c r="DH53" s="279">
        <f>'Level Calculation Drone Survey'!$Z125</f>
        <v>263.59016666666662</v>
      </c>
      <c r="DI53" s="279">
        <f>'Level Calculation Drone Survey'!$Z125</f>
        <v>263.59016666666662</v>
      </c>
      <c r="DJ53" s="279">
        <f>'Level Calculation Drone Survey'!$Z125</f>
        <v>263.59016666666662</v>
      </c>
      <c r="DK53" s="279">
        <f>'Level Calculation Drone Survey'!$Z125</f>
        <v>263.59016666666662</v>
      </c>
      <c r="DL53" s="279">
        <f>'Level Calculation Drone Survey'!$Z125</f>
        <v>263.59016666666662</v>
      </c>
      <c r="DM53" s="279">
        <f>'Level Calculation Drone Survey'!$Z125</f>
        <v>263.59016666666662</v>
      </c>
      <c r="DN53" s="279">
        <f>'Level Calculation Drone Survey'!$Z125</f>
        <v>263.59016666666662</v>
      </c>
      <c r="DO53" s="279">
        <f>'Level Calculation Drone Survey'!$Z125</f>
        <v>263.59016666666662</v>
      </c>
      <c r="DP53" s="279">
        <f>'Level Calculation Drone Survey'!$Z125</f>
        <v>263.59016666666662</v>
      </c>
      <c r="DQ53" s="279">
        <f>'Level Calculation Drone Survey'!$Z125</f>
        <v>263.59016666666662</v>
      </c>
      <c r="DR53" s="279">
        <f>'Level Calculation Drone Survey'!$Z125</f>
        <v>263.59016666666662</v>
      </c>
      <c r="DS53" s="279">
        <f>'Level Calculation Drone Survey'!$Z125</f>
        <v>263.59016666666662</v>
      </c>
      <c r="DT53" s="313">
        <f>'Level Calculation Drone Survey'!$Z709</f>
        <v>263.4901666666666</v>
      </c>
      <c r="DU53" s="313">
        <f>'Level Calculation Drone Survey'!$Z709</f>
        <v>263.4901666666666</v>
      </c>
      <c r="DV53" s="279">
        <f>'Level Calculation Drone Survey'!$Z43</f>
        <v>263.59499375000007</v>
      </c>
      <c r="DW53" s="279">
        <f>'Level Calculation Drone Survey'!$Z43</f>
        <v>263.59499375000007</v>
      </c>
      <c r="DX53" s="279">
        <f>'Level Calculation Drone Survey'!$Z43</f>
        <v>263.59499375000007</v>
      </c>
      <c r="DY53" s="279">
        <f>'Level Calculation Drone Survey'!$Z43</f>
        <v>263.59499375000007</v>
      </c>
      <c r="DZ53" s="279">
        <f>'Level Calculation Drone Survey'!$Z43</f>
        <v>263.59499375000007</v>
      </c>
      <c r="EA53" s="279">
        <f>'Level Calculation Drone Survey'!$Z43</f>
        <v>263.59499375000007</v>
      </c>
      <c r="EB53" s="279">
        <f>'Level Calculation Drone Survey'!$Z43</f>
        <v>263.59499375000007</v>
      </c>
      <c r="EC53" s="279">
        <f>'Level Calculation Drone Survey'!$Z43</f>
        <v>263.59499375000007</v>
      </c>
      <c r="ED53" s="279">
        <f>'Level Calculation Drone Survey'!$Z43</f>
        <v>263.59499375000007</v>
      </c>
      <c r="EE53" s="279">
        <f>'Level Calculation Drone Survey'!$Z43</f>
        <v>263.59499375000007</v>
      </c>
      <c r="EF53" s="279">
        <f>'Level Calculation Drone Survey'!$Z43</f>
        <v>263.59499375000007</v>
      </c>
      <c r="EG53" s="279">
        <f>'Level Calculation Drone Survey'!$Z43</f>
        <v>263.59499375000007</v>
      </c>
      <c r="EH53" s="279">
        <f>'Level Calculation Drone Survey'!$Z43</f>
        <v>263.59499375000007</v>
      </c>
      <c r="EI53" s="279">
        <f>'Level Calculation Drone Survey'!$Z43</f>
        <v>263.59499375000007</v>
      </c>
      <c r="EJ53" s="279">
        <f>'Level Calculation Drone Survey'!$Z43</f>
        <v>263.59499375000007</v>
      </c>
      <c r="EK53" s="279">
        <f>'Level Calculation Drone Survey'!$Z43</f>
        <v>263.59499375000007</v>
      </c>
      <c r="EL53" s="305">
        <f>'Level Calculation Drone Survey'!$Z753</f>
        <v>263.39999375000002</v>
      </c>
      <c r="EM53" s="305">
        <f>'Level Calculation Drone Survey'!$Z753</f>
        <v>263.39999375000002</v>
      </c>
      <c r="EN53" s="305">
        <f>'Level Calculation Drone Survey'!$Z753</f>
        <v>263.39999375000002</v>
      </c>
      <c r="EO53" s="191"/>
      <c r="EP53" s="191"/>
      <c r="EQ53" s="191"/>
      <c r="ER53" s="191"/>
      <c r="ES53" s="191"/>
      <c r="ET53" s="191"/>
      <c r="EU53" s="191"/>
      <c r="EV53" s="191"/>
      <c r="EW53" s="191"/>
      <c r="EX53" s="191"/>
      <c r="EY53" s="191"/>
    </row>
    <row r="54" spans="1:155" ht="45" customHeight="1" x14ac:dyDescent="0.45">
      <c r="A54" s="277">
        <v>265</v>
      </c>
      <c r="B54" s="305"/>
      <c r="C54" s="305"/>
      <c r="D54" s="305">
        <f>'Level Calculation Drone Survey'!$Z287</f>
        <v>264.07480499999997</v>
      </c>
      <c r="E54" s="305">
        <f>'Level Calculation Drone Survey'!$Z287</f>
        <v>264.07480499999997</v>
      </c>
      <c r="F54" s="279">
        <f>'Level Calculation Drone Survey'!$Z231</f>
        <v>264.17480499999999</v>
      </c>
      <c r="G54" s="279">
        <f>'Level Calculation Drone Survey'!$Z231</f>
        <v>264.17480499999999</v>
      </c>
      <c r="H54" s="279">
        <f>'Level Calculation Drone Survey'!$Z231</f>
        <v>264.17480499999999</v>
      </c>
      <c r="I54" s="279">
        <f>'Level Calculation Drone Survey'!$Z231</f>
        <v>264.17480499999999</v>
      </c>
      <c r="J54" s="279">
        <f>'Level Calculation Drone Survey'!$Z231</f>
        <v>264.17480499999999</v>
      </c>
      <c r="K54" s="279">
        <f>'Level Calculation Drone Survey'!$Z231</f>
        <v>264.17480499999999</v>
      </c>
      <c r="L54" s="279">
        <f>'Level Calculation Drone Survey'!$Z231</f>
        <v>264.17480499999999</v>
      </c>
      <c r="M54" s="279">
        <f>'Level Calculation Drone Survey'!$Z231</f>
        <v>264.17480499999999</v>
      </c>
      <c r="N54" s="279">
        <f>'Level Calculation Drone Survey'!$Z231</f>
        <v>264.17480499999999</v>
      </c>
      <c r="O54" s="279">
        <f>'Level Calculation Drone Survey'!$Z231</f>
        <v>264.17480499999999</v>
      </c>
      <c r="P54" s="279">
        <f>'Level Calculation Drone Survey'!$Z231</f>
        <v>264.17480499999999</v>
      </c>
      <c r="Q54" s="279">
        <f>'Level Calculation Drone Survey'!$Z231</f>
        <v>264.17480499999999</v>
      </c>
      <c r="R54" s="279">
        <f>'Level Calculation Drone Survey'!$Z231</f>
        <v>264.17480499999999</v>
      </c>
      <c r="S54" s="279">
        <f>'Level Calculation Drone Survey'!$Z231</f>
        <v>264.17480499999999</v>
      </c>
      <c r="T54" s="279">
        <f>'Level Calculation Drone Survey'!$Z231</f>
        <v>264.17480499999999</v>
      </c>
      <c r="U54" s="279">
        <f>'Level Calculation Drone Survey'!$Z231</f>
        <v>264.17480499999999</v>
      </c>
      <c r="V54" s="279">
        <f>'Level Calculation Drone Survey'!$Z231</f>
        <v>264.17480499999999</v>
      </c>
      <c r="W54" s="279">
        <f>'Level Calculation Drone Survey'!$Z231</f>
        <v>264.17480499999999</v>
      </c>
      <c r="X54" s="279">
        <f>'Level Calculation Drone Survey'!$Z231</f>
        <v>264.17480499999999</v>
      </c>
      <c r="Y54" s="279">
        <f>'Level Calculation Drone Survey'!$Z231</f>
        <v>264.17480499999999</v>
      </c>
      <c r="Z54" s="305">
        <f>'Level Calculation Drone Survey'!$Z366</f>
        <v>263.974805</v>
      </c>
      <c r="AA54" s="278">
        <f>'Level Calculation Drone Survey'!$Z366</f>
        <v>263.974805</v>
      </c>
      <c r="AB54" s="305">
        <f>'Level Calculation Drone Survey'!$Z366</f>
        <v>263.974805</v>
      </c>
      <c r="AC54" s="313">
        <f>'Level Calculation Drone Survey'!$Z890</f>
        <v>263.69484285714265</v>
      </c>
      <c r="AD54" s="191"/>
      <c r="AE54" s="191"/>
      <c r="AF54" s="191"/>
      <c r="AG54" s="191"/>
      <c r="AH54" s="191"/>
      <c r="AI54" s="191"/>
      <c r="AJ54" s="191"/>
      <c r="AK54" s="191"/>
      <c r="AL54" s="191"/>
      <c r="AM54" s="191"/>
      <c r="AN54" s="191"/>
      <c r="AO54" s="191"/>
      <c r="AP54" s="191"/>
      <c r="AQ54" s="191"/>
      <c r="AR54" s="191"/>
      <c r="AS54" s="191"/>
      <c r="AT54" s="191"/>
      <c r="AU54" s="191"/>
      <c r="AV54" s="191"/>
      <c r="AW54" s="191"/>
      <c r="AX54" s="191"/>
      <c r="AY54" s="191"/>
      <c r="AZ54" s="191"/>
      <c r="BA54" s="191"/>
      <c r="BB54" s="191"/>
      <c r="BC54" s="191"/>
      <c r="BD54" s="305">
        <f>'Level Calculation Drone Survey'!$Z561</f>
        <v>263.68983809523797</v>
      </c>
      <c r="BE54" s="305">
        <f>'Level Calculation Drone Survey'!$Z561</f>
        <v>263.68983809523797</v>
      </c>
      <c r="BF54" s="279">
        <f>'Level Calculation Drone Survey'!$Z168</f>
        <v>263.789838095238</v>
      </c>
      <c r="BG54" s="279">
        <f>'Level Calculation Drone Survey'!$Z168</f>
        <v>263.789838095238</v>
      </c>
      <c r="BH54" s="279">
        <f>'Level Calculation Drone Survey'!$Z168</f>
        <v>263.789838095238</v>
      </c>
      <c r="BI54" s="279">
        <f>'Level Calculation Drone Survey'!$Z168</f>
        <v>263.789838095238</v>
      </c>
      <c r="BJ54" s="279">
        <f>'Level Calculation Drone Survey'!$Z168</f>
        <v>263.789838095238</v>
      </c>
      <c r="BK54" s="279">
        <f>'Level Calculation Drone Survey'!$Z168</f>
        <v>263.789838095238</v>
      </c>
      <c r="BL54" s="279">
        <f>'Level Calculation Drone Survey'!$Z168</f>
        <v>263.789838095238</v>
      </c>
      <c r="BM54" s="279">
        <f>'Level Calculation Drone Survey'!$Z168</f>
        <v>263.789838095238</v>
      </c>
      <c r="BN54" s="279">
        <f>'Level Calculation Drone Survey'!$Z168</f>
        <v>263.789838095238</v>
      </c>
      <c r="BO54" s="279">
        <f>'Level Calculation Drone Survey'!$Z168</f>
        <v>263.789838095238</v>
      </c>
      <c r="BP54" s="279">
        <f>'Level Calculation Drone Survey'!$Z168</f>
        <v>263.789838095238</v>
      </c>
      <c r="BQ54" s="279">
        <f>'Level Calculation Drone Survey'!$Z168</f>
        <v>263.789838095238</v>
      </c>
      <c r="BR54" s="279">
        <f>'Level Calculation Drone Survey'!$Z168</f>
        <v>263.789838095238</v>
      </c>
      <c r="BS54" s="279">
        <f>'Level Calculation Drone Survey'!$Z168</f>
        <v>263.789838095238</v>
      </c>
      <c r="BT54" s="279">
        <f>'Level Calculation Drone Survey'!$Z168</f>
        <v>263.789838095238</v>
      </c>
      <c r="BU54" s="279">
        <f>'Level Calculation Drone Survey'!$Z168</f>
        <v>263.789838095238</v>
      </c>
      <c r="BV54" s="279">
        <f>'Level Calculation Drone Survey'!$Z168</f>
        <v>263.789838095238</v>
      </c>
      <c r="BW54" s="279">
        <f>'Level Calculation Drone Survey'!$Z168</f>
        <v>263.789838095238</v>
      </c>
      <c r="BX54" s="279">
        <f>'Level Calculation Drone Survey'!$Z168</f>
        <v>263.789838095238</v>
      </c>
      <c r="BY54" s="279">
        <f>'Level Calculation Drone Survey'!$Z168</f>
        <v>263.789838095238</v>
      </c>
      <c r="BZ54" s="279">
        <f>'Level Calculation Drone Survey'!$Z168</f>
        <v>263.789838095238</v>
      </c>
      <c r="CA54" s="313">
        <f>'Level Calculation Drone Survey'!$Z635</f>
        <v>263.73540476190476</v>
      </c>
      <c r="CB54" s="313">
        <f>'Level Calculation Drone Survey'!$Z635</f>
        <v>263.73540476190476</v>
      </c>
      <c r="CC54" s="280">
        <f>'Level Calculation Drone Survey'!$Z147</f>
        <v>263.83540476190478</v>
      </c>
      <c r="CD54" s="280">
        <f>'Level Calculation Drone Survey'!$Z147</f>
        <v>263.83540476190478</v>
      </c>
      <c r="CE54" s="280">
        <f>'Level Calculation Drone Survey'!$Z147</f>
        <v>263.83540476190478</v>
      </c>
      <c r="CF54" s="280">
        <f>'Level Calculation Drone Survey'!$Z147</f>
        <v>263.83540476190478</v>
      </c>
      <c r="CG54" s="280">
        <f>'Level Calculation Drone Survey'!$Z147</f>
        <v>263.83540476190478</v>
      </c>
      <c r="CH54" s="280">
        <f>'Level Calculation Drone Survey'!$Z147</f>
        <v>263.83540476190478</v>
      </c>
      <c r="CI54" s="280">
        <f>'Level Calculation Drone Survey'!$Z147</f>
        <v>263.83540476190478</v>
      </c>
      <c r="CJ54" s="280">
        <f>'Level Calculation Drone Survey'!$Z147</f>
        <v>263.83540476190478</v>
      </c>
      <c r="CK54" s="280">
        <f>'Level Calculation Drone Survey'!$Z147</f>
        <v>263.83540476190478</v>
      </c>
      <c r="CL54" s="280">
        <f>'Level Calculation Drone Survey'!$Z147</f>
        <v>263.83540476190478</v>
      </c>
      <c r="CM54" s="280">
        <f>'Level Calculation Drone Survey'!$Z147</f>
        <v>263.83540476190478</v>
      </c>
      <c r="CN54" s="280">
        <f>'Level Calculation Drone Survey'!$Z147</f>
        <v>263.83540476190478</v>
      </c>
      <c r="CO54" s="280">
        <f>'Level Calculation Drone Survey'!$Z147</f>
        <v>263.83540476190478</v>
      </c>
      <c r="CP54" s="280">
        <f>'Level Calculation Drone Survey'!$Z147</f>
        <v>263.83540476190478</v>
      </c>
      <c r="CQ54" s="280">
        <f>'Level Calculation Drone Survey'!$Z147</f>
        <v>263.83540476190478</v>
      </c>
      <c r="CR54" s="280">
        <f>'Level Calculation Drone Survey'!$Z147</f>
        <v>263.83540476190478</v>
      </c>
      <c r="CS54" s="280">
        <f>'Level Calculation Drone Survey'!$Z147</f>
        <v>263.83540476190478</v>
      </c>
      <c r="CT54" s="280">
        <f>'Level Calculation Drone Survey'!$Z147</f>
        <v>263.83540476190478</v>
      </c>
      <c r="CU54" s="280">
        <f>'Level Calculation Drone Survey'!$Z147</f>
        <v>263.83540476190478</v>
      </c>
      <c r="CV54" s="280">
        <f>'Level Calculation Drone Survey'!$Z147</f>
        <v>263.83540476190478</v>
      </c>
      <c r="CW54" s="280">
        <f>'Level Calculation Drone Survey'!$Z147</f>
        <v>263.83540476190478</v>
      </c>
      <c r="CX54" s="316">
        <f>'Level Calculation Drone Survey'!$Z531</f>
        <v>263.59016666666662</v>
      </c>
      <c r="CY54" s="280">
        <f>'Level Calculation Drone Survey'!$Z126</f>
        <v>263.64016666666663</v>
      </c>
      <c r="CZ54" s="280">
        <f>'Level Calculation Drone Survey'!$Z126</f>
        <v>263.64016666666663</v>
      </c>
      <c r="DA54" s="280">
        <f>'Level Calculation Drone Survey'!$Z126</f>
        <v>263.64016666666663</v>
      </c>
      <c r="DB54" s="280">
        <f>'Level Calculation Drone Survey'!$Z126</f>
        <v>263.64016666666663</v>
      </c>
      <c r="DC54" s="280">
        <f>'Level Calculation Drone Survey'!$Z126</f>
        <v>263.64016666666663</v>
      </c>
      <c r="DD54" s="280">
        <f>'Level Calculation Drone Survey'!$Z126</f>
        <v>263.64016666666663</v>
      </c>
      <c r="DE54" s="280">
        <f>'Level Calculation Drone Survey'!$Z126</f>
        <v>263.64016666666663</v>
      </c>
      <c r="DF54" s="280">
        <f>'Level Calculation Drone Survey'!$Z126</f>
        <v>263.64016666666663</v>
      </c>
      <c r="DG54" s="280">
        <f>'Level Calculation Drone Survey'!$Z126</f>
        <v>263.64016666666663</v>
      </c>
      <c r="DH54" s="280">
        <f>'Level Calculation Drone Survey'!$Z126</f>
        <v>263.64016666666663</v>
      </c>
      <c r="DI54" s="280">
        <f>'Level Calculation Drone Survey'!$Z126</f>
        <v>263.64016666666663</v>
      </c>
      <c r="DJ54" s="280">
        <f>'Level Calculation Drone Survey'!$Z126</f>
        <v>263.64016666666663</v>
      </c>
      <c r="DK54" s="280">
        <f>'Level Calculation Drone Survey'!$Z126</f>
        <v>263.64016666666663</v>
      </c>
      <c r="DL54" s="280">
        <f>'Level Calculation Drone Survey'!$Z126</f>
        <v>263.64016666666663</v>
      </c>
      <c r="DM54" s="280">
        <f>'Level Calculation Drone Survey'!$Z126</f>
        <v>263.64016666666663</v>
      </c>
      <c r="DN54" s="280">
        <f>'Level Calculation Drone Survey'!$Z126</f>
        <v>263.64016666666663</v>
      </c>
      <c r="DO54" s="280">
        <f>'Level Calculation Drone Survey'!$Z126</f>
        <v>263.64016666666663</v>
      </c>
      <c r="DP54" s="280">
        <f>'Level Calculation Drone Survey'!$Z126</f>
        <v>263.64016666666663</v>
      </c>
      <c r="DQ54" s="280">
        <f>'Level Calculation Drone Survey'!$Z126</f>
        <v>263.64016666666663</v>
      </c>
      <c r="DR54" s="280">
        <f>'Level Calculation Drone Survey'!$Z126</f>
        <v>263.64016666666663</v>
      </c>
      <c r="DS54" s="280">
        <f>'Level Calculation Drone Survey'!$Z126</f>
        <v>263.64016666666663</v>
      </c>
      <c r="DT54" s="313">
        <f>'Level Calculation Drone Survey'!$Z710</f>
        <v>263.54016666666661</v>
      </c>
      <c r="DU54" s="313">
        <f>'Level Calculation Drone Survey'!$Z710</f>
        <v>263.54016666666661</v>
      </c>
      <c r="DV54" s="279">
        <f>'Level Calculation Drone Survey'!$Z44</f>
        <v>263.64499375000008</v>
      </c>
      <c r="DW54" s="279">
        <f>'Level Calculation Drone Survey'!$Z44</f>
        <v>263.64499375000008</v>
      </c>
      <c r="DX54" s="279">
        <f>'Level Calculation Drone Survey'!$Z44</f>
        <v>263.64499375000008</v>
      </c>
      <c r="DY54" s="279">
        <f>'Level Calculation Drone Survey'!$Z44</f>
        <v>263.64499375000008</v>
      </c>
      <c r="DZ54" s="279">
        <f>'Level Calculation Drone Survey'!$Z44</f>
        <v>263.64499375000008</v>
      </c>
      <c r="EA54" s="279">
        <f>'Level Calculation Drone Survey'!$Z44</f>
        <v>263.64499375000008</v>
      </c>
      <c r="EB54" s="279">
        <f>'Level Calculation Drone Survey'!$Z44</f>
        <v>263.64499375000008</v>
      </c>
      <c r="EC54" s="279">
        <f>'Level Calculation Drone Survey'!$Z44</f>
        <v>263.64499375000008</v>
      </c>
      <c r="ED54" s="279">
        <f>'Level Calculation Drone Survey'!$Z44</f>
        <v>263.64499375000008</v>
      </c>
      <c r="EE54" s="279">
        <f>'Level Calculation Drone Survey'!$Z44</f>
        <v>263.64499375000008</v>
      </c>
      <c r="EF54" s="279">
        <f>'Level Calculation Drone Survey'!$Z44</f>
        <v>263.64499375000008</v>
      </c>
      <c r="EG54" s="279">
        <f>'Level Calculation Drone Survey'!$Z44</f>
        <v>263.64499375000008</v>
      </c>
      <c r="EH54" s="279">
        <f>'Level Calculation Drone Survey'!$Z44</f>
        <v>263.64499375000008</v>
      </c>
      <c r="EI54" s="279">
        <f>'Level Calculation Drone Survey'!$Z44</f>
        <v>263.64499375000008</v>
      </c>
      <c r="EJ54" s="279">
        <f>'Level Calculation Drone Survey'!$Z44</f>
        <v>263.64499375000008</v>
      </c>
      <c r="EK54" s="279">
        <f>'Level Calculation Drone Survey'!$Z44</f>
        <v>263.64499375000008</v>
      </c>
      <c r="EL54" s="305">
        <f>'Level Calculation Drone Survey'!$Z754</f>
        <v>263.44999375000003</v>
      </c>
      <c r="EM54" s="305">
        <f>'Level Calculation Drone Survey'!$Z754</f>
        <v>263.44999375000003</v>
      </c>
      <c r="EN54" s="305">
        <f>'Level Calculation Drone Survey'!$Z754</f>
        <v>263.44999375000003</v>
      </c>
      <c r="EO54" s="191"/>
      <c r="EP54" s="191"/>
      <c r="EQ54" s="191"/>
      <c r="ER54" s="191"/>
      <c r="ES54" s="191"/>
      <c r="ET54" s="191"/>
      <c r="EU54" s="191"/>
      <c r="EV54" s="191"/>
      <c r="EW54" s="191"/>
      <c r="EX54" s="191"/>
      <c r="EY54" s="191"/>
    </row>
    <row r="55" spans="1:155" ht="45" customHeight="1" x14ac:dyDescent="0.45">
      <c r="A55" s="277">
        <v>270</v>
      </c>
      <c r="B55" s="305"/>
      <c r="C55" s="305"/>
      <c r="D55" s="305">
        <f>'Level Calculation Drone Survey'!$Z288</f>
        <v>264.02480499999996</v>
      </c>
      <c r="E55" s="305">
        <f>'Level Calculation Drone Survey'!$Z288</f>
        <v>264.02480499999996</v>
      </c>
      <c r="F55" s="279">
        <f>'Level Calculation Drone Survey'!$Z232</f>
        <v>264.12480499999998</v>
      </c>
      <c r="G55" s="279">
        <f>'Level Calculation Drone Survey'!$Z232</f>
        <v>264.12480499999998</v>
      </c>
      <c r="H55" s="279">
        <f>'Level Calculation Drone Survey'!$Z232</f>
        <v>264.12480499999998</v>
      </c>
      <c r="I55" s="279">
        <f>'Level Calculation Drone Survey'!$Z232</f>
        <v>264.12480499999998</v>
      </c>
      <c r="J55" s="279">
        <f>'Level Calculation Drone Survey'!$Z232</f>
        <v>264.12480499999998</v>
      </c>
      <c r="K55" s="279">
        <f>'Level Calculation Drone Survey'!$Z232</f>
        <v>264.12480499999998</v>
      </c>
      <c r="L55" s="279">
        <f>'Level Calculation Drone Survey'!$Z232</f>
        <v>264.12480499999998</v>
      </c>
      <c r="M55" s="279">
        <f>'Level Calculation Drone Survey'!$Z232</f>
        <v>264.12480499999998</v>
      </c>
      <c r="N55" s="279">
        <f>'Level Calculation Drone Survey'!$Z232</f>
        <v>264.12480499999998</v>
      </c>
      <c r="O55" s="279">
        <f>'Level Calculation Drone Survey'!$Z232</f>
        <v>264.12480499999998</v>
      </c>
      <c r="P55" s="279">
        <f>'Level Calculation Drone Survey'!$Z232</f>
        <v>264.12480499999998</v>
      </c>
      <c r="Q55" s="279">
        <f>'Level Calculation Drone Survey'!$Z232</f>
        <v>264.12480499999998</v>
      </c>
      <c r="R55" s="279">
        <f>'Level Calculation Drone Survey'!$Z232</f>
        <v>264.12480499999998</v>
      </c>
      <c r="S55" s="279">
        <f>'Level Calculation Drone Survey'!$Z232</f>
        <v>264.12480499999998</v>
      </c>
      <c r="T55" s="279">
        <f>'Level Calculation Drone Survey'!$Z232</f>
        <v>264.12480499999998</v>
      </c>
      <c r="U55" s="279">
        <f>'Level Calculation Drone Survey'!$Z232</f>
        <v>264.12480499999998</v>
      </c>
      <c r="V55" s="279">
        <f>'Level Calculation Drone Survey'!$Z232</f>
        <v>264.12480499999998</v>
      </c>
      <c r="W55" s="279">
        <f>'Level Calculation Drone Survey'!$Z232</f>
        <v>264.12480499999998</v>
      </c>
      <c r="X55" s="279">
        <f>'Level Calculation Drone Survey'!$Z232</f>
        <v>264.12480499999998</v>
      </c>
      <c r="Y55" s="279">
        <f>'Level Calculation Drone Survey'!$Z232</f>
        <v>264.12480499999998</v>
      </c>
      <c r="Z55" s="305">
        <f>'Level Calculation Drone Survey'!$Z367</f>
        <v>263.92480499999999</v>
      </c>
      <c r="AA55" s="278">
        <f>'Level Calculation Drone Survey'!$Z367</f>
        <v>263.92480499999999</v>
      </c>
      <c r="AB55" s="305">
        <f>'Level Calculation Drone Survey'!$Z367</f>
        <v>263.92480499999999</v>
      </c>
      <c r="AC55" s="313">
        <f>'Level Calculation Drone Survey'!$Z891</f>
        <v>263.68484285714266</v>
      </c>
      <c r="AD55" s="191"/>
      <c r="AE55" s="191"/>
      <c r="AF55" s="191"/>
      <c r="AG55" s="191"/>
      <c r="AH55" s="191"/>
      <c r="AI55" s="191"/>
      <c r="AJ55" s="191"/>
      <c r="AK55" s="191"/>
      <c r="AL55" s="191"/>
      <c r="AM55" s="191"/>
      <c r="AN55" s="191"/>
      <c r="AO55" s="191"/>
      <c r="AP55" s="191"/>
      <c r="AQ55" s="191"/>
      <c r="AR55" s="191"/>
      <c r="AS55" s="191"/>
      <c r="AT55" s="191"/>
      <c r="AU55" s="191"/>
      <c r="AV55" s="191"/>
      <c r="AW55" s="191"/>
      <c r="AX55" s="191"/>
      <c r="AY55" s="191"/>
      <c r="AZ55" s="191"/>
      <c r="BA55" s="191"/>
      <c r="BB55" s="191"/>
      <c r="BC55" s="191"/>
      <c r="BD55" s="305">
        <f>'Level Calculation Drone Survey'!$Z562</f>
        <v>263.63983809523796</v>
      </c>
      <c r="BE55" s="305">
        <f>'Level Calculation Drone Survey'!$Z562</f>
        <v>263.63983809523796</v>
      </c>
      <c r="BF55" s="279">
        <f>'Level Calculation Drone Survey'!$Z169</f>
        <v>263.73983809523799</v>
      </c>
      <c r="BG55" s="279">
        <f>'Level Calculation Drone Survey'!$Z169</f>
        <v>263.73983809523799</v>
      </c>
      <c r="BH55" s="279">
        <f>'Level Calculation Drone Survey'!$Z169</f>
        <v>263.73983809523799</v>
      </c>
      <c r="BI55" s="279">
        <f>'Level Calculation Drone Survey'!$Z169</f>
        <v>263.73983809523799</v>
      </c>
      <c r="BJ55" s="279">
        <f>'Level Calculation Drone Survey'!$Z169</f>
        <v>263.73983809523799</v>
      </c>
      <c r="BK55" s="279">
        <f>'Level Calculation Drone Survey'!$Z169</f>
        <v>263.73983809523799</v>
      </c>
      <c r="BL55" s="279">
        <f>'Level Calculation Drone Survey'!$Z169</f>
        <v>263.73983809523799</v>
      </c>
      <c r="BM55" s="279">
        <f>'Level Calculation Drone Survey'!$Z169</f>
        <v>263.73983809523799</v>
      </c>
      <c r="BN55" s="279">
        <f>'Level Calculation Drone Survey'!$Z169</f>
        <v>263.73983809523799</v>
      </c>
      <c r="BO55" s="279">
        <f>'Level Calculation Drone Survey'!$Z169</f>
        <v>263.73983809523799</v>
      </c>
      <c r="BP55" s="279">
        <f>'Level Calculation Drone Survey'!$Z169</f>
        <v>263.73983809523799</v>
      </c>
      <c r="BQ55" s="279">
        <f>'Level Calculation Drone Survey'!$Z169</f>
        <v>263.73983809523799</v>
      </c>
      <c r="BR55" s="279">
        <f>'Level Calculation Drone Survey'!$Z169</f>
        <v>263.73983809523799</v>
      </c>
      <c r="BS55" s="279">
        <f>'Level Calculation Drone Survey'!$Z169</f>
        <v>263.73983809523799</v>
      </c>
      <c r="BT55" s="279">
        <f>'Level Calculation Drone Survey'!$Z169</f>
        <v>263.73983809523799</v>
      </c>
      <c r="BU55" s="279">
        <f>'Level Calculation Drone Survey'!$Z169</f>
        <v>263.73983809523799</v>
      </c>
      <c r="BV55" s="279">
        <f>'Level Calculation Drone Survey'!$Z169</f>
        <v>263.73983809523799</v>
      </c>
      <c r="BW55" s="279">
        <f>'Level Calculation Drone Survey'!$Z169</f>
        <v>263.73983809523799</v>
      </c>
      <c r="BX55" s="279">
        <f>'Level Calculation Drone Survey'!$Z169</f>
        <v>263.73983809523799</v>
      </c>
      <c r="BY55" s="279">
        <f>'Level Calculation Drone Survey'!$Z169</f>
        <v>263.73983809523799</v>
      </c>
      <c r="BZ55" s="279">
        <f>'Level Calculation Drone Survey'!$Z169</f>
        <v>263.73983809523799</v>
      </c>
      <c r="CA55" s="313">
        <f>'Level Calculation Drone Survey'!$Z636</f>
        <v>263.68540476190475</v>
      </c>
      <c r="CB55" s="313">
        <f>'Level Calculation Drone Survey'!$Z636</f>
        <v>263.68540476190475</v>
      </c>
      <c r="CC55" s="279">
        <f>'Level Calculation Drone Survey'!$Z148</f>
        <v>263.78540476190477</v>
      </c>
      <c r="CD55" s="279">
        <f>'Level Calculation Drone Survey'!$Z148</f>
        <v>263.78540476190477</v>
      </c>
      <c r="CE55" s="279">
        <f>'Level Calculation Drone Survey'!$Z148</f>
        <v>263.78540476190477</v>
      </c>
      <c r="CF55" s="279">
        <f>'Level Calculation Drone Survey'!$Z148</f>
        <v>263.78540476190477</v>
      </c>
      <c r="CG55" s="279">
        <f>'Level Calculation Drone Survey'!$Z148</f>
        <v>263.78540476190477</v>
      </c>
      <c r="CH55" s="279">
        <f>'Level Calculation Drone Survey'!$Z148</f>
        <v>263.78540476190477</v>
      </c>
      <c r="CI55" s="279">
        <f>'Level Calculation Drone Survey'!$Z148</f>
        <v>263.78540476190477</v>
      </c>
      <c r="CJ55" s="279">
        <f>'Level Calculation Drone Survey'!$Z148</f>
        <v>263.78540476190477</v>
      </c>
      <c r="CK55" s="279">
        <f>'Level Calculation Drone Survey'!$Z148</f>
        <v>263.78540476190477</v>
      </c>
      <c r="CL55" s="279">
        <f>'Level Calculation Drone Survey'!$Z148</f>
        <v>263.78540476190477</v>
      </c>
      <c r="CM55" s="279">
        <f>'Level Calculation Drone Survey'!$Z148</f>
        <v>263.78540476190477</v>
      </c>
      <c r="CN55" s="279">
        <f>'Level Calculation Drone Survey'!$Z148</f>
        <v>263.78540476190477</v>
      </c>
      <c r="CO55" s="279">
        <f>'Level Calculation Drone Survey'!$Z148</f>
        <v>263.78540476190477</v>
      </c>
      <c r="CP55" s="279">
        <f>'Level Calculation Drone Survey'!$Z148</f>
        <v>263.78540476190477</v>
      </c>
      <c r="CQ55" s="279">
        <f>'Level Calculation Drone Survey'!$Z148</f>
        <v>263.78540476190477</v>
      </c>
      <c r="CR55" s="279">
        <f>'Level Calculation Drone Survey'!$Z148</f>
        <v>263.78540476190477</v>
      </c>
      <c r="CS55" s="279">
        <f>'Level Calculation Drone Survey'!$Z148</f>
        <v>263.78540476190477</v>
      </c>
      <c r="CT55" s="279">
        <f>'Level Calculation Drone Survey'!$Z148</f>
        <v>263.78540476190477</v>
      </c>
      <c r="CU55" s="279">
        <f>'Level Calculation Drone Survey'!$Z148</f>
        <v>263.78540476190477</v>
      </c>
      <c r="CV55" s="279">
        <f>'Level Calculation Drone Survey'!$Z148</f>
        <v>263.78540476190477</v>
      </c>
      <c r="CW55" s="279">
        <f>'Level Calculation Drone Survey'!$Z148</f>
        <v>263.78540476190477</v>
      </c>
      <c r="CX55" s="316">
        <f>'Level Calculation Drone Survey'!$Z532</f>
        <v>263.54016666666661</v>
      </c>
      <c r="CY55" s="279">
        <f>'Level Calculation Drone Survey'!$Z127</f>
        <v>263.59016666666662</v>
      </c>
      <c r="CZ55" s="279">
        <f>'Level Calculation Drone Survey'!$Z127</f>
        <v>263.59016666666662</v>
      </c>
      <c r="DA55" s="279">
        <f>'Level Calculation Drone Survey'!$Z127</f>
        <v>263.59016666666662</v>
      </c>
      <c r="DB55" s="279">
        <f>'Level Calculation Drone Survey'!$Z127</f>
        <v>263.59016666666662</v>
      </c>
      <c r="DC55" s="279">
        <f>'Level Calculation Drone Survey'!$Z127</f>
        <v>263.59016666666662</v>
      </c>
      <c r="DD55" s="279">
        <f>'Level Calculation Drone Survey'!$Z127</f>
        <v>263.59016666666662</v>
      </c>
      <c r="DE55" s="279">
        <f>'Level Calculation Drone Survey'!$Z127</f>
        <v>263.59016666666662</v>
      </c>
      <c r="DF55" s="279">
        <f>'Level Calculation Drone Survey'!$Z127</f>
        <v>263.59016666666662</v>
      </c>
      <c r="DG55" s="279">
        <f>'Level Calculation Drone Survey'!$Z127</f>
        <v>263.59016666666662</v>
      </c>
      <c r="DH55" s="279">
        <f>'Level Calculation Drone Survey'!$Z127</f>
        <v>263.59016666666662</v>
      </c>
      <c r="DI55" s="279">
        <f>'Level Calculation Drone Survey'!$Z127</f>
        <v>263.59016666666662</v>
      </c>
      <c r="DJ55" s="279">
        <f>'Level Calculation Drone Survey'!$Z127</f>
        <v>263.59016666666662</v>
      </c>
      <c r="DK55" s="279">
        <f>'Level Calculation Drone Survey'!$Z127</f>
        <v>263.59016666666662</v>
      </c>
      <c r="DL55" s="279">
        <f>'Level Calculation Drone Survey'!$Z127</f>
        <v>263.59016666666662</v>
      </c>
      <c r="DM55" s="279">
        <f>'Level Calculation Drone Survey'!$Z127</f>
        <v>263.59016666666662</v>
      </c>
      <c r="DN55" s="279">
        <f>'Level Calculation Drone Survey'!$Z127</f>
        <v>263.59016666666662</v>
      </c>
      <c r="DO55" s="279">
        <f>'Level Calculation Drone Survey'!$Z127</f>
        <v>263.59016666666662</v>
      </c>
      <c r="DP55" s="279">
        <f>'Level Calculation Drone Survey'!$Z127</f>
        <v>263.59016666666662</v>
      </c>
      <c r="DQ55" s="279">
        <f>'Level Calculation Drone Survey'!$Z127</f>
        <v>263.59016666666662</v>
      </c>
      <c r="DR55" s="279">
        <f>'Level Calculation Drone Survey'!$Z127</f>
        <v>263.59016666666662</v>
      </c>
      <c r="DS55" s="279">
        <f>'Level Calculation Drone Survey'!$Z127</f>
        <v>263.59016666666662</v>
      </c>
      <c r="DT55" s="313">
        <f>'Level Calculation Drone Survey'!$Z711</f>
        <v>263.54016666666661</v>
      </c>
      <c r="DU55" s="313">
        <f>'Level Calculation Drone Survey'!$Z711</f>
        <v>263.54016666666661</v>
      </c>
      <c r="DV55" s="279">
        <f>'Level Calculation Drone Survey'!$Z45</f>
        <v>263.69499375000009</v>
      </c>
      <c r="DW55" s="279">
        <f>'Level Calculation Drone Survey'!$Z45</f>
        <v>263.69499375000009</v>
      </c>
      <c r="DX55" s="279">
        <f>'Level Calculation Drone Survey'!$Z45</f>
        <v>263.69499375000009</v>
      </c>
      <c r="DY55" s="279">
        <f>'Level Calculation Drone Survey'!$Z45</f>
        <v>263.69499375000009</v>
      </c>
      <c r="DZ55" s="279">
        <f>'Level Calculation Drone Survey'!$Z45</f>
        <v>263.69499375000009</v>
      </c>
      <c r="EA55" s="279">
        <f>'Level Calculation Drone Survey'!$Z45</f>
        <v>263.69499375000009</v>
      </c>
      <c r="EB55" s="279">
        <f>'Level Calculation Drone Survey'!$Z45</f>
        <v>263.69499375000009</v>
      </c>
      <c r="EC55" s="279">
        <f>'Level Calculation Drone Survey'!$Z45</f>
        <v>263.69499375000009</v>
      </c>
      <c r="ED55" s="279">
        <f>'Level Calculation Drone Survey'!$Z45</f>
        <v>263.69499375000009</v>
      </c>
      <c r="EE55" s="279">
        <f>'Level Calculation Drone Survey'!$Z45</f>
        <v>263.69499375000009</v>
      </c>
      <c r="EF55" s="279">
        <f>'Level Calculation Drone Survey'!$Z45</f>
        <v>263.69499375000009</v>
      </c>
      <c r="EG55" s="279">
        <f>'Level Calculation Drone Survey'!$Z45</f>
        <v>263.69499375000009</v>
      </c>
      <c r="EH55" s="279">
        <f>'Level Calculation Drone Survey'!$Z45</f>
        <v>263.69499375000009</v>
      </c>
      <c r="EI55" s="279">
        <f>'Level Calculation Drone Survey'!$Z45</f>
        <v>263.69499375000009</v>
      </c>
      <c r="EJ55" s="279">
        <f>'Level Calculation Drone Survey'!$Z45</f>
        <v>263.69499375000009</v>
      </c>
      <c r="EK55" s="279">
        <f>'Level Calculation Drone Survey'!$Z45</f>
        <v>263.69499375000009</v>
      </c>
      <c r="EL55" s="305">
        <f>'Level Calculation Drone Survey'!$Z755</f>
        <v>263.49999375000004</v>
      </c>
      <c r="EM55" s="305">
        <f>'Level Calculation Drone Survey'!$Z755</f>
        <v>263.49999375000004</v>
      </c>
      <c r="EN55" s="191"/>
      <c r="EO55" s="191"/>
      <c r="EP55" s="191"/>
      <c r="EQ55" s="191"/>
      <c r="ER55" s="191"/>
      <c r="ES55" s="191"/>
      <c r="ET55" s="191"/>
      <c r="EU55" s="191"/>
      <c r="EV55" s="191"/>
      <c r="EW55" s="191"/>
      <c r="EX55" s="191"/>
      <c r="EY55" s="191"/>
    </row>
    <row r="56" spans="1:155" ht="45" customHeight="1" x14ac:dyDescent="0.45">
      <c r="A56" s="277">
        <v>275</v>
      </c>
      <c r="B56" s="305"/>
      <c r="C56" s="305"/>
      <c r="D56" s="305">
        <f>'Level Calculation Drone Survey'!$Z289</f>
        <v>263.97480499999995</v>
      </c>
      <c r="E56" s="305">
        <f>'Level Calculation Drone Survey'!$Z289</f>
        <v>263.97480499999995</v>
      </c>
      <c r="F56" s="279">
        <f>'Level Calculation Drone Survey'!$Z233</f>
        <v>264.07480499999997</v>
      </c>
      <c r="G56" s="279">
        <f>'Level Calculation Drone Survey'!$Z233</f>
        <v>264.07480499999997</v>
      </c>
      <c r="H56" s="279">
        <f>'Level Calculation Drone Survey'!$Z233</f>
        <v>264.07480499999997</v>
      </c>
      <c r="I56" s="279">
        <f>'Level Calculation Drone Survey'!$Z233</f>
        <v>264.07480499999997</v>
      </c>
      <c r="J56" s="279">
        <f>'Level Calculation Drone Survey'!$Z233</f>
        <v>264.07480499999997</v>
      </c>
      <c r="K56" s="279">
        <f>'Level Calculation Drone Survey'!$Z233</f>
        <v>264.07480499999997</v>
      </c>
      <c r="L56" s="279">
        <f>'Level Calculation Drone Survey'!$Z233</f>
        <v>264.07480499999997</v>
      </c>
      <c r="M56" s="279">
        <f>'Level Calculation Drone Survey'!$Z233</f>
        <v>264.07480499999997</v>
      </c>
      <c r="N56" s="279">
        <f>'Level Calculation Drone Survey'!$Z233</f>
        <v>264.07480499999997</v>
      </c>
      <c r="O56" s="279">
        <f>'Level Calculation Drone Survey'!$Z233</f>
        <v>264.07480499999997</v>
      </c>
      <c r="P56" s="279">
        <f>'Level Calculation Drone Survey'!$Z233</f>
        <v>264.07480499999997</v>
      </c>
      <c r="Q56" s="279">
        <f>'Level Calculation Drone Survey'!$Z233</f>
        <v>264.07480499999997</v>
      </c>
      <c r="R56" s="279">
        <f>'Level Calculation Drone Survey'!$Z233</f>
        <v>264.07480499999997</v>
      </c>
      <c r="S56" s="279">
        <f>'Level Calculation Drone Survey'!$Z233</f>
        <v>264.07480499999997</v>
      </c>
      <c r="T56" s="279">
        <f>'Level Calculation Drone Survey'!$Z233</f>
        <v>264.07480499999997</v>
      </c>
      <c r="U56" s="279">
        <f>'Level Calculation Drone Survey'!$Z233</f>
        <v>264.07480499999997</v>
      </c>
      <c r="V56" s="279">
        <f>'Level Calculation Drone Survey'!$Z233</f>
        <v>264.07480499999997</v>
      </c>
      <c r="W56" s="279">
        <f>'Level Calculation Drone Survey'!$Z233</f>
        <v>264.07480499999997</v>
      </c>
      <c r="X56" s="279">
        <f>'Level Calculation Drone Survey'!$Z233</f>
        <v>264.07480499999997</v>
      </c>
      <c r="Y56" s="279">
        <f>'Level Calculation Drone Survey'!$Z233</f>
        <v>264.07480499999997</v>
      </c>
      <c r="Z56" s="305">
        <f>'Level Calculation Drone Survey'!$Z368</f>
        <v>263.87480499999998</v>
      </c>
      <c r="AA56" s="278">
        <f>'Level Calculation Drone Survey'!$Z368</f>
        <v>263.87480499999998</v>
      </c>
      <c r="AB56" s="305">
        <f>'Level Calculation Drone Survey'!$Z368</f>
        <v>263.87480499999998</v>
      </c>
      <c r="AC56" s="313">
        <f>'Level Calculation Drone Survey'!$Z892</f>
        <v>263.67484285714266</v>
      </c>
      <c r="AD56" s="191"/>
      <c r="AE56" s="191"/>
      <c r="AF56" s="191"/>
      <c r="AG56" s="191"/>
      <c r="AH56" s="191"/>
      <c r="AI56" s="191"/>
      <c r="AJ56" s="191"/>
      <c r="AK56" s="191"/>
      <c r="AL56" s="191"/>
      <c r="AM56" s="191"/>
      <c r="AN56" s="191"/>
      <c r="AO56" s="191"/>
      <c r="AP56" s="191"/>
      <c r="AQ56" s="191"/>
      <c r="AR56" s="191"/>
      <c r="AS56" s="191"/>
      <c r="AT56" s="191"/>
      <c r="AU56" s="191"/>
      <c r="AV56" s="191"/>
      <c r="AW56" s="191"/>
      <c r="AX56" s="191"/>
      <c r="AY56" s="191"/>
      <c r="AZ56" s="191"/>
      <c r="BA56" s="191"/>
      <c r="BB56" s="191"/>
      <c r="BC56" s="191"/>
      <c r="BD56" s="305">
        <f>'Level Calculation Drone Survey'!$Z563</f>
        <v>263.58983809523795</v>
      </c>
      <c r="BE56" s="305">
        <f>'Level Calculation Drone Survey'!$Z563</f>
        <v>263.58983809523795</v>
      </c>
      <c r="BF56" s="279">
        <f>'Level Calculation Drone Survey'!$Z170</f>
        <v>263.68983809523797</v>
      </c>
      <c r="BG56" s="279">
        <f>'Level Calculation Drone Survey'!$Z170</f>
        <v>263.68983809523797</v>
      </c>
      <c r="BH56" s="279">
        <f>'Level Calculation Drone Survey'!$Z170</f>
        <v>263.68983809523797</v>
      </c>
      <c r="BI56" s="279">
        <f>'Level Calculation Drone Survey'!$Z170</f>
        <v>263.68983809523797</v>
      </c>
      <c r="BJ56" s="279">
        <f>'Level Calculation Drone Survey'!$Z170</f>
        <v>263.68983809523797</v>
      </c>
      <c r="BK56" s="279">
        <f>'Level Calculation Drone Survey'!$Z170</f>
        <v>263.68983809523797</v>
      </c>
      <c r="BL56" s="279">
        <f>'Level Calculation Drone Survey'!$Z170</f>
        <v>263.68983809523797</v>
      </c>
      <c r="BM56" s="279">
        <f>'Level Calculation Drone Survey'!$Z170</f>
        <v>263.68983809523797</v>
      </c>
      <c r="BN56" s="279">
        <f>'Level Calculation Drone Survey'!$Z170</f>
        <v>263.68983809523797</v>
      </c>
      <c r="BO56" s="279">
        <f>'Level Calculation Drone Survey'!$Z170</f>
        <v>263.68983809523797</v>
      </c>
      <c r="BP56" s="279">
        <f>'Level Calculation Drone Survey'!$Z170</f>
        <v>263.68983809523797</v>
      </c>
      <c r="BQ56" s="279">
        <f>'Level Calculation Drone Survey'!$Z170</f>
        <v>263.68983809523797</v>
      </c>
      <c r="BR56" s="279">
        <f>'Level Calculation Drone Survey'!$Z170</f>
        <v>263.68983809523797</v>
      </c>
      <c r="BS56" s="279">
        <f>'Level Calculation Drone Survey'!$Z170</f>
        <v>263.68983809523797</v>
      </c>
      <c r="BT56" s="279">
        <f>'Level Calculation Drone Survey'!$Z170</f>
        <v>263.68983809523797</v>
      </c>
      <c r="BU56" s="279">
        <f>'Level Calculation Drone Survey'!$Z170</f>
        <v>263.68983809523797</v>
      </c>
      <c r="BV56" s="279">
        <f>'Level Calculation Drone Survey'!$Z170</f>
        <v>263.68983809523797</v>
      </c>
      <c r="BW56" s="279">
        <f>'Level Calculation Drone Survey'!$Z170</f>
        <v>263.68983809523797</v>
      </c>
      <c r="BX56" s="279">
        <f>'Level Calculation Drone Survey'!$Z170</f>
        <v>263.68983809523797</v>
      </c>
      <c r="BY56" s="279">
        <f>'Level Calculation Drone Survey'!$Z170</f>
        <v>263.68983809523797</v>
      </c>
      <c r="BZ56" s="279">
        <f>'Level Calculation Drone Survey'!$Z170</f>
        <v>263.68983809523797</v>
      </c>
      <c r="CA56" s="313">
        <f>'Level Calculation Drone Survey'!$Z637</f>
        <v>263.63540476190474</v>
      </c>
      <c r="CB56" s="313">
        <f>'Level Calculation Drone Survey'!$Z637</f>
        <v>263.63540476190474</v>
      </c>
      <c r="CC56" s="279">
        <f>'Level Calculation Drone Survey'!$Z149</f>
        <v>263.73540476190476</v>
      </c>
      <c r="CD56" s="279">
        <f>'Level Calculation Drone Survey'!$Z149</f>
        <v>263.73540476190476</v>
      </c>
      <c r="CE56" s="279">
        <f>'Level Calculation Drone Survey'!$Z149</f>
        <v>263.73540476190476</v>
      </c>
      <c r="CF56" s="279">
        <f>'Level Calculation Drone Survey'!$Z149</f>
        <v>263.73540476190476</v>
      </c>
      <c r="CG56" s="279">
        <f>'Level Calculation Drone Survey'!$Z149</f>
        <v>263.73540476190476</v>
      </c>
      <c r="CH56" s="279">
        <f>'Level Calculation Drone Survey'!$Z149</f>
        <v>263.73540476190476</v>
      </c>
      <c r="CI56" s="279">
        <f>'Level Calculation Drone Survey'!$Z149</f>
        <v>263.73540476190476</v>
      </c>
      <c r="CJ56" s="279">
        <f>'Level Calculation Drone Survey'!$Z149</f>
        <v>263.73540476190476</v>
      </c>
      <c r="CK56" s="279">
        <f>'Level Calculation Drone Survey'!$Z149</f>
        <v>263.73540476190476</v>
      </c>
      <c r="CL56" s="279">
        <f>'Level Calculation Drone Survey'!$Z149</f>
        <v>263.73540476190476</v>
      </c>
      <c r="CM56" s="279">
        <f>'Level Calculation Drone Survey'!$Z149</f>
        <v>263.73540476190476</v>
      </c>
      <c r="CN56" s="279">
        <f>'Level Calculation Drone Survey'!$Z149</f>
        <v>263.73540476190476</v>
      </c>
      <c r="CO56" s="279">
        <f>'Level Calculation Drone Survey'!$Z149</f>
        <v>263.73540476190476</v>
      </c>
      <c r="CP56" s="279">
        <f>'Level Calculation Drone Survey'!$Z149</f>
        <v>263.73540476190476</v>
      </c>
      <c r="CQ56" s="279">
        <f>'Level Calculation Drone Survey'!$Z149</f>
        <v>263.73540476190476</v>
      </c>
      <c r="CR56" s="279">
        <f>'Level Calculation Drone Survey'!$Z149</f>
        <v>263.73540476190476</v>
      </c>
      <c r="CS56" s="279">
        <f>'Level Calculation Drone Survey'!$Z149</f>
        <v>263.73540476190476</v>
      </c>
      <c r="CT56" s="279">
        <f>'Level Calculation Drone Survey'!$Z149</f>
        <v>263.73540476190476</v>
      </c>
      <c r="CU56" s="279">
        <f>'Level Calculation Drone Survey'!$Z149</f>
        <v>263.73540476190476</v>
      </c>
      <c r="CV56" s="279">
        <f>'Level Calculation Drone Survey'!$Z149</f>
        <v>263.73540476190476</v>
      </c>
      <c r="CW56" s="279">
        <f>'Level Calculation Drone Survey'!$Z149</f>
        <v>263.73540476190476</v>
      </c>
      <c r="CX56" s="316">
        <f>'Level Calculation Drone Survey'!$Z533</f>
        <v>263.4901666666666</v>
      </c>
      <c r="CY56" s="279">
        <f>'Level Calculation Drone Survey'!$Z128</f>
        <v>263.54016666666661</v>
      </c>
      <c r="CZ56" s="279">
        <f>'Level Calculation Drone Survey'!$Z128</f>
        <v>263.54016666666661</v>
      </c>
      <c r="DA56" s="279">
        <f>'Level Calculation Drone Survey'!$Z128</f>
        <v>263.54016666666661</v>
      </c>
      <c r="DB56" s="279">
        <f>'Level Calculation Drone Survey'!$Z128</f>
        <v>263.54016666666661</v>
      </c>
      <c r="DC56" s="279">
        <f>'Level Calculation Drone Survey'!$Z128</f>
        <v>263.54016666666661</v>
      </c>
      <c r="DD56" s="279">
        <f>'Level Calculation Drone Survey'!$Z128</f>
        <v>263.54016666666661</v>
      </c>
      <c r="DE56" s="279">
        <f>'Level Calculation Drone Survey'!$Z128</f>
        <v>263.54016666666661</v>
      </c>
      <c r="DF56" s="279">
        <f>'Level Calculation Drone Survey'!$Z128</f>
        <v>263.54016666666661</v>
      </c>
      <c r="DG56" s="279">
        <f>'Level Calculation Drone Survey'!$Z128</f>
        <v>263.54016666666661</v>
      </c>
      <c r="DH56" s="279">
        <f>'Level Calculation Drone Survey'!$Z128</f>
        <v>263.54016666666661</v>
      </c>
      <c r="DI56" s="279">
        <f>'Level Calculation Drone Survey'!$Z128</f>
        <v>263.54016666666661</v>
      </c>
      <c r="DJ56" s="279">
        <f>'Level Calculation Drone Survey'!$Z128</f>
        <v>263.54016666666661</v>
      </c>
      <c r="DK56" s="279">
        <f>'Level Calculation Drone Survey'!$Z128</f>
        <v>263.54016666666661</v>
      </c>
      <c r="DL56" s="279">
        <f>'Level Calculation Drone Survey'!$Z128</f>
        <v>263.54016666666661</v>
      </c>
      <c r="DM56" s="279">
        <f>'Level Calculation Drone Survey'!$Z128</f>
        <v>263.54016666666661</v>
      </c>
      <c r="DN56" s="279">
        <f>'Level Calculation Drone Survey'!$Z128</f>
        <v>263.54016666666661</v>
      </c>
      <c r="DO56" s="279">
        <f>'Level Calculation Drone Survey'!$Z128</f>
        <v>263.54016666666661</v>
      </c>
      <c r="DP56" s="279">
        <f>'Level Calculation Drone Survey'!$Z128</f>
        <v>263.54016666666661</v>
      </c>
      <c r="DQ56" s="279">
        <f>'Level Calculation Drone Survey'!$Z128</f>
        <v>263.54016666666661</v>
      </c>
      <c r="DR56" s="279">
        <f>'Level Calculation Drone Survey'!$Z128</f>
        <v>263.54016666666661</v>
      </c>
      <c r="DS56" s="279">
        <f>'Level Calculation Drone Survey'!$Z128</f>
        <v>263.54016666666661</v>
      </c>
      <c r="DT56" s="305">
        <f>'Level Calculation Drone Survey'!$Z546</f>
        <v>263.4901666666666</v>
      </c>
      <c r="DU56" s="305">
        <f>'Level Calculation Drone Survey'!$Z546</f>
        <v>263.4901666666666</v>
      </c>
      <c r="DV56" s="318">
        <f>'Level Calculation Drone Survey'!$Z747</f>
        <v>263.49499375000011</v>
      </c>
      <c r="DW56" s="318">
        <f>'Level Calculation Drone Survey'!$Z747</f>
        <v>263.49499375000011</v>
      </c>
      <c r="DX56" s="318">
        <f>'Level Calculation Drone Survey'!$Z747</f>
        <v>263.49499375000011</v>
      </c>
      <c r="DY56" s="318">
        <f>'Level Calculation Drone Survey'!$Z747</f>
        <v>263.49499375000011</v>
      </c>
      <c r="DZ56" s="318">
        <f>'Level Calculation Drone Survey'!$Z747</f>
        <v>263.49499375000011</v>
      </c>
      <c r="EA56" s="318">
        <f>'Level Calculation Drone Survey'!$Z747</f>
        <v>263.49499375000011</v>
      </c>
      <c r="EB56" s="318">
        <f>'Level Calculation Drone Survey'!$Z747</f>
        <v>263.49499375000011</v>
      </c>
      <c r="EC56" s="318">
        <f>'Level Calculation Drone Survey'!$Z747</f>
        <v>263.49499375000011</v>
      </c>
      <c r="ED56" s="318">
        <f>'Level Calculation Drone Survey'!$Z747</f>
        <v>263.49499375000011</v>
      </c>
      <c r="EE56" s="318">
        <f>'Level Calculation Drone Survey'!$Z747</f>
        <v>263.49499375000011</v>
      </c>
      <c r="EF56" s="318">
        <f>'Level Calculation Drone Survey'!$Z747</f>
        <v>263.49499375000011</v>
      </c>
      <c r="EG56" s="318">
        <f>'Level Calculation Drone Survey'!$Z747</f>
        <v>263.49499375000011</v>
      </c>
      <c r="EH56" s="318">
        <f>'Level Calculation Drone Survey'!$Z747</f>
        <v>263.49499375000011</v>
      </c>
      <c r="EI56" s="318">
        <f>'Level Calculation Drone Survey'!$Z747</f>
        <v>263.49499375000011</v>
      </c>
      <c r="EJ56" s="318">
        <f>'Level Calculation Drone Survey'!$Z747</f>
        <v>263.49499375000011</v>
      </c>
      <c r="EK56" s="318">
        <f>'Level Calculation Drone Survey'!$Z747</f>
        <v>263.49499375000011</v>
      </c>
      <c r="EL56" s="318">
        <f>'Level Calculation Drone Survey'!$Z747</f>
        <v>263.49499375000011</v>
      </c>
      <c r="EM56" s="318">
        <f>'Level Calculation Drone Survey'!$Z747</f>
        <v>263.49499375000011</v>
      </c>
      <c r="EN56" s="191"/>
      <c r="EO56" s="191"/>
      <c r="EP56" s="191"/>
      <c r="EQ56" s="191"/>
      <c r="ER56" s="191"/>
      <c r="ES56" s="191"/>
      <c r="ET56" s="191"/>
      <c r="EU56" s="191"/>
      <c r="EV56" s="191"/>
      <c r="EW56" s="191"/>
      <c r="EX56" s="191"/>
      <c r="EY56" s="191"/>
    </row>
    <row r="57" spans="1:155" ht="45" customHeight="1" x14ac:dyDescent="0.45">
      <c r="A57" s="277">
        <v>280</v>
      </c>
      <c r="B57" s="305"/>
      <c r="C57" s="305"/>
      <c r="D57" s="305">
        <f>'Level Calculation Drone Survey'!$Z290</f>
        <v>263.92480499999994</v>
      </c>
      <c r="E57" s="305">
        <f>'Level Calculation Drone Survey'!$Z290</f>
        <v>263.92480499999994</v>
      </c>
      <c r="F57" s="279">
        <f>'Level Calculation Drone Survey'!$Z234</f>
        <v>264.02480499999996</v>
      </c>
      <c r="G57" s="279">
        <f>'Level Calculation Drone Survey'!$Z234</f>
        <v>264.02480499999996</v>
      </c>
      <c r="H57" s="279">
        <f>'Level Calculation Drone Survey'!$Z234</f>
        <v>264.02480499999996</v>
      </c>
      <c r="I57" s="279">
        <f>'Level Calculation Drone Survey'!$Z234</f>
        <v>264.02480499999996</v>
      </c>
      <c r="J57" s="279">
        <f>'Level Calculation Drone Survey'!$Z234</f>
        <v>264.02480499999996</v>
      </c>
      <c r="K57" s="279">
        <f>'Level Calculation Drone Survey'!$Z234</f>
        <v>264.02480499999996</v>
      </c>
      <c r="L57" s="279">
        <f>'Level Calculation Drone Survey'!$Z234</f>
        <v>264.02480499999996</v>
      </c>
      <c r="M57" s="279">
        <f>'Level Calculation Drone Survey'!$Z234</f>
        <v>264.02480499999996</v>
      </c>
      <c r="N57" s="279">
        <f>'Level Calculation Drone Survey'!$Z234</f>
        <v>264.02480499999996</v>
      </c>
      <c r="O57" s="279">
        <f>'Level Calculation Drone Survey'!$Z234</f>
        <v>264.02480499999996</v>
      </c>
      <c r="P57" s="279">
        <f>'Level Calculation Drone Survey'!$Z234</f>
        <v>264.02480499999996</v>
      </c>
      <c r="Q57" s="279">
        <f>'Level Calculation Drone Survey'!$Z234</f>
        <v>264.02480499999996</v>
      </c>
      <c r="R57" s="279">
        <f>'Level Calculation Drone Survey'!$Z234</f>
        <v>264.02480499999996</v>
      </c>
      <c r="S57" s="279">
        <f>'Level Calculation Drone Survey'!$Z234</f>
        <v>264.02480499999996</v>
      </c>
      <c r="T57" s="279">
        <f>'Level Calculation Drone Survey'!$Z234</f>
        <v>264.02480499999996</v>
      </c>
      <c r="U57" s="279">
        <f>'Level Calculation Drone Survey'!$Z234</f>
        <v>264.02480499999996</v>
      </c>
      <c r="V57" s="279">
        <f>'Level Calculation Drone Survey'!$Z234</f>
        <v>264.02480499999996</v>
      </c>
      <c r="W57" s="279">
        <f>'Level Calculation Drone Survey'!$Z234</f>
        <v>264.02480499999996</v>
      </c>
      <c r="X57" s="279">
        <f>'Level Calculation Drone Survey'!$Z234</f>
        <v>264.02480499999996</v>
      </c>
      <c r="Y57" s="279">
        <f>'Level Calculation Drone Survey'!$Z234</f>
        <v>264.02480499999996</v>
      </c>
      <c r="Z57" s="305">
        <f>'Level Calculation Drone Survey'!$Z369</f>
        <v>263.82480499999997</v>
      </c>
      <c r="AA57" s="278">
        <f>'Level Calculation Drone Survey'!$Z369</f>
        <v>263.82480499999997</v>
      </c>
      <c r="AB57" s="305">
        <f>'Level Calculation Drone Survey'!$Z369</f>
        <v>263.82480499999997</v>
      </c>
      <c r="AC57" s="313">
        <f>'Level Calculation Drone Survey'!$Z893</f>
        <v>263.66484285714267</v>
      </c>
      <c r="AD57" s="313">
        <f>'Level Calculation Drone Survey'!$Z893</f>
        <v>263.66484285714267</v>
      </c>
      <c r="AE57" s="313">
        <f>'Level Calculation Drone Survey'!$Z893</f>
        <v>263.66484285714267</v>
      </c>
      <c r="AF57" s="313">
        <f>'Level Calculation Drone Survey'!$Z893</f>
        <v>263.66484285714267</v>
      </c>
      <c r="AG57" s="313">
        <f>'Level Calculation Drone Survey'!$Z893</f>
        <v>263.66484285714267</v>
      </c>
      <c r="AH57" s="313">
        <f>'Level Calculation Drone Survey'!$Z893</f>
        <v>263.66484285714267</v>
      </c>
      <c r="AI57" s="191"/>
      <c r="AJ57" s="191"/>
      <c r="AK57" s="191"/>
      <c r="AL57" s="191"/>
      <c r="AM57" s="191"/>
      <c r="AN57" s="191"/>
      <c r="AO57" s="191"/>
      <c r="AP57" s="191"/>
      <c r="AQ57" s="191"/>
      <c r="AR57" s="191"/>
      <c r="AS57" s="191"/>
      <c r="AT57" s="191"/>
      <c r="AU57" s="191"/>
      <c r="AV57" s="191"/>
      <c r="AW57" s="191"/>
      <c r="AX57" s="191"/>
      <c r="AY57" s="191"/>
      <c r="AZ57" s="191"/>
      <c r="BA57" s="191"/>
      <c r="BB57" s="191"/>
      <c r="BC57" s="191"/>
      <c r="BD57" s="305">
        <f>'Level Calculation Drone Survey'!$Z564</f>
        <v>263.53983809523794</v>
      </c>
      <c r="BE57" s="305">
        <f>'Level Calculation Drone Survey'!$Z564</f>
        <v>263.53983809523794</v>
      </c>
      <c r="BF57" s="279">
        <f>'Level Calculation Drone Survey'!$Z171</f>
        <v>263.63983809523796</v>
      </c>
      <c r="BG57" s="279">
        <f>'Level Calculation Drone Survey'!$Z171</f>
        <v>263.63983809523796</v>
      </c>
      <c r="BH57" s="279">
        <f>'Level Calculation Drone Survey'!$Z171</f>
        <v>263.63983809523796</v>
      </c>
      <c r="BI57" s="279">
        <f>'Level Calculation Drone Survey'!$Z171</f>
        <v>263.63983809523796</v>
      </c>
      <c r="BJ57" s="279">
        <f>'Level Calculation Drone Survey'!$Z171</f>
        <v>263.63983809523796</v>
      </c>
      <c r="BK57" s="279">
        <f>'Level Calculation Drone Survey'!$Z171</f>
        <v>263.63983809523796</v>
      </c>
      <c r="BL57" s="279">
        <f>'Level Calculation Drone Survey'!$Z171</f>
        <v>263.63983809523796</v>
      </c>
      <c r="BM57" s="279">
        <f>'Level Calculation Drone Survey'!$Z171</f>
        <v>263.63983809523796</v>
      </c>
      <c r="BN57" s="279">
        <f>'Level Calculation Drone Survey'!$Z171</f>
        <v>263.63983809523796</v>
      </c>
      <c r="BO57" s="279">
        <f>'Level Calculation Drone Survey'!$Z171</f>
        <v>263.63983809523796</v>
      </c>
      <c r="BP57" s="279">
        <f>'Level Calculation Drone Survey'!$Z171</f>
        <v>263.63983809523796</v>
      </c>
      <c r="BQ57" s="279">
        <f>'Level Calculation Drone Survey'!$Z171</f>
        <v>263.63983809523796</v>
      </c>
      <c r="BR57" s="279">
        <f>'Level Calculation Drone Survey'!$Z171</f>
        <v>263.63983809523796</v>
      </c>
      <c r="BS57" s="279">
        <f>'Level Calculation Drone Survey'!$Z171</f>
        <v>263.63983809523796</v>
      </c>
      <c r="BT57" s="279">
        <f>'Level Calculation Drone Survey'!$Z171</f>
        <v>263.63983809523796</v>
      </c>
      <c r="BU57" s="279">
        <f>'Level Calculation Drone Survey'!$Z171</f>
        <v>263.63983809523796</v>
      </c>
      <c r="BV57" s="279">
        <f>'Level Calculation Drone Survey'!$Z171</f>
        <v>263.63983809523796</v>
      </c>
      <c r="BW57" s="279">
        <f>'Level Calculation Drone Survey'!$Z171</f>
        <v>263.63983809523796</v>
      </c>
      <c r="BX57" s="279">
        <f>'Level Calculation Drone Survey'!$Z171</f>
        <v>263.63983809523796</v>
      </c>
      <c r="BY57" s="279">
        <f>'Level Calculation Drone Survey'!$Z171</f>
        <v>263.63983809523796</v>
      </c>
      <c r="BZ57" s="279">
        <f>'Level Calculation Drone Survey'!$Z171</f>
        <v>263.63983809523796</v>
      </c>
      <c r="CA57" s="313">
        <f>'Level Calculation Drone Survey'!$Z638</f>
        <v>263.58540476190473</v>
      </c>
      <c r="CB57" s="313">
        <f>'Level Calculation Drone Survey'!$Z638</f>
        <v>263.58540476190473</v>
      </c>
      <c r="CC57" s="279">
        <f>'Level Calculation Drone Survey'!$Z150</f>
        <v>263.68540476190475</v>
      </c>
      <c r="CD57" s="279">
        <f>'Level Calculation Drone Survey'!$Z150</f>
        <v>263.68540476190475</v>
      </c>
      <c r="CE57" s="279">
        <f>'Level Calculation Drone Survey'!$Z150</f>
        <v>263.68540476190475</v>
      </c>
      <c r="CF57" s="279">
        <f>'Level Calculation Drone Survey'!$Z150</f>
        <v>263.68540476190475</v>
      </c>
      <c r="CG57" s="279">
        <f>'Level Calculation Drone Survey'!$Z150</f>
        <v>263.68540476190475</v>
      </c>
      <c r="CH57" s="279">
        <f>'Level Calculation Drone Survey'!$Z150</f>
        <v>263.68540476190475</v>
      </c>
      <c r="CI57" s="279">
        <f>'Level Calculation Drone Survey'!$Z150</f>
        <v>263.68540476190475</v>
      </c>
      <c r="CJ57" s="279">
        <f>'Level Calculation Drone Survey'!$Z150</f>
        <v>263.68540476190475</v>
      </c>
      <c r="CK57" s="279">
        <f>'Level Calculation Drone Survey'!$Z150</f>
        <v>263.68540476190475</v>
      </c>
      <c r="CL57" s="279">
        <f>'Level Calculation Drone Survey'!$Z150</f>
        <v>263.68540476190475</v>
      </c>
      <c r="CM57" s="279">
        <f>'Level Calculation Drone Survey'!$Z150</f>
        <v>263.68540476190475</v>
      </c>
      <c r="CN57" s="279">
        <f>'Level Calculation Drone Survey'!$Z150</f>
        <v>263.68540476190475</v>
      </c>
      <c r="CO57" s="279">
        <f>'Level Calculation Drone Survey'!$Z150</f>
        <v>263.68540476190475</v>
      </c>
      <c r="CP57" s="279">
        <f>'Level Calculation Drone Survey'!$Z150</f>
        <v>263.68540476190475</v>
      </c>
      <c r="CQ57" s="279">
        <f>'Level Calculation Drone Survey'!$Z150</f>
        <v>263.68540476190475</v>
      </c>
      <c r="CR57" s="279">
        <f>'Level Calculation Drone Survey'!$Z150</f>
        <v>263.68540476190475</v>
      </c>
      <c r="CS57" s="279">
        <f>'Level Calculation Drone Survey'!$Z150</f>
        <v>263.68540476190475</v>
      </c>
      <c r="CT57" s="279">
        <f>'Level Calculation Drone Survey'!$Z150</f>
        <v>263.68540476190475</v>
      </c>
      <c r="CU57" s="279">
        <f>'Level Calculation Drone Survey'!$Z150</f>
        <v>263.68540476190475</v>
      </c>
      <c r="CV57" s="279">
        <f>'Level Calculation Drone Survey'!$Z150</f>
        <v>263.68540476190475</v>
      </c>
      <c r="CW57" s="279">
        <f>'Level Calculation Drone Survey'!$Z150</f>
        <v>263.68540476190475</v>
      </c>
      <c r="CX57" s="316">
        <f>'Level Calculation Drone Survey'!$Z534</f>
        <v>263.44016666666658</v>
      </c>
      <c r="CY57" s="279">
        <f>'Level Calculation Drone Survey'!$Z129</f>
        <v>263.4901666666666</v>
      </c>
      <c r="CZ57" s="279">
        <f>'Level Calculation Drone Survey'!$Z129</f>
        <v>263.4901666666666</v>
      </c>
      <c r="DA57" s="279">
        <f>'Level Calculation Drone Survey'!$Z129</f>
        <v>263.4901666666666</v>
      </c>
      <c r="DB57" s="279">
        <f>'Level Calculation Drone Survey'!$Z129</f>
        <v>263.4901666666666</v>
      </c>
      <c r="DC57" s="279">
        <f>'Level Calculation Drone Survey'!$Z129</f>
        <v>263.4901666666666</v>
      </c>
      <c r="DD57" s="279">
        <f>'Level Calculation Drone Survey'!$Z129</f>
        <v>263.4901666666666</v>
      </c>
      <c r="DE57" s="279">
        <f>'Level Calculation Drone Survey'!$Z129</f>
        <v>263.4901666666666</v>
      </c>
      <c r="DF57" s="279">
        <f>'Level Calculation Drone Survey'!$Z129</f>
        <v>263.4901666666666</v>
      </c>
      <c r="DG57" s="279">
        <f>'Level Calculation Drone Survey'!$Z129</f>
        <v>263.4901666666666</v>
      </c>
      <c r="DH57" s="279">
        <f>'Level Calculation Drone Survey'!$Z129</f>
        <v>263.4901666666666</v>
      </c>
      <c r="DI57" s="279">
        <f>'Level Calculation Drone Survey'!$Z129</f>
        <v>263.4901666666666</v>
      </c>
      <c r="DJ57" s="279">
        <f>'Level Calculation Drone Survey'!$Z129</f>
        <v>263.4901666666666</v>
      </c>
      <c r="DK57" s="279">
        <f>'Level Calculation Drone Survey'!$Z129</f>
        <v>263.4901666666666</v>
      </c>
      <c r="DL57" s="279">
        <f>'Level Calculation Drone Survey'!$Z129</f>
        <v>263.4901666666666</v>
      </c>
      <c r="DM57" s="279">
        <f>'Level Calculation Drone Survey'!$Z129</f>
        <v>263.4901666666666</v>
      </c>
      <c r="DN57" s="279">
        <f>'Level Calculation Drone Survey'!$Z129</f>
        <v>263.4901666666666</v>
      </c>
      <c r="DO57" s="279">
        <f>'Level Calculation Drone Survey'!$Z129</f>
        <v>263.4901666666666</v>
      </c>
      <c r="DP57" s="279">
        <f>'Level Calculation Drone Survey'!$Z129</f>
        <v>263.4901666666666</v>
      </c>
      <c r="DQ57" s="279">
        <f>'Level Calculation Drone Survey'!$Z129</f>
        <v>263.4901666666666</v>
      </c>
      <c r="DR57" s="279">
        <f>'Level Calculation Drone Survey'!$Z129</f>
        <v>263.4901666666666</v>
      </c>
      <c r="DS57" s="279">
        <f>'Level Calculation Drone Survey'!$Z129</f>
        <v>263.4901666666666</v>
      </c>
      <c r="DT57" s="305">
        <f>'Level Calculation Drone Survey'!$Z547</f>
        <v>263.44016666666658</v>
      </c>
      <c r="DU57" s="305">
        <f>'Level Calculation Drone Survey'!$Z547</f>
        <v>263.44016666666658</v>
      </c>
      <c r="DV57" s="318">
        <f>'Level Calculation Drone Survey'!$Z748</f>
        <v>263.49499375000011</v>
      </c>
      <c r="DW57" s="318">
        <f>'Level Calculation Drone Survey'!$Z748</f>
        <v>263.49499375000011</v>
      </c>
      <c r="DX57" s="318">
        <f>'Level Calculation Drone Survey'!$Z748</f>
        <v>263.49499375000011</v>
      </c>
      <c r="DY57" s="318">
        <f>'Level Calculation Drone Survey'!$Z748</f>
        <v>263.49499375000011</v>
      </c>
      <c r="DZ57" s="318">
        <f>'Level Calculation Drone Survey'!$Z748</f>
        <v>263.49499375000011</v>
      </c>
      <c r="EA57" s="318">
        <f>'Level Calculation Drone Survey'!$Z748</f>
        <v>263.49499375000011</v>
      </c>
      <c r="EB57" s="318">
        <f>'Level Calculation Drone Survey'!$Z748</f>
        <v>263.49499375000011</v>
      </c>
      <c r="EC57" s="318">
        <f>'Level Calculation Drone Survey'!$Z748</f>
        <v>263.49499375000011</v>
      </c>
      <c r="ED57" s="318">
        <f>'Level Calculation Drone Survey'!$Z748</f>
        <v>263.49499375000011</v>
      </c>
      <c r="EE57" s="318">
        <f>'Level Calculation Drone Survey'!$Z748</f>
        <v>263.49499375000011</v>
      </c>
      <c r="EF57" s="318">
        <f>'Level Calculation Drone Survey'!$Z748</f>
        <v>263.49499375000011</v>
      </c>
      <c r="EG57" s="318">
        <f>'Level Calculation Drone Survey'!$Z748</f>
        <v>263.49499375000011</v>
      </c>
      <c r="EH57" s="318">
        <f>'Level Calculation Drone Survey'!$Z748</f>
        <v>263.49499375000011</v>
      </c>
      <c r="EI57" s="318">
        <f>'Level Calculation Drone Survey'!$Z748</f>
        <v>263.49499375000011</v>
      </c>
      <c r="EJ57" s="318">
        <f>'Level Calculation Drone Survey'!$Z748</f>
        <v>263.49499375000011</v>
      </c>
      <c r="EK57" s="318">
        <f>'Level Calculation Drone Survey'!$Z748</f>
        <v>263.49499375000011</v>
      </c>
      <c r="EL57" s="318">
        <f>'Level Calculation Drone Survey'!$Z748</f>
        <v>263.49499375000011</v>
      </c>
      <c r="EM57" s="191"/>
      <c r="EN57" s="191"/>
      <c r="EO57" s="191"/>
      <c r="EP57" s="191"/>
      <c r="EQ57" s="191"/>
      <c r="ER57" s="191"/>
      <c r="ES57" s="191"/>
      <c r="ET57" s="191"/>
      <c r="EU57" s="191"/>
      <c r="EV57" s="191"/>
      <c r="EW57" s="191"/>
      <c r="EX57" s="191"/>
      <c r="EY57" s="191"/>
    </row>
    <row r="58" spans="1:155" ht="45" customHeight="1" x14ac:dyDescent="0.45">
      <c r="A58" s="277">
        <v>285</v>
      </c>
      <c r="B58" s="305"/>
      <c r="C58" s="305"/>
      <c r="D58" s="305">
        <f>'Level Calculation Drone Survey'!$Z291</f>
        <v>263.87480499999992</v>
      </c>
      <c r="E58" s="305">
        <f>'Level Calculation Drone Survey'!$Z291</f>
        <v>263.87480499999992</v>
      </c>
      <c r="F58" s="279">
        <f>'Level Calculation Drone Survey'!$Z235</f>
        <v>263.97480499999995</v>
      </c>
      <c r="G58" s="279">
        <f>'Level Calculation Drone Survey'!$Z235</f>
        <v>263.97480499999995</v>
      </c>
      <c r="H58" s="279">
        <f>'Level Calculation Drone Survey'!$Z235</f>
        <v>263.97480499999995</v>
      </c>
      <c r="I58" s="279">
        <f>'Level Calculation Drone Survey'!$Z235</f>
        <v>263.97480499999995</v>
      </c>
      <c r="J58" s="279">
        <f>'Level Calculation Drone Survey'!$Z235</f>
        <v>263.97480499999995</v>
      </c>
      <c r="K58" s="279">
        <f>'Level Calculation Drone Survey'!$Z235</f>
        <v>263.97480499999995</v>
      </c>
      <c r="L58" s="279">
        <f>'Level Calculation Drone Survey'!$Z235</f>
        <v>263.97480499999995</v>
      </c>
      <c r="M58" s="279">
        <f>'Level Calculation Drone Survey'!$Z235</f>
        <v>263.97480499999995</v>
      </c>
      <c r="N58" s="279">
        <f>'Level Calculation Drone Survey'!$Z235</f>
        <v>263.97480499999995</v>
      </c>
      <c r="O58" s="279">
        <f>'Level Calculation Drone Survey'!$Z235</f>
        <v>263.97480499999995</v>
      </c>
      <c r="P58" s="279">
        <f>'Level Calculation Drone Survey'!$Z235</f>
        <v>263.97480499999995</v>
      </c>
      <c r="Q58" s="279">
        <f>'Level Calculation Drone Survey'!$Z235</f>
        <v>263.97480499999995</v>
      </c>
      <c r="R58" s="279">
        <f>'Level Calculation Drone Survey'!$Z235</f>
        <v>263.97480499999995</v>
      </c>
      <c r="S58" s="279">
        <f>'Level Calculation Drone Survey'!$Z235</f>
        <v>263.97480499999995</v>
      </c>
      <c r="T58" s="279">
        <f>'Level Calculation Drone Survey'!$Z235</f>
        <v>263.97480499999995</v>
      </c>
      <c r="U58" s="279">
        <f>'Level Calculation Drone Survey'!$Z235</f>
        <v>263.97480499999995</v>
      </c>
      <c r="V58" s="279">
        <f>'Level Calculation Drone Survey'!$Z235</f>
        <v>263.97480499999995</v>
      </c>
      <c r="W58" s="279">
        <f>'Level Calculation Drone Survey'!$Z235</f>
        <v>263.97480499999995</v>
      </c>
      <c r="X58" s="279">
        <f>'Level Calculation Drone Survey'!$Z235</f>
        <v>263.97480499999995</v>
      </c>
      <c r="Y58" s="279">
        <f>'Level Calculation Drone Survey'!$Z235</f>
        <v>263.97480499999995</v>
      </c>
      <c r="Z58" s="305">
        <f>'Level Calculation Drone Survey'!$Z370</f>
        <v>263.77480499999996</v>
      </c>
      <c r="AA58" s="278">
        <f>'Level Calculation Drone Survey'!$Z370</f>
        <v>263.77480499999996</v>
      </c>
      <c r="AB58" s="305">
        <f>'Level Calculation Drone Survey'!$Z370</f>
        <v>263.77480499999996</v>
      </c>
      <c r="AC58" s="313">
        <f>'Level Calculation Drone Survey'!$Z894</f>
        <v>263.65484285714268</v>
      </c>
      <c r="AD58" s="313">
        <f>'Level Calculation Drone Survey'!$Z894</f>
        <v>263.65484285714268</v>
      </c>
      <c r="AE58" s="313">
        <f>'Level Calculation Drone Survey'!$Z894</f>
        <v>263.65484285714268</v>
      </c>
      <c r="AF58" s="313">
        <f>'Level Calculation Drone Survey'!$Z894</f>
        <v>263.65484285714268</v>
      </c>
      <c r="AG58" s="313">
        <f>'Level Calculation Drone Survey'!$Z894</f>
        <v>263.65484285714268</v>
      </c>
      <c r="AH58" s="313">
        <f>'Level Calculation Drone Survey'!$Z894</f>
        <v>263.65484285714268</v>
      </c>
      <c r="AI58" s="313">
        <f>'Level Calculation Drone Survey'!$Z894</f>
        <v>263.65484285714268</v>
      </c>
      <c r="AJ58" s="313">
        <f>'Level Calculation Drone Survey'!$Z894</f>
        <v>263.65484285714268</v>
      </c>
      <c r="AK58" s="313">
        <f>'Level Calculation Drone Survey'!$Z894</f>
        <v>263.65484285714268</v>
      </c>
      <c r="AL58" s="313">
        <f>'Level Calculation Drone Survey'!$Z894</f>
        <v>263.65484285714268</v>
      </c>
      <c r="AM58" s="313">
        <f>'Level Calculation Drone Survey'!$Z894</f>
        <v>263.65484285714268</v>
      </c>
      <c r="AN58" s="191"/>
      <c r="AO58" s="191"/>
      <c r="AP58" s="191"/>
      <c r="AQ58" s="191"/>
      <c r="AR58" s="191"/>
      <c r="AS58" s="191"/>
      <c r="AT58" s="191"/>
      <c r="AU58" s="191"/>
      <c r="AV58" s="191"/>
      <c r="AW58" s="191"/>
      <c r="AX58" s="191"/>
      <c r="AY58" s="191"/>
      <c r="AZ58" s="191"/>
      <c r="BA58" s="191"/>
      <c r="BB58" s="191"/>
      <c r="BC58" s="278">
        <v>264.01069999999999</v>
      </c>
      <c r="BD58" s="305">
        <f>'Level Calculation Drone Survey'!$Z565</f>
        <v>263.53983809523794</v>
      </c>
      <c r="BE58" s="305">
        <f>'Level Calculation Drone Survey'!$Z565</f>
        <v>263.53983809523794</v>
      </c>
      <c r="BF58" s="279">
        <f>'Level Calculation Drone Survey'!$Z172</f>
        <v>263.58983809523795</v>
      </c>
      <c r="BG58" s="279">
        <f>'Level Calculation Drone Survey'!$Z172</f>
        <v>263.58983809523795</v>
      </c>
      <c r="BH58" s="279">
        <f>'Level Calculation Drone Survey'!$Z172</f>
        <v>263.58983809523795</v>
      </c>
      <c r="BI58" s="279">
        <f>'Level Calculation Drone Survey'!$Z172</f>
        <v>263.58983809523795</v>
      </c>
      <c r="BJ58" s="279">
        <f>'Level Calculation Drone Survey'!$Z172</f>
        <v>263.58983809523795</v>
      </c>
      <c r="BK58" s="279">
        <f>'Level Calculation Drone Survey'!$Z172</f>
        <v>263.58983809523795</v>
      </c>
      <c r="BL58" s="279">
        <f>'Level Calculation Drone Survey'!$Z172</f>
        <v>263.58983809523795</v>
      </c>
      <c r="BM58" s="279">
        <f>'Level Calculation Drone Survey'!$Z172</f>
        <v>263.58983809523795</v>
      </c>
      <c r="BN58" s="279">
        <f>'Level Calculation Drone Survey'!$Z172</f>
        <v>263.58983809523795</v>
      </c>
      <c r="BO58" s="279">
        <f>'Level Calculation Drone Survey'!$Z172</f>
        <v>263.58983809523795</v>
      </c>
      <c r="BP58" s="279">
        <f>'Level Calculation Drone Survey'!$Z172</f>
        <v>263.58983809523795</v>
      </c>
      <c r="BQ58" s="279">
        <f>'Level Calculation Drone Survey'!$Z172</f>
        <v>263.58983809523795</v>
      </c>
      <c r="BR58" s="279">
        <f>'Level Calculation Drone Survey'!$Z172</f>
        <v>263.58983809523795</v>
      </c>
      <c r="BS58" s="279">
        <f>'Level Calculation Drone Survey'!$Z172</f>
        <v>263.58983809523795</v>
      </c>
      <c r="BT58" s="279">
        <f>'Level Calculation Drone Survey'!$Z172</f>
        <v>263.58983809523795</v>
      </c>
      <c r="BU58" s="279">
        <f>'Level Calculation Drone Survey'!$Z172</f>
        <v>263.58983809523795</v>
      </c>
      <c r="BV58" s="279">
        <f>'Level Calculation Drone Survey'!$Z172</f>
        <v>263.58983809523795</v>
      </c>
      <c r="BW58" s="279">
        <f>'Level Calculation Drone Survey'!$Z172</f>
        <v>263.58983809523795</v>
      </c>
      <c r="BX58" s="279">
        <f>'Level Calculation Drone Survey'!$Z172</f>
        <v>263.58983809523795</v>
      </c>
      <c r="BY58" s="279">
        <f>'Level Calculation Drone Survey'!$Z172</f>
        <v>263.58983809523795</v>
      </c>
      <c r="BZ58" s="279">
        <f>'Level Calculation Drone Survey'!$Z172</f>
        <v>263.58983809523795</v>
      </c>
      <c r="CA58" s="313">
        <f>'Level Calculation Drone Survey'!$Z639</f>
        <v>263.53540476190472</v>
      </c>
      <c r="CB58" s="313">
        <f>'Level Calculation Drone Survey'!$Z639</f>
        <v>263.53540476190472</v>
      </c>
      <c r="CC58" s="279">
        <f>'Level Calculation Drone Survey'!$Z151</f>
        <v>263.63540476190474</v>
      </c>
      <c r="CD58" s="279">
        <f>'Level Calculation Drone Survey'!$Z151</f>
        <v>263.63540476190474</v>
      </c>
      <c r="CE58" s="279">
        <f>'Level Calculation Drone Survey'!$Z151</f>
        <v>263.63540476190474</v>
      </c>
      <c r="CF58" s="279">
        <f>'Level Calculation Drone Survey'!$Z151</f>
        <v>263.63540476190474</v>
      </c>
      <c r="CG58" s="279">
        <f>'Level Calculation Drone Survey'!$Z151</f>
        <v>263.63540476190474</v>
      </c>
      <c r="CH58" s="279">
        <f>'Level Calculation Drone Survey'!$Z151</f>
        <v>263.63540476190474</v>
      </c>
      <c r="CI58" s="279">
        <f>'Level Calculation Drone Survey'!$Z151</f>
        <v>263.63540476190474</v>
      </c>
      <c r="CJ58" s="279">
        <f>'Level Calculation Drone Survey'!$Z151</f>
        <v>263.63540476190474</v>
      </c>
      <c r="CK58" s="279">
        <f>'Level Calculation Drone Survey'!$Z151</f>
        <v>263.63540476190474</v>
      </c>
      <c r="CL58" s="279">
        <f>'Level Calculation Drone Survey'!$Z151</f>
        <v>263.63540476190474</v>
      </c>
      <c r="CM58" s="279">
        <f>'Level Calculation Drone Survey'!$Z151</f>
        <v>263.63540476190474</v>
      </c>
      <c r="CN58" s="279">
        <f>'Level Calculation Drone Survey'!$Z151</f>
        <v>263.63540476190474</v>
      </c>
      <c r="CO58" s="279">
        <f>'Level Calculation Drone Survey'!$Z151</f>
        <v>263.63540476190474</v>
      </c>
      <c r="CP58" s="279">
        <f>'Level Calculation Drone Survey'!$Z151</f>
        <v>263.63540476190474</v>
      </c>
      <c r="CQ58" s="279">
        <f>'Level Calculation Drone Survey'!$Z151</f>
        <v>263.63540476190474</v>
      </c>
      <c r="CR58" s="279">
        <f>'Level Calculation Drone Survey'!$Z151</f>
        <v>263.63540476190474</v>
      </c>
      <c r="CS58" s="279">
        <f>'Level Calculation Drone Survey'!$Z151</f>
        <v>263.63540476190474</v>
      </c>
      <c r="CT58" s="279">
        <f>'Level Calculation Drone Survey'!$Z151</f>
        <v>263.63540476190474</v>
      </c>
      <c r="CU58" s="279">
        <f>'Level Calculation Drone Survey'!$Z151</f>
        <v>263.63540476190474</v>
      </c>
      <c r="CV58" s="279">
        <f>'Level Calculation Drone Survey'!$Z151</f>
        <v>263.63540476190474</v>
      </c>
      <c r="CW58" s="279">
        <f>'Level Calculation Drone Survey'!$Z151</f>
        <v>263.63540476190474</v>
      </c>
      <c r="CX58" s="316">
        <f>'Level Calculation Drone Survey'!$Z535</f>
        <v>263.39016666666657</v>
      </c>
      <c r="CY58" s="279">
        <f>'Level Calculation Drone Survey'!$Z130</f>
        <v>263.44016666666658</v>
      </c>
      <c r="CZ58" s="279">
        <f>'Level Calculation Drone Survey'!$Z130</f>
        <v>263.44016666666658</v>
      </c>
      <c r="DA58" s="279">
        <f>'Level Calculation Drone Survey'!$Z130</f>
        <v>263.44016666666658</v>
      </c>
      <c r="DB58" s="279">
        <f>'Level Calculation Drone Survey'!$Z130</f>
        <v>263.44016666666658</v>
      </c>
      <c r="DC58" s="279">
        <f>'Level Calculation Drone Survey'!$Z130</f>
        <v>263.44016666666658</v>
      </c>
      <c r="DD58" s="279">
        <f>'Level Calculation Drone Survey'!$Z130</f>
        <v>263.44016666666658</v>
      </c>
      <c r="DE58" s="279">
        <f>'Level Calculation Drone Survey'!$Z130</f>
        <v>263.44016666666658</v>
      </c>
      <c r="DF58" s="279">
        <f>'Level Calculation Drone Survey'!$Z130</f>
        <v>263.44016666666658</v>
      </c>
      <c r="DG58" s="279">
        <f>'Level Calculation Drone Survey'!$Z130</f>
        <v>263.44016666666658</v>
      </c>
      <c r="DH58" s="279">
        <f>'Level Calculation Drone Survey'!$Z130</f>
        <v>263.44016666666658</v>
      </c>
      <c r="DI58" s="279">
        <f>'Level Calculation Drone Survey'!$Z130</f>
        <v>263.44016666666658</v>
      </c>
      <c r="DJ58" s="279">
        <f>'Level Calculation Drone Survey'!$Z130</f>
        <v>263.44016666666658</v>
      </c>
      <c r="DK58" s="279">
        <f>'Level Calculation Drone Survey'!$Z130</f>
        <v>263.44016666666658</v>
      </c>
      <c r="DL58" s="279">
        <f>'Level Calculation Drone Survey'!$Z130</f>
        <v>263.44016666666658</v>
      </c>
      <c r="DM58" s="279">
        <f>'Level Calculation Drone Survey'!$Z130</f>
        <v>263.44016666666658</v>
      </c>
      <c r="DN58" s="279">
        <f>'Level Calculation Drone Survey'!$Z130</f>
        <v>263.44016666666658</v>
      </c>
      <c r="DO58" s="279">
        <f>'Level Calculation Drone Survey'!$Z130</f>
        <v>263.44016666666658</v>
      </c>
      <c r="DP58" s="279">
        <f>'Level Calculation Drone Survey'!$Z130</f>
        <v>263.44016666666658</v>
      </c>
      <c r="DQ58" s="279">
        <f>'Level Calculation Drone Survey'!$Z130</f>
        <v>263.44016666666658</v>
      </c>
      <c r="DR58" s="279">
        <f>'Level Calculation Drone Survey'!$Z130</f>
        <v>263.44016666666658</v>
      </c>
      <c r="DS58" s="279">
        <f>'Level Calculation Drone Survey'!$Z130</f>
        <v>263.44016666666658</v>
      </c>
      <c r="DT58" s="305">
        <f>'Level Calculation Drone Survey'!$Z548</f>
        <v>263.39016666666657</v>
      </c>
      <c r="DU58" s="305">
        <f>'Level Calculation Drone Survey'!$Z548</f>
        <v>263.39016666666657</v>
      </c>
      <c r="DV58" s="318">
        <f>'Level Calculation Drone Survey'!$Z749</f>
        <v>263.49499375000011</v>
      </c>
      <c r="DW58" s="318">
        <f>'Level Calculation Drone Survey'!$Z749</f>
        <v>263.49499375000011</v>
      </c>
      <c r="DX58" s="318">
        <f>'Level Calculation Drone Survey'!$Z749</f>
        <v>263.49499375000011</v>
      </c>
      <c r="DY58" s="318">
        <f>'Level Calculation Drone Survey'!$Z749</f>
        <v>263.49499375000011</v>
      </c>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row>
    <row r="59" spans="1:155" ht="45" customHeight="1" x14ac:dyDescent="0.45">
      <c r="A59" s="277">
        <v>290</v>
      </c>
      <c r="B59" s="305"/>
      <c r="C59" s="305"/>
      <c r="D59" s="305">
        <f>'Level Calculation Drone Survey'!$Z292</f>
        <v>263.82480499999991</v>
      </c>
      <c r="E59" s="305">
        <f>'Level Calculation Drone Survey'!$Z292</f>
        <v>263.82480499999991</v>
      </c>
      <c r="F59" s="279">
        <f>'Level Calculation Drone Survey'!$Z236</f>
        <v>263.92480499999994</v>
      </c>
      <c r="G59" s="279">
        <f>'Level Calculation Drone Survey'!$Z236</f>
        <v>263.92480499999994</v>
      </c>
      <c r="H59" s="279">
        <f>'Level Calculation Drone Survey'!$Z236</f>
        <v>263.92480499999994</v>
      </c>
      <c r="I59" s="279">
        <f>'Level Calculation Drone Survey'!$Z236</f>
        <v>263.92480499999994</v>
      </c>
      <c r="J59" s="279">
        <f>'Level Calculation Drone Survey'!$Z236</f>
        <v>263.92480499999994</v>
      </c>
      <c r="K59" s="279">
        <f>'Level Calculation Drone Survey'!$Z236</f>
        <v>263.92480499999994</v>
      </c>
      <c r="L59" s="279">
        <f>'Level Calculation Drone Survey'!$Z236</f>
        <v>263.92480499999994</v>
      </c>
      <c r="M59" s="279">
        <f>'Level Calculation Drone Survey'!$Z236</f>
        <v>263.92480499999994</v>
      </c>
      <c r="N59" s="279">
        <f>'Level Calculation Drone Survey'!$Z236</f>
        <v>263.92480499999994</v>
      </c>
      <c r="O59" s="279">
        <f>'Level Calculation Drone Survey'!$Z236</f>
        <v>263.92480499999994</v>
      </c>
      <c r="P59" s="279">
        <f>'Level Calculation Drone Survey'!$Z236</f>
        <v>263.92480499999994</v>
      </c>
      <c r="Q59" s="279">
        <f>'Level Calculation Drone Survey'!$Z236</f>
        <v>263.92480499999994</v>
      </c>
      <c r="R59" s="279">
        <f>'Level Calculation Drone Survey'!$Z236</f>
        <v>263.92480499999994</v>
      </c>
      <c r="S59" s="279">
        <f>'Level Calculation Drone Survey'!$Z236</f>
        <v>263.92480499999994</v>
      </c>
      <c r="T59" s="279">
        <f>'Level Calculation Drone Survey'!$Z236</f>
        <v>263.92480499999994</v>
      </c>
      <c r="U59" s="279">
        <f>'Level Calculation Drone Survey'!$Z236</f>
        <v>263.92480499999994</v>
      </c>
      <c r="V59" s="279">
        <f>'Level Calculation Drone Survey'!$Z236</f>
        <v>263.92480499999994</v>
      </c>
      <c r="W59" s="279">
        <f>'Level Calculation Drone Survey'!$Z236</f>
        <v>263.92480499999994</v>
      </c>
      <c r="X59" s="279">
        <f>'Level Calculation Drone Survey'!$Z236</f>
        <v>263.92480499999994</v>
      </c>
      <c r="Y59" s="279">
        <f>'Level Calculation Drone Survey'!$Z236</f>
        <v>263.92480499999994</v>
      </c>
      <c r="Z59" s="305">
        <f>'Level Calculation Drone Survey'!$Z371</f>
        <v>263.72480499999995</v>
      </c>
      <c r="AA59" s="278">
        <f>'Level Calculation Drone Survey'!$Z371</f>
        <v>263.72480499999995</v>
      </c>
      <c r="AB59" s="305">
        <f>'Level Calculation Drone Survey'!$Z371</f>
        <v>263.72480499999995</v>
      </c>
      <c r="AC59" s="313">
        <f>'Level Calculation Drone Survey'!$Z895</f>
        <v>263.64484285714269</v>
      </c>
      <c r="AD59" s="313">
        <f>'Level Calculation Drone Survey'!$Z895</f>
        <v>263.64484285714269</v>
      </c>
      <c r="AE59" s="313">
        <f>'Level Calculation Drone Survey'!$Z895</f>
        <v>263.64484285714269</v>
      </c>
      <c r="AF59" s="313">
        <f>'Level Calculation Drone Survey'!$Z895</f>
        <v>263.64484285714269</v>
      </c>
      <c r="AG59" s="313">
        <f>'Level Calculation Drone Survey'!$Z895</f>
        <v>263.64484285714269</v>
      </c>
      <c r="AH59" s="313">
        <f>'Level Calculation Drone Survey'!$Z895</f>
        <v>263.64484285714269</v>
      </c>
      <c r="AI59" s="313">
        <f>'Level Calculation Drone Survey'!$Z895</f>
        <v>263.64484285714269</v>
      </c>
      <c r="AJ59" s="313">
        <f>'Level Calculation Drone Survey'!$Z895</f>
        <v>263.64484285714269</v>
      </c>
      <c r="AK59" s="313">
        <f>'Level Calculation Drone Survey'!$Z895</f>
        <v>263.64484285714269</v>
      </c>
      <c r="AL59" s="313">
        <f>'Level Calculation Drone Survey'!$Z895</f>
        <v>263.64484285714269</v>
      </c>
      <c r="AM59" s="313">
        <f>'Level Calculation Drone Survey'!$Z895</f>
        <v>263.64484285714269</v>
      </c>
      <c r="AN59" s="313">
        <f>'Level Calculation Drone Survey'!$Z895</f>
        <v>263.64484285714269</v>
      </c>
      <c r="AO59" s="313">
        <f>'Level Calculation Drone Survey'!$Z895</f>
        <v>263.64484285714269</v>
      </c>
      <c r="AP59" s="313">
        <f>'Level Calculation Drone Survey'!$Z895</f>
        <v>263.64484285714269</v>
      </c>
      <c r="AQ59" s="313">
        <f>'Level Calculation Drone Survey'!$Z895</f>
        <v>263.64484285714269</v>
      </c>
      <c r="AR59" s="313">
        <f>'Level Calculation Drone Survey'!$Z895</f>
        <v>263.64484285714269</v>
      </c>
      <c r="AS59" s="313">
        <f>'Level Calculation Drone Survey'!$Z895</f>
        <v>263.64484285714269</v>
      </c>
      <c r="AT59" s="313">
        <f>'Level Calculation Drone Survey'!$Z895</f>
        <v>263.64484285714269</v>
      </c>
      <c r="AU59" s="313">
        <f>'Level Calculation Drone Survey'!$Z895</f>
        <v>263.64484285714269</v>
      </c>
      <c r="AV59" s="312">
        <f>'Level Calculation Drone Survey'!$Z429</f>
        <v>263.5647523809522</v>
      </c>
      <c r="AW59" s="312">
        <f>'Level Calculation Drone Survey'!$Z429</f>
        <v>263.5647523809522</v>
      </c>
      <c r="AX59" s="312">
        <f>'Level Calculation Drone Survey'!$Z429</f>
        <v>263.5647523809522</v>
      </c>
      <c r="AY59" s="312">
        <f>'Level Calculation Drone Survey'!$Z429</f>
        <v>263.5647523809522</v>
      </c>
      <c r="AZ59" s="312">
        <f>'Level Calculation Drone Survey'!$Z429</f>
        <v>263.5647523809522</v>
      </c>
      <c r="BA59" s="312">
        <f>'Level Calculation Drone Survey'!$Z429</f>
        <v>263.5647523809522</v>
      </c>
      <c r="BB59" s="312">
        <f>'Level Calculation Drone Survey'!$Z429</f>
        <v>263.5647523809522</v>
      </c>
      <c r="BC59" s="312">
        <f>'Level Calculation Drone Survey'!$Z429</f>
        <v>263.5647523809522</v>
      </c>
      <c r="BD59" s="312">
        <f>'Level Calculation Drone Survey'!$Z429</f>
        <v>263.5647523809522</v>
      </c>
      <c r="BE59" s="312">
        <f>'Level Calculation Drone Survey'!$Z429</f>
        <v>263.5647523809522</v>
      </c>
      <c r="BF59" s="305">
        <f>'Level Calculation Drone Survey'!$Z422</f>
        <v>263.54975238095216</v>
      </c>
      <c r="BG59" s="305">
        <f>'Level Calculation Drone Survey'!$Z422</f>
        <v>263.54975238095216</v>
      </c>
      <c r="BH59" s="305">
        <f>'Level Calculation Drone Survey'!$Z422</f>
        <v>263.54975238095216</v>
      </c>
      <c r="BI59" s="305">
        <f>'Level Calculation Drone Survey'!$Z422</f>
        <v>263.54975238095216</v>
      </c>
      <c r="BJ59" s="305">
        <f>'Level Calculation Drone Survey'!$Z422</f>
        <v>263.54975238095216</v>
      </c>
      <c r="BK59" s="305">
        <f>'Level Calculation Drone Survey'!$Z422</f>
        <v>263.54975238095216</v>
      </c>
      <c r="BL59" s="305">
        <f>'Level Calculation Drone Survey'!$Z422</f>
        <v>263.54975238095216</v>
      </c>
      <c r="BM59" s="305">
        <f>'Level Calculation Drone Survey'!$Z422</f>
        <v>263.54975238095216</v>
      </c>
      <c r="BN59" s="305">
        <f>'Level Calculation Drone Survey'!$Z422</f>
        <v>263.54975238095216</v>
      </c>
      <c r="BO59" s="305">
        <f>'Level Calculation Drone Survey'!$Z422</f>
        <v>263.54975238095216</v>
      </c>
      <c r="BP59" s="305">
        <f>'Level Calculation Drone Survey'!$Z422</f>
        <v>263.54975238095216</v>
      </c>
      <c r="BQ59" s="305">
        <f>'Level Calculation Drone Survey'!$Z422</f>
        <v>263.54975238095216</v>
      </c>
      <c r="BR59" s="305">
        <f>'Level Calculation Drone Survey'!$Z422</f>
        <v>263.54975238095216</v>
      </c>
      <c r="BS59" s="313">
        <f>'Level Calculation Drone Survey'!$Z471</f>
        <v>263.5499681818182</v>
      </c>
      <c r="BT59" s="305">
        <f>'Level Calculation Drone Survey'!$Z471</f>
        <v>263.5499681818182</v>
      </c>
      <c r="BU59" s="305">
        <f>'Level Calculation Drone Survey'!$Z471</f>
        <v>263.5499681818182</v>
      </c>
      <c r="BV59" s="305">
        <f>'Level Calculation Drone Survey'!$Z471</f>
        <v>263.5499681818182</v>
      </c>
      <c r="BW59" s="305">
        <f>'Level Calculation Drone Survey'!$Z471</f>
        <v>263.5499681818182</v>
      </c>
      <c r="BX59" s="305">
        <f>'Level Calculation Drone Survey'!$Z471</f>
        <v>263.5499681818182</v>
      </c>
      <c r="BY59" s="305">
        <f>'Level Calculation Drone Survey'!$Z471</f>
        <v>263.5499681818182</v>
      </c>
      <c r="BZ59" s="305">
        <f>'Level Calculation Drone Survey'!$Z471</f>
        <v>263.5499681818182</v>
      </c>
      <c r="CA59" s="305">
        <f>'Level Calculation Drone Survey'!$Z471</f>
        <v>263.5499681818182</v>
      </c>
      <c r="CB59" s="324">
        <f>'Level Calculation Drone Survey'!$Z471</f>
        <v>263.5499681818182</v>
      </c>
      <c r="CC59" s="279">
        <f>'Level Calculation Drone Survey'!$Z152</f>
        <v>263.58540476190473</v>
      </c>
      <c r="CD59" s="279">
        <f>'Level Calculation Drone Survey'!$Z152</f>
        <v>263.58540476190473</v>
      </c>
      <c r="CE59" s="279">
        <f>'Level Calculation Drone Survey'!$Z152</f>
        <v>263.58540476190473</v>
      </c>
      <c r="CF59" s="279">
        <f>'Level Calculation Drone Survey'!$Z152</f>
        <v>263.58540476190473</v>
      </c>
      <c r="CG59" s="279">
        <f>'Level Calculation Drone Survey'!$Z152</f>
        <v>263.58540476190473</v>
      </c>
      <c r="CH59" s="279">
        <f>'Level Calculation Drone Survey'!$Z152</f>
        <v>263.58540476190473</v>
      </c>
      <c r="CI59" s="279">
        <f>'Level Calculation Drone Survey'!$Z152</f>
        <v>263.58540476190473</v>
      </c>
      <c r="CJ59" s="279">
        <f>'Level Calculation Drone Survey'!$Z152</f>
        <v>263.58540476190473</v>
      </c>
      <c r="CK59" s="279">
        <f>'Level Calculation Drone Survey'!$Z152</f>
        <v>263.58540476190473</v>
      </c>
      <c r="CL59" s="279">
        <f>'Level Calculation Drone Survey'!$Z152</f>
        <v>263.58540476190473</v>
      </c>
      <c r="CM59" s="279">
        <f>'Level Calculation Drone Survey'!$Z152</f>
        <v>263.58540476190473</v>
      </c>
      <c r="CN59" s="279">
        <f>'Level Calculation Drone Survey'!$Z152</f>
        <v>263.58540476190473</v>
      </c>
      <c r="CO59" s="279">
        <f>'Level Calculation Drone Survey'!$Z152</f>
        <v>263.58540476190473</v>
      </c>
      <c r="CP59" s="279">
        <f>'Level Calculation Drone Survey'!$Z152</f>
        <v>263.58540476190473</v>
      </c>
      <c r="CQ59" s="279">
        <f>'Level Calculation Drone Survey'!$Z152</f>
        <v>263.58540476190473</v>
      </c>
      <c r="CR59" s="279">
        <f>'Level Calculation Drone Survey'!$Z152</f>
        <v>263.58540476190473</v>
      </c>
      <c r="CS59" s="279">
        <f>'Level Calculation Drone Survey'!$Z152</f>
        <v>263.58540476190473</v>
      </c>
      <c r="CT59" s="279">
        <f>'Level Calculation Drone Survey'!$Z152</f>
        <v>263.58540476190473</v>
      </c>
      <c r="CU59" s="279">
        <f>'Level Calculation Drone Survey'!$Z152</f>
        <v>263.58540476190473</v>
      </c>
      <c r="CV59" s="279">
        <f>'Level Calculation Drone Survey'!$Z152</f>
        <v>263.58540476190473</v>
      </c>
      <c r="CW59" s="279">
        <f>'Level Calculation Drone Survey'!$Z152</f>
        <v>263.58540476190473</v>
      </c>
      <c r="CX59" s="316">
        <f>'Level Calculation Drone Survey'!$Z536</f>
        <v>263.34016666666656</v>
      </c>
      <c r="CY59" s="279">
        <f>'Level Calculation Drone Survey'!$Z131</f>
        <v>263.39016666666657</v>
      </c>
      <c r="CZ59" s="279">
        <f>'Level Calculation Drone Survey'!$Z131</f>
        <v>263.39016666666657</v>
      </c>
      <c r="DA59" s="279">
        <f>'Level Calculation Drone Survey'!$Z131</f>
        <v>263.39016666666657</v>
      </c>
      <c r="DB59" s="279">
        <f>'Level Calculation Drone Survey'!$Z131</f>
        <v>263.39016666666657</v>
      </c>
      <c r="DC59" s="279">
        <f>'Level Calculation Drone Survey'!$Z131</f>
        <v>263.39016666666657</v>
      </c>
      <c r="DD59" s="279">
        <f>'Level Calculation Drone Survey'!$Z131</f>
        <v>263.39016666666657</v>
      </c>
      <c r="DE59" s="279">
        <f>'Level Calculation Drone Survey'!$Z131</f>
        <v>263.39016666666657</v>
      </c>
      <c r="DF59" s="279">
        <f>'Level Calculation Drone Survey'!$Z131</f>
        <v>263.39016666666657</v>
      </c>
      <c r="DG59" s="279">
        <f>'Level Calculation Drone Survey'!$Z131</f>
        <v>263.39016666666657</v>
      </c>
      <c r="DH59" s="279">
        <f>'Level Calculation Drone Survey'!$Z131</f>
        <v>263.39016666666657</v>
      </c>
      <c r="DI59" s="279">
        <f>'Level Calculation Drone Survey'!$Z131</f>
        <v>263.39016666666657</v>
      </c>
      <c r="DJ59" s="279">
        <f>'Level Calculation Drone Survey'!$Z131</f>
        <v>263.39016666666657</v>
      </c>
      <c r="DK59" s="279">
        <f>'Level Calculation Drone Survey'!$Z131</f>
        <v>263.39016666666657</v>
      </c>
      <c r="DL59" s="279">
        <f>'Level Calculation Drone Survey'!$Z131</f>
        <v>263.39016666666657</v>
      </c>
      <c r="DM59" s="279">
        <f>'Level Calculation Drone Survey'!$Z131</f>
        <v>263.39016666666657</v>
      </c>
      <c r="DN59" s="279">
        <f>'Level Calculation Drone Survey'!$Z131</f>
        <v>263.39016666666657</v>
      </c>
      <c r="DO59" s="279">
        <f>'Level Calculation Drone Survey'!$Z131</f>
        <v>263.39016666666657</v>
      </c>
      <c r="DP59" s="279">
        <f>'Level Calculation Drone Survey'!$Z131</f>
        <v>263.39016666666657</v>
      </c>
      <c r="DQ59" s="279">
        <f>'Level Calculation Drone Survey'!$Z131</f>
        <v>263.39016666666657</v>
      </c>
      <c r="DR59" s="279">
        <f>'Level Calculation Drone Survey'!$Z131</f>
        <v>263.39016666666657</v>
      </c>
      <c r="DS59" s="279">
        <f>'Level Calculation Drone Survey'!$Z131</f>
        <v>263.39016666666657</v>
      </c>
      <c r="DT59" s="305">
        <f>'Level Calculation Drone Survey'!$Z549</f>
        <v>263.34016666666656</v>
      </c>
      <c r="DU59" s="305">
        <f>'Level Calculation Drone Survey'!$Z549</f>
        <v>263.34016666666656</v>
      </c>
      <c r="DV59" s="305">
        <f>'Level Calculation Drone Survey'!$Z549</f>
        <v>263.34016666666656</v>
      </c>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row>
    <row r="60" spans="1:155" ht="45" customHeight="1" x14ac:dyDescent="0.45">
      <c r="A60" s="277">
        <v>295</v>
      </c>
      <c r="B60" s="305"/>
      <c r="C60" s="305"/>
      <c r="D60" s="305">
        <f>'Level Calculation Drone Survey'!$Z293</f>
        <v>263.7748049999999</v>
      </c>
      <c r="E60" s="305">
        <f>'Level Calculation Drone Survey'!$Z293</f>
        <v>263.7748049999999</v>
      </c>
      <c r="F60" s="279">
        <f>'Level Calculation Drone Survey'!$Z237</f>
        <v>263.87480499999992</v>
      </c>
      <c r="G60" s="279">
        <f>'Level Calculation Drone Survey'!$Z237</f>
        <v>263.87480499999992</v>
      </c>
      <c r="H60" s="279">
        <f>'Level Calculation Drone Survey'!$Z237</f>
        <v>263.87480499999992</v>
      </c>
      <c r="I60" s="279">
        <f>'Level Calculation Drone Survey'!$Z237</f>
        <v>263.87480499999992</v>
      </c>
      <c r="J60" s="279">
        <f>'Level Calculation Drone Survey'!$Z237</f>
        <v>263.87480499999992</v>
      </c>
      <c r="K60" s="279">
        <f>'Level Calculation Drone Survey'!$Z237</f>
        <v>263.87480499999992</v>
      </c>
      <c r="L60" s="279">
        <f>'Level Calculation Drone Survey'!$Z237</f>
        <v>263.87480499999992</v>
      </c>
      <c r="M60" s="279">
        <f>'Level Calculation Drone Survey'!$Z237</f>
        <v>263.87480499999992</v>
      </c>
      <c r="N60" s="279">
        <f>'Level Calculation Drone Survey'!$Z237</f>
        <v>263.87480499999992</v>
      </c>
      <c r="O60" s="279">
        <f>'Level Calculation Drone Survey'!$Z237</f>
        <v>263.87480499999992</v>
      </c>
      <c r="P60" s="279">
        <f>'Level Calculation Drone Survey'!$Z237</f>
        <v>263.87480499999992</v>
      </c>
      <c r="Q60" s="279">
        <f>'Level Calculation Drone Survey'!$Z237</f>
        <v>263.87480499999992</v>
      </c>
      <c r="R60" s="279">
        <f>'Level Calculation Drone Survey'!$Z237</f>
        <v>263.87480499999992</v>
      </c>
      <c r="S60" s="279">
        <f>'Level Calculation Drone Survey'!$Z237</f>
        <v>263.87480499999992</v>
      </c>
      <c r="T60" s="279">
        <f>'Level Calculation Drone Survey'!$Z237</f>
        <v>263.87480499999992</v>
      </c>
      <c r="U60" s="279">
        <f>'Level Calculation Drone Survey'!$Z237</f>
        <v>263.87480499999992</v>
      </c>
      <c r="V60" s="279">
        <f>'Level Calculation Drone Survey'!$Z237</f>
        <v>263.87480499999992</v>
      </c>
      <c r="W60" s="279">
        <f>'Level Calculation Drone Survey'!$Z237</f>
        <v>263.87480499999992</v>
      </c>
      <c r="X60" s="279">
        <f>'Level Calculation Drone Survey'!$Z237</f>
        <v>263.87480499999992</v>
      </c>
      <c r="Y60" s="279">
        <f>'Level Calculation Drone Survey'!$Z237</f>
        <v>263.87480499999992</v>
      </c>
      <c r="Z60" s="278">
        <f>'Level Calculation Drone Survey'!$Z372</f>
        <v>263.67480499999994</v>
      </c>
      <c r="AA60" s="278">
        <f>'Level Calculation Drone Survey'!$Z372</f>
        <v>263.67480499999994</v>
      </c>
      <c r="AB60" s="278">
        <f>'Level Calculation Drone Survey'!$Z372</f>
        <v>263.67480499999994</v>
      </c>
      <c r="AC60" s="321">
        <f>'Level Calculation Drone Survey'!$Z896</f>
        <v>263.6348428571427</v>
      </c>
      <c r="AD60" s="321">
        <f>'Level Calculation Drone Survey'!$Z896</f>
        <v>263.6348428571427</v>
      </c>
      <c r="AE60" s="321">
        <f>'Level Calculation Drone Survey'!$Z896</f>
        <v>263.6348428571427</v>
      </c>
      <c r="AF60" s="321">
        <f>'Level Calculation Drone Survey'!$Z896</f>
        <v>263.6348428571427</v>
      </c>
      <c r="AG60" s="321">
        <f>'Level Calculation Drone Survey'!$Z896</f>
        <v>263.6348428571427</v>
      </c>
      <c r="AH60" s="321">
        <f>'Level Calculation Drone Survey'!$Z896</f>
        <v>263.6348428571427</v>
      </c>
      <c r="AI60" s="321">
        <f>'Level Calculation Drone Survey'!$Z896</f>
        <v>263.6348428571427</v>
      </c>
      <c r="AJ60" s="321">
        <f>'Level Calculation Drone Survey'!$Z896</f>
        <v>263.6348428571427</v>
      </c>
      <c r="AK60" s="321">
        <f>'Level Calculation Drone Survey'!$Z896</f>
        <v>263.6348428571427</v>
      </c>
      <c r="AL60" s="321">
        <f>'Level Calculation Drone Survey'!$Z896</f>
        <v>263.6348428571427</v>
      </c>
      <c r="AM60" s="321">
        <f>'Level Calculation Drone Survey'!$Z896</f>
        <v>263.6348428571427</v>
      </c>
      <c r="AN60" s="321">
        <f>'Level Calculation Drone Survey'!$Z896</f>
        <v>263.6348428571427</v>
      </c>
      <c r="AO60" s="321">
        <f>'Level Calculation Drone Survey'!$Z896</f>
        <v>263.6348428571427</v>
      </c>
      <c r="AP60" s="321">
        <f>'Level Calculation Drone Survey'!$Z896</f>
        <v>263.6348428571427</v>
      </c>
      <c r="AQ60" s="321">
        <f>'Level Calculation Drone Survey'!$Z896</f>
        <v>263.6348428571427</v>
      </c>
      <c r="AR60" s="321">
        <f>'Level Calculation Drone Survey'!$Z896</f>
        <v>263.6348428571427</v>
      </c>
      <c r="AS60" s="321">
        <f>'Level Calculation Drone Survey'!$Z896</f>
        <v>263.6348428571427</v>
      </c>
      <c r="AT60" s="321">
        <f>'Level Calculation Drone Survey'!$Z896</f>
        <v>263.6348428571427</v>
      </c>
      <c r="AU60" s="313">
        <f>'Level Calculation Drone Survey'!$Z896</f>
        <v>263.6348428571427</v>
      </c>
      <c r="AV60" s="312">
        <f>'Level Calculation Drone Survey'!$Z430</f>
        <v>263.59475238095217</v>
      </c>
      <c r="AW60" s="312">
        <f>'Level Calculation Drone Survey'!$Z430</f>
        <v>263.59475238095217</v>
      </c>
      <c r="AX60" s="322">
        <f>'Level Calculation Drone Survey'!$Z423</f>
        <v>263.61475238095215</v>
      </c>
      <c r="AY60" s="322">
        <f>'Level Calculation Drone Survey'!$Z423</f>
        <v>263.61475238095215</v>
      </c>
      <c r="AZ60" s="322">
        <f>'Level Calculation Drone Survey'!$Z423</f>
        <v>263.61475238095215</v>
      </c>
      <c r="BA60" s="322">
        <f>'Level Calculation Drone Survey'!$Z423</f>
        <v>263.61475238095215</v>
      </c>
      <c r="BB60" s="322">
        <f>'Level Calculation Drone Survey'!$Z423</f>
        <v>263.61475238095215</v>
      </c>
      <c r="BC60" s="322">
        <f>'Level Calculation Drone Survey'!$Z423</f>
        <v>263.61475238095215</v>
      </c>
      <c r="BD60" s="322">
        <f>'Level Calculation Drone Survey'!$Z423</f>
        <v>263.61475238095215</v>
      </c>
      <c r="BE60" s="322">
        <f>'Level Calculation Drone Survey'!$Z423</f>
        <v>263.61475238095215</v>
      </c>
      <c r="BF60" s="322">
        <f>'Level Calculation Drone Survey'!$Z423</f>
        <v>263.61475238095215</v>
      </c>
      <c r="BG60" s="322">
        <f>'Level Calculation Drone Survey'!$Z423</f>
        <v>263.61475238095215</v>
      </c>
      <c r="BH60" s="322">
        <f>'Level Calculation Drone Survey'!$Z423</f>
        <v>263.61475238095215</v>
      </c>
      <c r="BI60" s="322">
        <f>'Level Calculation Drone Survey'!$Z423</f>
        <v>263.61475238095215</v>
      </c>
      <c r="BJ60" s="322">
        <f>'Level Calculation Drone Survey'!$Z423</f>
        <v>263.61475238095215</v>
      </c>
      <c r="BK60" s="322">
        <f>'Level Calculation Drone Survey'!$Z423</f>
        <v>263.61475238095215</v>
      </c>
      <c r="BL60" s="322">
        <f>'Level Calculation Drone Survey'!$Z423</f>
        <v>263.61475238095215</v>
      </c>
      <c r="BM60" s="322">
        <f>'Level Calculation Drone Survey'!$Z423</f>
        <v>263.61475238095215</v>
      </c>
      <c r="BN60" s="322">
        <f>'Level Calculation Drone Survey'!$Z423</f>
        <v>263.61475238095215</v>
      </c>
      <c r="BO60" s="322">
        <f>'Level Calculation Drone Survey'!$Z423</f>
        <v>263.61475238095215</v>
      </c>
      <c r="BP60" s="322">
        <f>'Level Calculation Drone Survey'!$Z423</f>
        <v>263.61475238095215</v>
      </c>
      <c r="BQ60" s="322">
        <f>'Level Calculation Drone Survey'!$Z423</f>
        <v>263.61475238095215</v>
      </c>
      <c r="BR60" s="322">
        <f>'Level Calculation Drone Survey'!$Z423</f>
        <v>263.61475238095215</v>
      </c>
      <c r="BS60" s="313">
        <f>'Level Calculation Drone Survey'!$Z472</f>
        <v>263.44996818181818</v>
      </c>
      <c r="BT60" s="322">
        <f>'Level Calculation Drone Survey'!$Z472</f>
        <v>263.44996818181818</v>
      </c>
      <c r="BU60" s="322">
        <f>'Level Calculation Drone Survey'!$Z472</f>
        <v>263.44996818181818</v>
      </c>
      <c r="BV60" s="322">
        <f>'Level Calculation Drone Survey'!$Z472</f>
        <v>263.44996818181818</v>
      </c>
      <c r="BW60" s="322">
        <f>'Level Calculation Drone Survey'!$Z472</f>
        <v>263.44996818181818</v>
      </c>
      <c r="BX60" s="322">
        <f>'Level Calculation Drone Survey'!$Z472</f>
        <v>263.44996818181818</v>
      </c>
      <c r="BY60" s="322">
        <f>'Level Calculation Drone Survey'!$Z472</f>
        <v>263.44996818181818</v>
      </c>
      <c r="BZ60" s="322">
        <f>'Level Calculation Drone Survey'!$Z472</f>
        <v>263.44996818181818</v>
      </c>
      <c r="CA60" s="322">
        <f>'Level Calculation Drone Survey'!$Z472</f>
        <v>263.44996818181818</v>
      </c>
      <c r="CB60" s="324">
        <f>'Level Calculation Drone Survey'!$Z472</f>
        <v>263.44996818181818</v>
      </c>
      <c r="CC60" s="279">
        <f>'Level Calculation Drone Survey'!$Z153</f>
        <v>263.53540476190472</v>
      </c>
      <c r="CD60" s="279">
        <f>'Level Calculation Drone Survey'!$Z153</f>
        <v>263.53540476190472</v>
      </c>
      <c r="CE60" s="279">
        <f>'Level Calculation Drone Survey'!$Z153</f>
        <v>263.53540476190472</v>
      </c>
      <c r="CF60" s="279">
        <f>'Level Calculation Drone Survey'!$Z153</f>
        <v>263.53540476190472</v>
      </c>
      <c r="CG60" s="279">
        <f>'Level Calculation Drone Survey'!$Z153</f>
        <v>263.53540476190472</v>
      </c>
      <c r="CH60" s="279">
        <f>'Level Calculation Drone Survey'!$Z153</f>
        <v>263.53540476190472</v>
      </c>
      <c r="CI60" s="279">
        <f>'Level Calculation Drone Survey'!$Z153</f>
        <v>263.53540476190472</v>
      </c>
      <c r="CJ60" s="279">
        <f>'Level Calculation Drone Survey'!$Z153</f>
        <v>263.53540476190472</v>
      </c>
      <c r="CK60" s="279">
        <f>'Level Calculation Drone Survey'!$Z153</f>
        <v>263.53540476190472</v>
      </c>
      <c r="CL60" s="279">
        <f>'Level Calculation Drone Survey'!$Z153</f>
        <v>263.53540476190472</v>
      </c>
      <c r="CM60" s="279">
        <f>'Level Calculation Drone Survey'!$Z153</f>
        <v>263.53540476190472</v>
      </c>
      <c r="CN60" s="279">
        <f>'Level Calculation Drone Survey'!$Z153</f>
        <v>263.53540476190472</v>
      </c>
      <c r="CO60" s="279">
        <f>'Level Calculation Drone Survey'!$Z153</f>
        <v>263.53540476190472</v>
      </c>
      <c r="CP60" s="279">
        <f>'Level Calculation Drone Survey'!$Z153</f>
        <v>263.53540476190472</v>
      </c>
      <c r="CQ60" s="279">
        <f>'Level Calculation Drone Survey'!$Z153</f>
        <v>263.53540476190472</v>
      </c>
      <c r="CR60" s="279">
        <f>'Level Calculation Drone Survey'!$Z153</f>
        <v>263.53540476190472</v>
      </c>
      <c r="CS60" s="279">
        <f>'Level Calculation Drone Survey'!$Z153</f>
        <v>263.53540476190472</v>
      </c>
      <c r="CT60" s="279">
        <f>'Level Calculation Drone Survey'!$Z153</f>
        <v>263.53540476190472</v>
      </c>
      <c r="CU60" s="279">
        <f>'Level Calculation Drone Survey'!$Z153</f>
        <v>263.53540476190472</v>
      </c>
      <c r="CV60" s="279">
        <f>'Level Calculation Drone Survey'!$Z153</f>
        <v>263.53540476190472</v>
      </c>
      <c r="CW60" s="279">
        <f>'Level Calculation Drone Survey'!$Z153</f>
        <v>263.53540476190472</v>
      </c>
      <c r="CX60" s="316">
        <f>'Level Calculation Drone Survey'!$Z537</f>
        <v>263.29016666666655</v>
      </c>
      <c r="CY60" s="279">
        <f>'Level Calculation Drone Survey'!$Z132</f>
        <v>263.34016666666656</v>
      </c>
      <c r="CZ60" s="279">
        <f>'Level Calculation Drone Survey'!$Z132</f>
        <v>263.34016666666656</v>
      </c>
      <c r="DA60" s="279">
        <f>'Level Calculation Drone Survey'!$Z132</f>
        <v>263.34016666666656</v>
      </c>
      <c r="DB60" s="279">
        <f>'Level Calculation Drone Survey'!$Z132</f>
        <v>263.34016666666656</v>
      </c>
      <c r="DC60" s="279">
        <f>'Level Calculation Drone Survey'!$Z132</f>
        <v>263.34016666666656</v>
      </c>
      <c r="DD60" s="279">
        <f>'Level Calculation Drone Survey'!$Z132</f>
        <v>263.34016666666656</v>
      </c>
      <c r="DE60" s="279">
        <f>'Level Calculation Drone Survey'!$Z132</f>
        <v>263.34016666666656</v>
      </c>
      <c r="DF60" s="279">
        <f>'Level Calculation Drone Survey'!$Z132</f>
        <v>263.34016666666656</v>
      </c>
      <c r="DG60" s="279">
        <f>'Level Calculation Drone Survey'!$Z132</f>
        <v>263.34016666666656</v>
      </c>
      <c r="DH60" s="279">
        <f>'Level Calculation Drone Survey'!$Z132</f>
        <v>263.34016666666656</v>
      </c>
      <c r="DI60" s="279">
        <f>'Level Calculation Drone Survey'!$Z132</f>
        <v>263.34016666666656</v>
      </c>
      <c r="DJ60" s="279">
        <f>'Level Calculation Drone Survey'!$Z132</f>
        <v>263.34016666666656</v>
      </c>
      <c r="DK60" s="279">
        <f>'Level Calculation Drone Survey'!$Z132</f>
        <v>263.34016666666656</v>
      </c>
      <c r="DL60" s="279">
        <f>'Level Calculation Drone Survey'!$Z132</f>
        <v>263.34016666666656</v>
      </c>
      <c r="DM60" s="279">
        <f>'Level Calculation Drone Survey'!$Z132</f>
        <v>263.34016666666656</v>
      </c>
      <c r="DN60" s="279">
        <f>'Level Calculation Drone Survey'!$Z132</f>
        <v>263.34016666666656</v>
      </c>
      <c r="DO60" s="279">
        <f>'Level Calculation Drone Survey'!$Z132</f>
        <v>263.34016666666656</v>
      </c>
      <c r="DP60" s="279">
        <f>'Level Calculation Drone Survey'!$Z132</f>
        <v>263.34016666666656</v>
      </c>
      <c r="DQ60" s="279">
        <f>'Level Calculation Drone Survey'!$Z132</f>
        <v>263.34016666666656</v>
      </c>
      <c r="DR60" s="279">
        <f>'Level Calculation Drone Survey'!$Z132</f>
        <v>263.34016666666656</v>
      </c>
      <c r="DS60" s="279">
        <f>'Level Calculation Drone Survey'!$Z132</f>
        <v>263.34016666666656</v>
      </c>
      <c r="DT60" s="305">
        <f>'Level Calculation Drone Survey'!$Z550</f>
        <v>263.29016666666655</v>
      </c>
      <c r="DU60" s="305">
        <f>'Level Calculation Drone Survey'!$Z550</f>
        <v>263.29016666666655</v>
      </c>
      <c r="DV60" s="305">
        <f>'Level Calculation Drone Survey'!$Z550</f>
        <v>263.29016666666655</v>
      </c>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row>
    <row r="61" spans="1:155" ht="45" customHeight="1" x14ac:dyDescent="0.45">
      <c r="A61" s="277">
        <v>300</v>
      </c>
      <c r="B61" s="305"/>
      <c r="C61" s="305"/>
      <c r="D61" s="305"/>
      <c r="E61" s="305">
        <f>'Level Calculation Drone Survey'!$Z294</f>
        <v>263.72480499999989</v>
      </c>
      <c r="F61" s="279">
        <f>'Level Calculation Drone Survey'!$Z238</f>
        <v>263.82480499999991</v>
      </c>
      <c r="G61" s="279">
        <f>'Level Calculation Drone Survey'!$Z238</f>
        <v>263.82480499999991</v>
      </c>
      <c r="H61" s="279">
        <f>'Level Calculation Drone Survey'!$Z238</f>
        <v>263.82480499999991</v>
      </c>
      <c r="I61" s="279">
        <f>'Level Calculation Drone Survey'!$Z238</f>
        <v>263.82480499999991</v>
      </c>
      <c r="J61" s="279">
        <f>'Level Calculation Drone Survey'!$Z238</f>
        <v>263.82480499999991</v>
      </c>
      <c r="K61" s="279">
        <f>'Level Calculation Drone Survey'!$Z238</f>
        <v>263.82480499999991</v>
      </c>
      <c r="L61" s="279">
        <f>'Level Calculation Drone Survey'!$Z238</f>
        <v>263.82480499999991</v>
      </c>
      <c r="M61" s="279">
        <f>'Level Calculation Drone Survey'!$Z238</f>
        <v>263.82480499999991</v>
      </c>
      <c r="N61" s="279">
        <f>'Level Calculation Drone Survey'!$Z238</f>
        <v>263.82480499999991</v>
      </c>
      <c r="O61" s="279">
        <f>'Level Calculation Drone Survey'!$Z238</f>
        <v>263.82480499999991</v>
      </c>
      <c r="P61" s="279">
        <f>'Level Calculation Drone Survey'!$Z238</f>
        <v>263.82480499999991</v>
      </c>
      <c r="Q61" s="279">
        <f>'Level Calculation Drone Survey'!$Z238</f>
        <v>263.82480499999991</v>
      </c>
      <c r="R61" s="279">
        <f>'Level Calculation Drone Survey'!$Z238</f>
        <v>263.82480499999991</v>
      </c>
      <c r="S61" s="279">
        <f>'Level Calculation Drone Survey'!$Z238</f>
        <v>263.82480499999991</v>
      </c>
      <c r="T61" s="279">
        <f>'Level Calculation Drone Survey'!$Z238</f>
        <v>263.82480499999991</v>
      </c>
      <c r="U61" s="279">
        <f>'Level Calculation Drone Survey'!$Z238</f>
        <v>263.82480499999991</v>
      </c>
      <c r="V61" s="279">
        <f>'Level Calculation Drone Survey'!$Z238</f>
        <v>263.82480499999991</v>
      </c>
      <c r="W61" s="279">
        <f>'Level Calculation Drone Survey'!$Z238</f>
        <v>263.82480499999991</v>
      </c>
      <c r="X61" s="279">
        <f>'Level Calculation Drone Survey'!$Z238</f>
        <v>263.82480499999991</v>
      </c>
      <c r="Y61" s="279">
        <f>'Level Calculation Drone Survey'!$Z238</f>
        <v>263.82480499999991</v>
      </c>
      <c r="Z61" s="278">
        <f>'Level Calculation Drone Survey'!$Z373</f>
        <v>263.62480499999992</v>
      </c>
      <c r="AA61" s="305">
        <f>'Level Calculation Drone Survey'!$Z373</f>
        <v>263.62480499999992</v>
      </c>
      <c r="AB61" s="305">
        <f>'Level Calculation Drone Survey'!$Z373</f>
        <v>263.62480499999992</v>
      </c>
      <c r="AC61" s="313">
        <f>'Level Calculation Drone Survey'!$Z897</f>
        <v>263.62484285714271</v>
      </c>
      <c r="AD61" s="313">
        <f>'Level Calculation Drone Survey'!$Z897</f>
        <v>263.62484285714271</v>
      </c>
      <c r="AE61" s="313">
        <f>'Level Calculation Drone Survey'!$Z897</f>
        <v>263.62484285714271</v>
      </c>
      <c r="AF61" s="313">
        <f>'Level Calculation Drone Survey'!$Z897</f>
        <v>263.62484285714271</v>
      </c>
      <c r="AG61" s="313">
        <f>'Level Calculation Drone Survey'!$Z897</f>
        <v>263.62484285714271</v>
      </c>
      <c r="AH61" s="313">
        <f>'Level Calculation Drone Survey'!$Z897</f>
        <v>263.62484285714271</v>
      </c>
      <c r="AI61" s="313">
        <f>'Level Calculation Drone Survey'!$Z897</f>
        <v>263.62484285714271</v>
      </c>
      <c r="AJ61" s="313">
        <f>'Level Calculation Drone Survey'!$Z897</f>
        <v>263.62484285714271</v>
      </c>
      <c r="AK61" s="313">
        <f>'Level Calculation Drone Survey'!$Z897</f>
        <v>263.62484285714271</v>
      </c>
      <c r="AL61" s="313">
        <f>'Level Calculation Drone Survey'!$Z897</f>
        <v>263.62484285714271</v>
      </c>
      <c r="AM61" s="313">
        <f>'Level Calculation Drone Survey'!$Z897</f>
        <v>263.62484285714271</v>
      </c>
      <c r="AN61" s="313">
        <f>'Level Calculation Drone Survey'!$Z897</f>
        <v>263.62484285714271</v>
      </c>
      <c r="AO61" s="313">
        <f>'Level Calculation Drone Survey'!$Z897</f>
        <v>263.62484285714271</v>
      </c>
      <c r="AP61" s="313">
        <f>'Level Calculation Drone Survey'!$Z897</f>
        <v>263.62484285714271</v>
      </c>
      <c r="AQ61" s="313">
        <f>'Level Calculation Drone Survey'!$Z897</f>
        <v>263.62484285714271</v>
      </c>
      <c r="AR61" s="313">
        <f>'Level Calculation Drone Survey'!$Z897</f>
        <v>263.62484285714271</v>
      </c>
      <c r="AS61" s="313">
        <f>'Level Calculation Drone Survey'!$Z897</f>
        <v>263.62484285714271</v>
      </c>
      <c r="AT61" s="313">
        <f>'Level Calculation Drone Survey'!$Z897</f>
        <v>263.62484285714271</v>
      </c>
      <c r="AU61" s="313">
        <f>'Level Calculation Drone Survey'!$Z897</f>
        <v>263.62484285714271</v>
      </c>
      <c r="AV61" s="312">
        <f>'Level Calculation Drone Survey'!$Z431</f>
        <v>263.62475238095215</v>
      </c>
      <c r="AW61" s="312">
        <f>'Level Calculation Drone Survey'!$Z431</f>
        <v>263.62475238095215</v>
      </c>
      <c r="AX61" s="322">
        <f>'Level Calculation Drone Survey'!$Z424</f>
        <v>263.66475238095217</v>
      </c>
      <c r="AY61" s="322">
        <f>'Level Calculation Drone Survey'!$Z424</f>
        <v>263.66475238095217</v>
      </c>
      <c r="AZ61" s="322">
        <f>'Level Calculation Drone Survey'!$Z424</f>
        <v>263.66475238095217</v>
      </c>
      <c r="BA61" s="322">
        <f>'Level Calculation Drone Survey'!$Z424</f>
        <v>263.66475238095217</v>
      </c>
      <c r="BB61" s="322">
        <f>'Level Calculation Drone Survey'!$Z424</f>
        <v>263.66475238095217</v>
      </c>
      <c r="BC61" s="322">
        <f>'Level Calculation Drone Survey'!$Z424</f>
        <v>263.66475238095217</v>
      </c>
      <c r="BD61" s="322">
        <f>'Level Calculation Drone Survey'!$Z424</f>
        <v>263.66475238095217</v>
      </c>
      <c r="BE61" s="322">
        <f>'Level Calculation Drone Survey'!$Z424</f>
        <v>263.66475238095217</v>
      </c>
      <c r="BF61" s="322">
        <f>'Level Calculation Drone Survey'!$Z424</f>
        <v>263.66475238095217</v>
      </c>
      <c r="BG61" s="322">
        <f>'Level Calculation Drone Survey'!$Z424</f>
        <v>263.66475238095217</v>
      </c>
      <c r="BH61" s="322">
        <f>'Level Calculation Drone Survey'!$Z424</f>
        <v>263.66475238095217</v>
      </c>
      <c r="BI61" s="322">
        <f>'Level Calculation Drone Survey'!$Z424</f>
        <v>263.66475238095217</v>
      </c>
      <c r="BJ61" s="322">
        <f>'Level Calculation Drone Survey'!$Z424</f>
        <v>263.66475238095217</v>
      </c>
      <c r="BK61" s="322">
        <f>'Level Calculation Drone Survey'!$Z424</f>
        <v>263.66475238095217</v>
      </c>
      <c r="BL61" s="322">
        <f>'Level Calculation Drone Survey'!$Z424</f>
        <v>263.66475238095217</v>
      </c>
      <c r="BM61" s="322">
        <f>'Level Calculation Drone Survey'!$Z424</f>
        <v>263.66475238095217</v>
      </c>
      <c r="BN61" s="322">
        <f>'Level Calculation Drone Survey'!$Z424</f>
        <v>263.66475238095217</v>
      </c>
      <c r="BO61" s="322">
        <f>'Level Calculation Drone Survey'!$Z424</f>
        <v>263.66475238095217</v>
      </c>
      <c r="BP61" s="322">
        <f>'Level Calculation Drone Survey'!$Z424</f>
        <v>263.66475238095217</v>
      </c>
      <c r="BQ61" s="322">
        <f>'Level Calculation Drone Survey'!$Z424</f>
        <v>263.66475238095217</v>
      </c>
      <c r="BR61" s="322">
        <f>'Level Calculation Drone Survey'!$Z424</f>
        <v>263.66475238095217</v>
      </c>
      <c r="BS61" s="313">
        <f>'Level Calculation Drone Survey'!$Z473</f>
        <v>263.44996818181818</v>
      </c>
      <c r="BT61" s="322">
        <f>'Level Calculation Drone Survey'!$Z473</f>
        <v>263.44996818181818</v>
      </c>
      <c r="BU61" s="322">
        <f>'Level Calculation Drone Survey'!$Z473</f>
        <v>263.44996818181818</v>
      </c>
      <c r="BV61" s="322">
        <f>'Level Calculation Drone Survey'!$Z473</f>
        <v>263.44996818181818</v>
      </c>
      <c r="BW61" s="322">
        <f>'Level Calculation Drone Survey'!$Z473</f>
        <v>263.44996818181818</v>
      </c>
      <c r="BX61" s="322">
        <f>'Level Calculation Drone Survey'!$Z473</f>
        <v>263.44996818181818</v>
      </c>
      <c r="BY61" s="322">
        <f>'Level Calculation Drone Survey'!$Z473</f>
        <v>263.44996818181818</v>
      </c>
      <c r="BZ61" s="322">
        <f>'Level Calculation Drone Survey'!$Z473</f>
        <v>263.44996818181818</v>
      </c>
      <c r="CA61" s="322">
        <f>'Level Calculation Drone Survey'!$Z473</f>
        <v>263.44996818181818</v>
      </c>
      <c r="CB61" s="324">
        <f>'Level Calculation Drone Survey'!$Z473</f>
        <v>263.44996818181818</v>
      </c>
      <c r="CC61" s="279">
        <f>'Level Calculation Drone Survey'!$Z154</f>
        <v>263.4854047619047</v>
      </c>
      <c r="CD61" s="279">
        <f>'Level Calculation Drone Survey'!$Z154</f>
        <v>263.4854047619047</v>
      </c>
      <c r="CE61" s="279">
        <f>'Level Calculation Drone Survey'!$Z154</f>
        <v>263.4854047619047</v>
      </c>
      <c r="CF61" s="279">
        <f>'Level Calculation Drone Survey'!$Z154</f>
        <v>263.4854047619047</v>
      </c>
      <c r="CG61" s="279">
        <f>'Level Calculation Drone Survey'!$Z154</f>
        <v>263.4854047619047</v>
      </c>
      <c r="CH61" s="279">
        <f>'Level Calculation Drone Survey'!$Z154</f>
        <v>263.4854047619047</v>
      </c>
      <c r="CI61" s="279">
        <f>'Level Calculation Drone Survey'!$Z154</f>
        <v>263.4854047619047</v>
      </c>
      <c r="CJ61" s="279">
        <f>'Level Calculation Drone Survey'!$Z154</f>
        <v>263.4854047619047</v>
      </c>
      <c r="CK61" s="279">
        <f>'Level Calculation Drone Survey'!$Z154</f>
        <v>263.4854047619047</v>
      </c>
      <c r="CL61" s="279">
        <f>'Level Calculation Drone Survey'!$Z154</f>
        <v>263.4854047619047</v>
      </c>
      <c r="CM61" s="279">
        <f>'Level Calculation Drone Survey'!$Z154</f>
        <v>263.4854047619047</v>
      </c>
      <c r="CN61" s="279">
        <f>'Level Calculation Drone Survey'!$Z154</f>
        <v>263.4854047619047</v>
      </c>
      <c r="CO61" s="279">
        <f>'Level Calculation Drone Survey'!$Z154</f>
        <v>263.4854047619047</v>
      </c>
      <c r="CP61" s="279">
        <f>'Level Calculation Drone Survey'!$Z154</f>
        <v>263.4854047619047</v>
      </c>
      <c r="CQ61" s="279">
        <f>'Level Calculation Drone Survey'!$Z154</f>
        <v>263.4854047619047</v>
      </c>
      <c r="CR61" s="279">
        <f>'Level Calculation Drone Survey'!$Z154</f>
        <v>263.4854047619047</v>
      </c>
      <c r="CS61" s="279">
        <f>'Level Calculation Drone Survey'!$Z154</f>
        <v>263.4854047619047</v>
      </c>
      <c r="CT61" s="279">
        <f>'Level Calculation Drone Survey'!$Z154</f>
        <v>263.4854047619047</v>
      </c>
      <c r="CU61" s="279">
        <f>'Level Calculation Drone Survey'!$Z154</f>
        <v>263.4854047619047</v>
      </c>
      <c r="CV61" s="279">
        <f>'Level Calculation Drone Survey'!$Z154</f>
        <v>263.4854047619047</v>
      </c>
      <c r="CW61" s="279">
        <f>'Level Calculation Drone Survey'!$Z154</f>
        <v>263.4854047619047</v>
      </c>
      <c r="CX61" s="316">
        <f>'Level Calculation Drone Survey'!$Z538</f>
        <v>263.24016666666654</v>
      </c>
      <c r="CY61" s="279">
        <f>'Level Calculation Drone Survey'!$Z133</f>
        <v>263.29016666666655</v>
      </c>
      <c r="CZ61" s="279">
        <f>'Level Calculation Drone Survey'!$Z133</f>
        <v>263.29016666666655</v>
      </c>
      <c r="DA61" s="279">
        <f>'Level Calculation Drone Survey'!$Z133</f>
        <v>263.29016666666655</v>
      </c>
      <c r="DB61" s="279">
        <f>'Level Calculation Drone Survey'!$Z133</f>
        <v>263.29016666666655</v>
      </c>
      <c r="DC61" s="279">
        <f>'Level Calculation Drone Survey'!$Z133</f>
        <v>263.29016666666655</v>
      </c>
      <c r="DD61" s="279">
        <f>'Level Calculation Drone Survey'!$Z133</f>
        <v>263.29016666666655</v>
      </c>
      <c r="DE61" s="279">
        <f>'Level Calculation Drone Survey'!$Z133</f>
        <v>263.29016666666655</v>
      </c>
      <c r="DF61" s="279">
        <f>'Level Calculation Drone Survey'!$Z133</f>
        <v>263.29016666666655</v>
      </c>
      <c r="DG61" s="279">
        <f>'Level Calculation Drone Survey'!$Z133</f>
        <v>263.29016666666655</v>
      </c>
      <c r="DH61" s="279">
        <f>'Level Calculation Drone Survey'!$Z133</f>
        <v>263.29016666666655</v>
      </c>
      <c r="DI61" s="279">
        <f>'Level Calculation Drone Survey'!$Z133</f>
        <v>263.29016666666655</v>
      </c>
      <c r="DJ61" s="279">
        <f>'Level Calculation Drone Survey'!$Z133</f>
        <v>263.29016666666655</v>
      </c>
      <c r="DK61" s="279">
        <f>'Level Calculation Drone Survey'!$Z133</f>
        <v>263.29016666666655</v>
      </c>
      <c r="DL61" s="279">
        <f>'Level Calculation Drone Survey'!$Z133</f>
        <v>263.29016666666655</v>
      </c>
      <c r="DM61" s="279">
        <f>'Level Calculation Drone Survey'!$Z133</f>
        <v>263.29016666666655</v>
      </c>
      <c r="DN61" s="279">
        <f>'Level Calculation Drone Survey'!$Z133</f>
        <v>263.29016666666655</v>
      </c>
      <c r="DO61" s="279">
        <f>'Level Calculation Drone Survey'!$Z133</f>
        <v>263.29016666666655</v>
      </c>
      <c r="DP61" s="279">
        <f>'Level Calculation Drone Survey'!$Z133</f>
        <v>263.29016666666655</v>
      </c>
      <c r="DQ61" s="279">
        <f>'Level Calculation Drone Survey'!$Z133</f>
        <v>263.29016666666655</v>
      </c>
      <c r="DR61" s="279">
        <f>'Level Calculation Drone Survey'!$Z133</f>
        <v>263.29016666666655</v>
      </c>
      <c r="DS61" s="279">
        <f>'Level Calculation Drone Survey'!$Z133</f>
        <v>263.29016666666655</v>
      </c>
      <c r="DT61" s="305">
        <f>'Level Calculation Drone Survey'!$Z551</f>
        <v>263.24016666666654</v>
      </c>
      <c r="DU61" s="305">
        <f>'Level Calculation Drone Survey'!$Z551</f>
        <v>263.24016666666654</v>
      </c>
      <c r="DV61" s="305">
        <f>'Level Calculation Drone Survey'!$Z551</f>
        <v>263.24016666666654</v>
      </c>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row>
    <row r="62" spans="1:155" ht="45" customHeight="1" x14ac:dyDescent="0.45">
      <c r="A62" s="277">
        <v>305</v>
      </c>
      <c r="B62" s="305"/>
      <c r="C62" s="305"/>
      <c r="D62" s="305"/>
      <c r="E62" s="305">
        <f>E61-5/100</f>
        <v>263.67480499999988</v>
      </c>
      <c r="F62" s="279">
        <f>'Level Calculation Drone Survey'!$Z239</f>
        <v>263.7748049999999</v>
      </c>
      <c r="G62" s="279">
        <f>'Level Calculation Drone Survey'!$Z239</f>
        <v>263.7748049999999</v>
      </c>
      <c r="H62" s="279">
        <f>'Level Calculation Drone Survey'!$Z239</f>
        <v>263.7748049999999</v>
      </c>
      <c r="I62" s="279">
        <f>'Level Calculation Drone Survey'!$Z239</f>
        <v>263.7748049999999</v>
      </c>
      <c r="J62" s="279">
        <f>'Level Calculation Drone Survey'!$Z239</f>
        <v>263.7748049999999</v>
      </c>
      <c r="K62" s="279">
        <f>'Level Calculation Drone Survey'!$Z239</f>
        <v>263.7748049999999</v>
      </c>
      <c r="L62" s="279">
        <f>'Level Calculation Drone Survey'!$Z239</f>
        <v>263.7748049999999</v>
      </c>
      <c r="M62" s="279">
        <f>'Level Calculation Drone Survey'!$Z239</f>
        <v>263.7748049999999</v>
      </c>
      <c r="N62" s="279">
        <f>'Level Calculation Drone Survey'!$Z239</f>
        <v>263.7748049999999</v>
      </c>
      <c r="O62" s="279">
        <f>'Level Calculation Drone Survey'!$Z239</f>
        <v>263.7748049999999</v>
      </c>
      <c r="P62" s="279">
        <f>'Level Calculation Drone Survey'!$Z239</f>
        <v>263.7748049999999</v>
      </c>
      <c r="Q62" s="279">
        <f>'Level Calculation Drone Survey'!$Z239</f>
        <v>263.7748049999999</v>
      </c>
      <c r="R62" s="279">
        <f>'Level Calculation Drone Survey'!$Z239</f>
        <v>263.7748049999999</v>
      </c>
      <c r="S62" s="279">
        <f>'Level Calculation Drone Survey'!$Z239</f>
        <v>263.7748049999999</v>
      </c>
      <c r="T62" s="279">
        <f>'Level Calculation Drone Survey'!$Z239</f>
        <v>263.7748049999999</v>
      </c>
      <c r="U62" s="279">
        <f>'Level Calculation Drone Survey'!$Z239</f>
        <v>263.7748049999999</v>
      </c>
      <c r="V62" s="279">
        <f>'Level Calculation Drone Survey'!$Z239</f>
        <v>263.7748049999999</v>
      </c>
      <c r="W62" s="279">
        <f>'Level Calculation Drone Survey'!$Z239</f>
        <v>263.7748049999999</v>
      </c>
      <c r="X62" s="279">
        <f>'Level Calculation Drone Survey'!$Z239</f>
        <v>263.7748049999999</v>
      </c>
      <c r="Y62" s="279">
        <f>'Level Calculation Drone Survey'!$Z239</f>
        <v>263.7748049999999</v>
      </c>
      <c r="Z62" s="278">
        <f>'Level Calculation Drone Survey'!$Z341</f>
        <v>263.56484285714271</v>
      </c>
      <c r="AA62" s="279">
        <f>'Level Calculation Drone Survey'!$Z205</f>
        <v>263.7648428571427</v>
      </c>
      <c r="AB62" s="279">
        <f>'Level Calculation Drone Survey'!$Z205</f>
        <v>263.7648428571427</v>
      </c>
      <c r="AC62" s="279">
        <f>'Level Calculation Drone Survey'!$Z205</f>
        <v>263.7648428571427</v>
      </c>
      <c r="AD62" s="279">
        <f>'Level Calculation Drone Survey'!$Z205</f>
        <v>263.7648428571427</v>
      </c>
      <c r="AE62" s="279">
        <f>'Level Calculation Drone Survey'!$Z205</f>
        <v>263.7648428571427</v>
      </c>
      <c r="AF62" s="279">
        <f>'Level Calculation Drone Survey'!$Z205</f>
        <v>263.7648428571427</v>
      </c>
      <c r="AG62" s="279">
        <f>'Level Calculation Drone Survey'!$Z205</f>
        <v>263.7648428571427</v>
      </c>
      <c r="AH62" s="279">
        <f>'Level Calculation Drone Survey'!$Z205</f>
        <v>263.7648428571427</v>
      </c>
      <c r="AI62" s="279">
        <f>'Level Calculation Drone Survey'!$Z205</f>
        <v>263.7648428571427</v>
      </c>
      <c r="AJ62" s="279">
        <f>'Level Calculation Drone Survey'!$Z205</f>
        <v>263.7648428571427</v>
      </c>
      <c r="AK62" s="279">
        <f>'Level Calculation Drone Survey'!$Z205</f>
        <v>263.7648428571427</v>
      </c>
      <c r="AL62" s="279">
        <f>'Level Calculation Drone Survey'!$Z205</f>
        <v>263.7648428571427</v>
      </c>
      <c r="AM62" s="279">
        <f>'Level Calculation Drone Survey'!$Z205</f>
        <v>263.7648428571427</v>
      </c>
      <c r="AN62" s="279">
        <f>'Level Calculation Drone Survey'!$Z205</f>
        <v>263.7648428571427</v>
      </c>
      <c r="AO62" s="279">
        <f>'Level Calculation Drone Survey'!$Z205</f>
        <v>263.7648428571427</v>
      </c>
      <c r="AP62" s="279">
        <f>'Level Calculation Drone Survey'!$Z205</f>
        <v>263.7648428571427</v>
      </c>
      <c r="AQ62" s="279">
        <f>'Level Calculation Drone Survey'!$Z205</f>
        <v>263.7648428571427</v>
      </c>
      <c r="AR62" s="279">
        <f>'Level Calculation Drone Survey'!$Z205</f>
        <v>263.7648428571427</v>
      </c>
      <c r="AS62" s="279">
        <f>'Level Calculation Drone Survey'!$Z205</f>
        <v>263.7648428571427</v>
      </c>
      <c r="AT62" s="279">
        <f>'Level Calculation Drone Survey'!$Z205</f>
        <v>263.7648428571427</v>
      </c>
      <c r="AU62" s="279">
        <f>'Level Calculation Drone Survey'!$Z205</f>
        <v>263.7648428571427</v>
      </c>
      <c r="AV62" s="305">
        <f>AV63-0.03</f>
        <v>263.64484285714281</v>
      </c>
      <c r="AW62" s="305">
        <f>AW63-0.03</f>
        <v>263.64484285714281</v>
      </c>
      <c r="AX62" s="322">
        <f>'Level Calculation Drone Survey'!$Z425</f>
        <v>263.66475238095217</v>
      </c>
      <c r="AY62" s="322">
        <f>'Level Calculation Drone Survey'!$Z425</f>
        <v>263.66475238095217</v>
      </c>
      <c r="AZ62" s="322">
        <f>'Level Calculation Drone Survey'!$Z425</f>
        <v>263.66475238095217</v>
      </c>
      <c r="BA62" s="322">
        <f>'Level Calculation Drone Survey'!$Z425</f>
        <v>263.66475238095217</v>
      </c>
      <c r="BB62" s="322">
        <f>'Level Calculation Drone Survey'!$Z425</f>
        <v>263.66475238095217</v>
      </c>
      <c r="BC62" s="322">
        <f>'Level Calculation Drone Survey'!$Z425</f>
        <v>263.66475238095217</v>
      </c>
      <c r="BD62" s="322">
        <f>'Level Calculation Drone Survey'!$Z425</f>
        <v>263.66475238095217</v>
      </c>
      <c r="BE62" s="322">
        <f>'Level Calculation Drone Survey'!$Z425</f>
        <v>263.66475238095217</v>
      </c>
      <c r="BF62" s="322">
        <f>'Level Calculation Drone Survey'!$Z425</f>
        <v>263.66475238095217</v>
      </c>
      <c r="BG62" s="322">
        <f>'Level Calculation Drone Survey'!$Z425</f>
        <v>263.66475238095217</v>
      </c>
      <c r="BH62" s="322">
        <f>'Level Calculation Drone Survey'!$Z425</f>
        <v>263.66475238095217</v>
      </c>
      <c r="BI62" s="322">
        <f>'Level Calculation Drone Survey'!$Z425</f>
        <v>263.66475238095217</v>
      </c>
      <c r="BJ62" s="322">
        <f>'Level Calculation Drone Survey'!$Z425</f>
        <v>263.66475238095217</v>
      </c>
      <c r="BK62" s="322">
        <f>'Level Calculation Drone Survey'!$Z425</f>
        <v>263.66475238095217</v>
      </c>
      <c r="BL62" s="322">
        <f>'Level Calculation Drone Survey'!$Z425</f>
        <v>263.66475238095217</v>
      </c>
      <c r="BM62" s="322">
        <f>'Level Calculation Drone Survey'!$Z425</f>
        <v>263.66475238095217</v>
      </c>
      <c r="BN62" s="322">
        <f>'Level Calculation Drone Survey'!$Z425</f>
        <v>263.66475238095217</v>
      </c>
      <c r="BO62" s="322">
        <f>'Level Calculation Drone Survey'!$Z425</f>
        <v>263.66475238095217</v>
      </c>
      <c r="BP62" s="322">
        <f>'Level Calculation Drone Survey'!$Z425</f>
        <v>263.66475238095217</v>
      </c>
      <c r="BQ62" s="322">
        <f>'Level Calculation Drone Survey'!$Z425</f>
        <v>263.66475238095217</v>
      </c>
      <c r="BR62" s="322">
        <f>'Level Calculation Drone Survey'!$Z425</f>
        <v>263.66475238095217</v>
      </c>
      <c r="BS62" s="313">
        <f>'Level Calculation Drone Survey'!$Z474</f>
        <v>263.44996818181818</v>
      </c>
      <c r="BT62" s="322">
        <f>'Level Calculation Drone Survey'!$Z474</f>
        <v>263.44996818181818</v>
      </c>
      <c r="BU62" s="322">
        <f>'Level Calculation Drone Survey'!$Z474</f>
        <v>263.44996818181818</v>
      </c>
      <c r="BV62" s="322">
        <f>'Level Calculation Drone Survey'!$Z474</f>
        <v>263.44996818181818</v>
      </c>
      <c r="BW62" s="322">
        <f>'Level Calculation Drone Survey'!$Z474</f>
        <v>263.44996818181818</v>
      </c>
      <c r="BX62" s="322">
        <f>'Level Calculation Drone Survey'!$Z474</f>
        <v>263.44996818181818</v>
      </c>
      <c r="BY62" s="322">
        <f>'Level Calculation Drone Survey'!$Z474</f>
        <v>263.44996818181818</v>
      </c>
      <c r="BZ62" s="322">
        <f>'Level Calculation Drone Survey'!$Z474</f>
        <v>263.44996818181818</v>
      </c>
      <c r="CA62" s="322">
        <f>'Level Calculation Drone Survey'!$Z474</f>
        <v>263.44996818181818</v>
      </c>
      <c r="CB62" s="324">
        <f>'Level Calculation Drone Survey'!$Z474</f>
        <v>263.44996818181818</v>
      </c>
      <c r="CC62" s="279">
        <f>'Level Calculation Drone Survey'!$Z155</f>
        <v>263.43540476190469</v>
      </c>
      <c r="CD62" s="279">
        <f>'Level Calculation Drone Survey'!$Z155</f>
        <v>263.43540476190469</v>
      </c>
      <c r="CE62" s="279">
        <f>'Level Calculation Drone Survey'!$Z155</f>
        <v>263.43540476190469</v>
      </c>
      <c r="CF62" s="279">
        <f>'Level Calculation Drone Survey'!$Z155</f>
        <v>263.43540476190469</v>
      </c>
      <c r="CG62" s="279">
        <f>'Level Calculation Drone Survey'!$Z155</f>
        <v>263.43540476190469</v>
      </c>
      <c r="CH62" s="279">
        <f>'Level Calculation Drone Survey'!$Z155</f>
        <v>263.43540476190469</v>
      </c>
      <c r="CI62" s="279">
        <f>'Level Calculation Drone Survey'!$Z155</f>
        <v>263.43540476190469</v>
      </c>
      <c r="CJ62" s="279">
        <f>'Level Calculation Drone Survey'!$Z155</f>
        <v>263.43540476190469</v>
      </c>
      <c r="CK62" s="279">
        <f>'Level Calculation Drone Survey'!$Z155</f>
        <v>263.43540476190469</v>
      </c>
      <c r="CL62" s="279">
        <f>'Level Calculation Drone Survey'!$Z155</f>
        <v>263.43540476190469</v>
      </c>
      <c r="CM62" s="279">
        <f>'Level Calculation Drone Survey'!$Z155</f>
        <v>263.43540476190469</v>
      </c>
      <c r="CN62" s="279">
        <f>'Level Calculation Drone Survey'!$Z155</f>
        <v>263.43540476190469</v>
      </c>
      <c r="CO62" s="279">
        <f>'Level Calculation Drone Survey'!$Z155</f>
        <v>263.43540476190469</v>
      </c>
      <c r="CP62" s="279">
        <f>'Level Calculation Drone Survey'!$Z155</f>
        <v>263.43540476190469</v>
      </c>
      <c r="CQ62" s="279">
        <f>'Level Calculation Drone Survey'!$Z155</f>
        <v>263.43540476190469</v>
      </c>
      <c r="CR62" s="279">
        <f>'Level Calculation Drone Survey'!$Z155</f>
        <v>263.43540476190469</v>
      </c>
      <c r="CS62" s="279">
        <f>'Level Calculation Drone Survey'!$Z155</f>
        <v>263.43540476190469</v>
      </c>
      <c r="CT62" s="279">
        <f>'Level Calculation Drone Survey'!$Z155</f>
        <v>263.43540476190469</v>
      </c>
      <c r="CU62" s="279">
        <f>'Level Calculation Drone Survey'!$Z155</f>
        <v>263.43540476190469</v>
      </c>
      <c r="CV62" s="279">
        <f>'Level Calculation Drone Survey'!$Z155</f>
        <v>263.43540476190469</v>
      </c>
      <c r="CW62" s="279">
        <f>'Level Calculation Drone Survey'!$Z155</f>
        <v>263.43540476190469</v>
      </c>
      <c r="CX62" s="316">
        <f>'Level Calculation Drone Survey'!$Z539</f>
        <v>263.19016666666653</v>
      </c>
      <c r="CY62" s="279">
        <f>'Level Calculation Drone Survey'!$Z134</f>
        <v>263.24016666666654</v>
      </c>
      <c r="CZ62" s="279">
        <f>'Level Calculation Drone Survey'!$Z134</f>
        <v>263.24016666666654</v>
      </c>
      <c r="DA62" s="279">
        <f>'Level Calculation Drone Survey'!$Z134</f>
        <v>263.24016666666654</v>
      </c>
      <c r="DB62" s="279">
        <f>'Level Calculation Drone Survey'!$Z134</f>
        <v>263.24016666666654</v>
      </c>
      <c r="DC62" s="279">
        <f>'Level Calculation Drone Survey'!$Z134</f>
        <v>263.24016666666654</v>
      </c>
      <c r="DD62" s="279">
        <f>'Level Calculation Drone Survey'!$Z134</f>
        <v>263.24016666666654</v>
      </c>
      <c r="DE62" s="279">
        <f>'Level Calculation Drone Survey'!$Z134</f>
        <v>263.24016666666654</v>
      </c>
      <c r="DF62" s="279">
        <f>'Level Calculation Drone Survey'!$Z134</f>
        <v>263.24016666666654</v>
      </c>
      <c r="DG62" s="279">
        <f>'Level Calculation Drone Survey'!$Z134</f>
        <v>263.24016666666654</v>
      </c>
      <c r="DH62" s="279">
        <f>'Level Calculation Drone Survey'!$Z134</f>
        <v>263.24016666666654</v>
      </c>
      <c r="DI62" s="279">
        <f>'Level Calculation Drone Survey'!$Z134</f>
        <v>263.24016666666654</v>
      </c>
      <c r="DJ62" s="279">
        <f>'Level Calculation Drone Survey'!$Z134</f>
        <v>263.24016666666654</v>
      </c>
      <c r="DK62" s="279">
        <f>'Level Calculation Drone Survey'!$Z134</f>
        <v>263.24016666666654</v>
      </c>
      <c r="DL62" s="279">
        <f>'Level Calculation Drone Survey'!$Z134</f>
        <v>263.24016666666654</v>
      </c>
      <c r="DM62" s="279">
        <f>'Level Calculation Drone Survey'!$Z134</f>
        <v>263.24016666666654</v>
      </c>
      <c r="DN62" s="279">
        <f>'Level Calculation Drone Survey'!$Z134</f>
        <v>263.24016666666654</v>
      </c>
      <c r="DO62" s="279">
        <f>'Level Calculation Drone Survey'!$Z134</f>
        <v>263.24016666666654</v>
      </c>
      <c r="DP62" s="279">
        <f>'Level Calculation Drone Survey'!$Z134</f>
        <v>263.24016666666654</v>
      </c>
      <c r="DQ62" s="279">
        <f>'Level Calculation Drone Survey'!$Z134</f>
        <v>263.24016666666654</v>
      </c>
      <c r="DR62" s="279">
        <f>'Level Calculation Drone Survey'!$Z134</f>
        <v>263.24016666666654</v>
      </c>
      <c r="DS62" s="279">
        <f>'Level Calculation Drone Survey'!$Z134</f>
        <v>263.24016666666654</v>
      </c>
      <c r="DT62" s="305">
        <f>'Level Calculation Drone Survey'!$Z552</f>
        <v>263.19016666666653</v>
      </c>
      <c r="DU62" s="305">
        <f>'Level Calculation Drone Survey'!$Z552</f>
        <v>263.19016666666653</v>
      </c>
      <c r="DV62" s="305">
        <f>'Level Calculation Drone Survey'!$Z552</f>
        <v>263.19016666666653</v>
      </c>
      <c r="DW62" s="305">
        <f>'Level Calculation Drone Survey'!$Z552</f>
        <v>263.19016666666653</v>
      </c>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row>
    <row r="63" spans="1:155" ht="45" customHeight="1" x14ac:dyDescent="0.45">
      <c r="A63" s="277">
        <v>310</v>
      </c>
      <c r="B63" s="191"/>
      <c r="C63" s="191"/>
      <c r="D63" s="191"/>
      <c r="E63" s="278">
        <f>'Level Calculation Drone Survey'!$Z298</f>
        <v>263.6751444444443</v>
      </c>
      <c r="F63" s="278">
        <f>'Level Calculation Drone Survey'!$Z298</f>
        <v>263.6751444444443</v>
      </c>
      <c r="G63" s="278">
        <f>'Level Calculation Drone Survey'!$Z298</f>
        <v>263.6751444444443</v>
      </c>
      <c r="H63" s="278">
        <f>'Level Calculation Drone Survey'!$Z298</f>
        <v>263.6751444444443</v>
      </c>
      <c r="I63" s="278">
        <f>'Level Calculation Drone Survey'!$Z298</f>
        <v>263.6751444444443</v>
      </c>
      <c r="J63" s="278">
        <f>'Level Calculation Drone Survey'!$Z298</f>
        <v>263.6751444444443</v>
      </c>
      <c r="K63" s="278">
        <f>'Level Calculation Drone Survey'!$Z298</f>
        <v>263.6751444444443</v>
      </c>
      <c r="L63" s="278">
        <f>'Level Calculation Drone Survey'!$Z298</f>
        <v>263.6751444444443</v>
      </c>
      <c r="M63" s="278">
        <f>'Level Calculation Drone Survey'!$Z298</f>
        <v>263.6751444444443</v>
      </c>
      <c r="N63" s="278">
        <f>'Level Calculation Drone Survey'!$Z298</f>
        <v>263.6751444444443</v>
      </c>
      <c r="O63" s="278">
        <f>'Level Calculation Drone Survey'!$Z298</f>
        <v>263.6751444444443</v>
      </c>
      <c r="P63" s="278">
        <f>'Level Calculation Drone Survey'!$Z298</f>
        <v>263.6751444444443</v>
      </c>
      <c r="Q63" s="278">
        <f>'Level Calculation Drone Survey'!$Z298</f>
        <v>263.6751444444443</v>
      </c>
      <c r="R63" s="278">
        <f>'Level Calculation Drone Survey'!$Z298</f>
        <v>263.6751444444443</v>
      </c>
      <c r="S63" s="278">
        <f>'Level Calculation Drone Survey'!$Z298</f>
        <v>263.6751444444443</v>
      </c>
      <c r="T63" s="278">
        <f>'Level Calculation Drone Survey'!$Z298</f>
        <v>263.6751444444443</v>
      </c>
      <c r="U63" s="278">
        <f>'Level Calculation Drone Survey'!$Z298</f>
        <v>263.6751444444443</v>
      </c>
      <c r="V63" s="278">
        <f>'Level Calculation Drone Survey'!$Z298</f>
        <v>263.6751444444443</v>
      </c>
      <c r="W63" s="278">
        <f>'Level Calculation Drone Survey'!$Z298</f>
        <v>263.6751444444443</v>
      </c>
      <c r="X63" s="278">
        <f>'Level Calculation Drone Survey'!$Z298</f>
        <v>263.6751444444443</v>
      </c>
      <c r="Y63" s="278">
        <f>'Level Calculation Drone Survey'!$Z298</f>
        <v>263.6751444444443</v>
      </c>
      <c r="Z63" s="278">
        <f>Z64</f>
        <v>263.66484285714273</v>
      </c>
      <c r="AA63" s="279">
        <f>'Level Calculation Drone Survey'!$Z206</f>
        <v>263.81484285714271</v>
      </c>
      <c r="AB63" s="279">
        <f>'Level Calculation Drone Survey'!$Z206</f>
        <v>263.81484285714271</v>
      </c>
      <c r="AC63" s="279">
        <f>'Level Calculation Drone Survey'!$Z206</f>
        <v>263.81484285714271</v>
      </c>
      <c r="AD63" s="279">
        <f>'Level Calculation Drone Survey'!$Z206</f>
        <v>263.81484285714271</v>
      </c>
      <c r="AE63" s="279">
        <f>'Level Calculation Drone Survey'!$Z206</f>
        <v>263.81484285714271</v>
      </c>
      <c r="AF63" s="279">
        <f>'Level Calculation Drone Survey'!$Z206</f>
        <v>263.81484285714271</v>
      </c>
      <c r="AG63" s="279">
        <f>'Level Calculation Drone Survey'!$Z206</f>
        <v>263.81484285714271</v>
      </c>
      <c r="AH63" s="279">
        <f>'Level Calculation Drone Survey'!$Z206</f>
        <v>263.81484285714271</v>
      </c>
      <c r="AI63" s="279">
        <f>'Level Calculation Drone Survey'!$Z206</f>
        <v>263.81484285714271</v>
      </c>
      <c r="AJ63" s="279">
        <f>'Level Calculation Drone Survey'!$Z206</f>
        <v>263.81484285714271</v>
      </c>
      <c r="AK63" s="279">
        <f>'Level Calculation Drone Survey'!$Z206</f>
        <v>263.81484285714271</v>
      </c>
      <c r="AL63" s="279">
        <f>'Level Calculation Drone Survey'!$Z206</f>
        <v>263.81484285714271</v>
      </c>
      <c r="AM63" s="279">
        <f>'Level Calculation Drone Survey'!$Z206</f>
        <v>263.81484285714271</v>
      </c>
      <c r="AN63" s="279">
        <f>'Level Calculation Drone Survey'!$Z206</f>
        <v>263.81484285714271</v>
      </c>
      <c r="AO63" s="279">
        <f>'Level Calculation Drone Survey'!$Z206</f>
        <v>263.81484285714271</v>
      </c>
      <c r="AP63" s="279">
        <f>'Level Calculation Drone Survey'!$Z206</f>
        <v>263.81484285714271</v>
      </c>
      <c r="AQ63" s="279">
        <f>'Level Calculation Drone Survey'!$Z206</f>
        <v>263.81484285714271</v>
      </c>
      <c r="AR63" s="279">
        <f>'Level Calculation Drone Survey'!$Z206</f>
        <v>263.81484285714271</v>
      </c>
      <c r="AS63" s="279">
        <f>'Level Calculation Drone Survey'!$Z206</f>
        <v>263.81484285714271</v>
      </c>
      <c r="AT63" s="279">
        <f>'Level Calculation Drone Survey'!$Z206</f>
        <v>263.81484285714271</v>
      </c>
      <c r="AU63" s="279">
        <f>'Level Calculation Drone Survey'!$Z206</f>
        <v>263.81484285714271</v>
      </c>
      <c r="AV63" s="305">
        <f>'Level Calculation Drone Survey'!$Z393</f>
        <v>263.67484285714278</v>
      </c>
      <c r="AW63" s="305">
        <f>'Level Calculation Drone Survey'!$Z393</f>
        <v>263.67484285714278</v>
      </c>
      <c r="AX63" s="323">
        <f>'Level Calculation Drone Survey'!$Z415</f>
        <v>263.76475238095219</v>
      </c>
      <c r="AY63" s="323">
        <f>'Level Calculation Drone Survey'!$Z415</f>
        <v>263.76475238095219</v>
      </c>
      <c r="AZ63" s="323">
        <f>'Level Calculation Drone Survey'!$Z415</f>
        <v>263.76475238095219</v>
      </c>
      <c r="BA63" s="323">
        <f>'Level Calculation Drone Survey'!$Z415</f>
        <v>263.76475238095219</v>
      </c>
      <c r="BB63" s="323">
        <f>'Level Calculation Drone Survey'!$Z415</f>
        <v>263.76475238095219</v>
      </c>
      <c r="BC63" s="323">
        <f>'Level Calculation Drone Survey'!$Z415</f>
        <v>263.76475238095219</v>
      </c>
      <c r="BD63" s="323">
        <f>'Level Calculation Drone Survey'!$Z415</f>
        <v>263.76475238095219</v>
      </c>
      <c r="BE63" s="323">
        <f>'Level Calculation Drone Survey'!$Z415</f>
        <v>263.76475238095219</v>
      </c>
      <c r="BF63" s="323">
        <f>'Level Calculation Drone Survey'!$Z415</f>
        <v>263.76475238095219</v>
      </c>
      <c r="BG63" s="323">
        <f>'Level Calculation Drone Survey'!$Z415</f>
        <v>263.76475238095219</v>
      </c>
      <c r="BH63" s="323">
        <f>'Level Calculation Drone Survey'!$Z415</f>
        <v>263.76475238095219</v>
      </c>
      <c r="BI63" s="323">
        <f>'Level Calculation Drone Survey'!$Z415</f>
        <v>263.76475238095219</v>
      </c>
      <c r="BJ63" s="323">
        <f>'Level Calculation Drone Survey'!$Z415</f>
        <v>263.76475238095219</v>
      </c>
      <c r="BK63" s="323">
        <f>'Level Calculation Drone Survey'!$Z415</f>
        <v>263.76475238095219</v>
      </c>
      <c r="BL63" s="323">
        <f>'Level Calculation Drone Survey'!$Z415</f>
        <v>263.76475238095219</v>
      </c>
      <c r="BM63" s="323">
        <f>'Level Calculation Drone Survey'!$Z415</f>
        <v>263.76475238095219</v>
      </c>
      <c r="BN63" s="323">
        <f>'Level Calculation Drone Survey'!$Z415</f>
        <v>263.76475238095219</v>
      </c>
      <c r="BO63" s="323">
        <f>'Level Calculation Drone Survey'!$Z415</f>
        <v>263.76475238095219</v>
      </c>
      <c r="BP63" s="323">
        <f>'Level Calculation Drone Survey'!$Z415</f>
        <v>263.76475238095219</v>
      </c>
      <c r="BQ63" s="323">
        <f>'Level Calculation Drone Survey'!$Z415</f>
        <v>263.76475238095219</v>
      </c>
      <c r="BR63" s="323">
        <f>'Level Calculation Drone Survey'!$Z415</f>
        <v>263.76475238095219</v>
      </c>
      <c r="BS63" s="313">
        <f>'Level Calculation Drone Survey'!$Z475</f>
        <v>263.44996818181818</v>
      </c>
      <c r="BT63" s="322">
        <f>'Level Calculation Drone Survey'!$Z475</f>
        <v>263.44996818181818</v>
      </c>
      <c r="BU63" s="322">
        <f>'Level Calculation Drone Survey'!$Z475</f>
        <v>263.44996818181818</v>
      </c>
      <c r="BV63" s="322">
        <f>'Level Calculation Drone Survey'!$Z475</f>
        <v>263.44996818181818</v>
      </c>
      <c r="BW63" s="322">
        <f>'Level Calculation Drone Survey'!$Z475</f>
        <v>263.44996818181818</v>
      </c>
      <c r="BX63" s="322">
        <f>'Level Calculation Drone Survey'!$Z475</f>
        <v>263.44996818181818</v>
      </c>
      <c r="BY63" s="322">
        <f>'Level Calculation Drone Survey'!$Z475</f>
        <v>263.44996818181818</v>
      </c>
      <c r="BZ63" s="322">
        <f>'Level Calculation Drone Survey'!$Z475</f>
        <v>263.44996818181818</v>
      </c>
      <c r="CA63" s="322">
        <f>'Level Calculation Drone Survey'!$Z475</f>
        <v>263.44996818181818</v>
      </c>
      <c r="CB63" s="324">
        <f>'Level Calculation Drone Survey'!$Z475</f>
        <v>263.44996818181818</v>
      </c>
      <c r="CC63" s="279">
        <f>'Level Calculation Drone Survey'!$Z156</f>
        <v>263.38540476190468</v>
      </c>
      <c r="CD63" s="279">
        <f>'Level Calculation Drone Survey'!$Z156</f>
        <v>263.38540476190468</v>
      </c>
      <c r="CE63" s="279">
        <f>'Level Calculation Drone Survey'!$Z156</f>
        <v>263.38540476190468</v>
      </c>
      <c r="CF63" s="279">
        <f>'Level Calculation Drone Survey'!$Z156</f>
        <v>263.38540476190468</v>
      </c>
      <c r="CG63" s="279">
        <f>'Level Calculation Drone Survey'!$Z156</f>
        <v>263.38540476190468</v>
      </c>
      <c r="CH63" s="279">
        <f>'Level Calculation Drone Survey'!$Z156</f>
        <v>263.38540476190468</v>
      </c>
      <c r="CI63" s="279">
        <f>'Level Calculation Drone Survey'!$Z156</f>
        <v>263.38540476190468</v>
      </c>
      <c r="CJ63" s="279">
        <f>'Level Calculation Drone Survey'!$Z156</f>
        <v>263.38540476190468</v>
      </c>
      <c r="CK63" s="279">
        <f>'Level Calculation Drone Survey'!$Z156</f>
        <v>263.38540476190468</v>
      </c>
      <c r="CL63" s="279">
        <f>'Level Calculation Drone Survey'!$Z156</f>
        <v>263.38540476190468</v>
      </c>
      <c r="CM63" s="279">
        <f>'Level Calculation Drone Survey'!$Z156</f>
        <v>263.38540476190468</v>
      </c>
      <c r="CN63" s="279">
        <f>'Level Calculation Drone Survey'!$Z156</f>
        <v>263.38540476190468</v>
      </c>
      <c r="CO63" s="279">
        <f>'Level Calculation Drone Survey'!$Z156</f>
        <v>263.38540476190468</v>
      </c>
      <c r="CP63" s="279">
        <f>'Level Calculation Drone Survey'!$Z156</f>
        <v>263.38540476190468</v>
      </c>
      <c r="CQ63" s="279">
        <f>'Level Calculation Drone Survey'!$Z156</f>
        <v>263.38540476190468</v>
      </c>
      <c r="CR63" s="279">
        <f>'Level Calculation Drone Survey'!$Z156</f>
        <v>263.38540476190468</v>
      </c>
      <c r="CS63" s="279">
        <f>'Level Calculation Drone Survey'!$Z156</f>
        <v>263.38540476190468</v>
      </c>
      <c r="CT63" s="279">
        <f>'Level Calculation Drone Survey'!$Z156</f>
        <v>263.38540476190468</v>
      </c>
      <c r="CU63" s="279">
        <f>'Level Calculation Drone Survey'!$Z156</f>
        <v>263.38540476190468</v>
      </c>
      <c r="CV63" s="279">
        <f>'Level Calculation Drone Survey'!$Z156</f>
        <v>263.38540476190468</v>
      </c>
      <c r="CW63" s="279">
        <f>'Level Calculation Drone Survey'!$Z156</f>
        <v>263.38540476190468</v>
      </c>
      <c r="CX63" s="316">
        <f>'Level Calculation Drone Survey'!$Z540</f>
        <v>263.14016666666652</v>
      </c>
      <c r="CY63" s="279">
        <f>'Level Calculation Drone Survey'!$Z135</f>
        <v>263.19016666666653</v>
      </c>
      <c r="CZ63" s="279">
        <f>'Level Calculation Drone Survey'!$Z135</f>
        <v>263.19016666666653</v>
      </c>
      <c r="DA63" s="279">
        <f>'Level Calculation Drone Survey'!$Z135</f>
        <v>263.19016666666653</v>
      </c>
      <c r="DB63" s="279">
        <f>'Level Calculation Drone Survey'!$Z135</f>
        <v>263.19016666666653</v>
      </c>
      <c r="DC63" s="279">
        <f>'Level Calculation Drone Survey'!$Z135</f>
        <v>263.19016666666653</v>
      </c>
      <c r="DD63" s="279">
        <f>'Level Calculation Drone Survey'!$Z135</f>
        <v>263.19016666666653</v>
      </c>
      <c r="DE63" s="279">
        <f>'Level Calculation Drone Survey'!$Z135</f>
        <v>263.19016666666653</v>
      </c>
      <c r="DF63" s="279">
        <f>'Level Calculation Drone Survey'!$Z135</f>
        <v>263.19016666666653</v>
      </c>
      <c r="DG63" s="279">
        <f>'Level Calculation Drone Survey'!$Z135</f>
        <v>263.19016666666653</v>
      </c>
      <c r="DH63" s="279">
        <f>'Level Calculation Drone Survey'!$Z135</f>
        <v>263.19016666666653</v>
      </c>
      <c r="DI63" s="279">
        <f>'Level Calculation Drone Survey'!$Z135</f>
        <v>263.19016666666653</v>
      </c>
      <c r="DJ63" s="279">
        <f>'Level Calculation Drone Survey'!$Z135</f>
        <v>263.19016666666653</v>
      </c>
      <c r="DK63" s="279">
        <f>'Level Calculation Drone Survey'!$Z135</f>
        <v>263.19016666666653</v>
      </c>
      <c r="DL63" s="279">
        <f>'Level Calculation Drone Survey'!$Z135</f>
        <v>263.19016666666653</v>
      </c>
      <c r="DM63" s="279">
        <f>'Level Calculation Drone Survey'!$Z135</f>
        <v>263.19016666666653</v>
      </c>
      <c r="DN63" s="279">
        <f>'Level Calculation Drone Survey'!$Z135</f>
        <v>263.19016666666653</v>
      </c>
      <c r="DO63" s="279">
        <f>'Level Calculation Drone Survey'!$Z135</f>
        <v>263.19016666666653</v>
      </c>
      <c r="DP63" s="279">
        <f>'Level Calculation Drone Survey'!$Z135</f>
        <v>263.19016666666653</v>
      </c>
      <c r="DQ63" s="279">
        <f>'Level Calculation Drone Survey'!$Z135</f>
        <v>263.19016666666653</v>
      </c>
      <c r="DR63" s="279">
        <f>'Level Calculation Drone Survey'!$Z135</f>
        <v>263.19016666666653</v>
      </c>
      <c r="DS63" s="279">
        <f>'Level Calculation Drone Survey'!$Z135</f>
        <v>263.19016666666653</v>
      </c>
      <c r="DT63" s="305">
        <f>'Level Calculation Drone Survey'!$Z553</f>
        <v>263.14016666666652</v>
      </c>
      <c r="DU63" s="305">
        <f>'Level Calculation Drone Survey'!$Z553</f>
        <v>263.14016666666652</v>
      </c>
      <c r="DV63" s="305">
        <f>'Level Calculation Drone Survey'!$Z553</f>
        <v>263.14016666666652</v>
      </c>
      <c r="DW63" s="305">
        <f>'Level Calculation Drone Survey'!$Z553</f>
        <v>263.14016666666652</v>
      </c>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row>
    <row r="64" spans="1:155" ht="45" customHeight="1" x14ac:dyDescent="0.45">
      <c r="A64" s="277">
        <v>315</v>
      </c>
      <c r="B64" s="191"/>
      <c r="C64" s="191"/>
      <c r="D64" s="191"/>
      <c r="E64" s="305">
        <f>'Level Calculation Drone Survey'!$Z299</f>
        <v>263.6751444444443</v>
      </c>
      <c r="F64" s="305">
        <f>'Level Calculation Drone Survey'!$Z299</f>
        <v>263.6751444444443</v>
      </c>
      <c r="G64" s="305">
        <f>'Level Calculation Drone Survey'!$Z299</f>
        <v>263.6751444444443</v>
      </c>
      <c r="H64" s="305">
        <f>'Level Calculation Drone Survey'!$Z299</f>
        <v>263.6751444444443</v>
      </c>
      <c r="I64" s="305">
        <f>'Level Calculation Drone Survey'!$Z299</f>
        <v>263.6751444444443</v>
      </c>
      <c r="J64" s="305">
        <f>'Level Calculation Drone Survey'!$Z299</f>
        <v>263.6751444444443</v>
      </c>
      <c r="K64" s="305">
        <f>'Level Calculation Drone Survey'!$Z299</f>
        <v>263.6751444444443</v>
      </c>
      <c r="L64" s="305">
        <f>'Level Calculation Drone Survey'!$Z299</f>
        <v>263.6751444444443</v>
      </c>
      <c r="M64" s="305">
        <f>'Level Calculation Drone Survey'!$Z299</f>
        <v>263.6751444444443</v>
      </c>
      <c r="N64" s="305">
        <f>'Level Calculation Drone Survey'!$Z299</f>
        <v>263.6751444444443</v>
      </c>
      <c r="O64" s="305">
        <f>'Level Calculation Drone Survey'!$Z299</f>
        <v>263.6751444444443</v>
      </c>
      <c r="P64" s="305">
        <f>'Level Calculation Drone Survey'!$Z299</f>
        <v>263.6751444444443</v>
      </c>
      <c r="Q64" s="305">
        <f>'Level Calculation Drone Survey'!$Z299</f>
        <v>263.6751444444443</v>
      </c>
      <c r="R64" s="305">
        <f>'Level Calculation Drone Survey'!$Z299</f>
        <v>263.6751444444443</v>
      </c>
      <c r="S64" s="305">
        <f>'Level Calculation Drone Survey'!$Z299</f>
        <v>263.6751444444443</v>
      </c>
      <c r="T64" s="305">
        <f>'Level Calculation Drone Survey'!$Z299</f>
        <v>263.6751444444443</v>
      </c>
      <c r="U64" s="305">
        <f>'Level Calculation Drone Survey'!$Z299</f>
        <v>263.6751444444443</v>
      </c>
      <c r="V64" s="305">
        <f>'Level Calculation Drone Survey'!$Z299</f>
        <v>263.6751444444443</v>
      </c>
      <c r="W64" s="305">
        <f>'Level Calculation Drone Survey'!$Z299</f>
        <v>263.6751444444443</v>
      </c>
      <c r="X64" s="305">
        <f>'Level Calculation Drone Survey'!$Z299</f>
        <v>263.6751444444443</v>
      </c>
      <c r="Y64" s="305">
        <f>'Level Calculation Drone Survey'!$Z299</f>
        <v>263.6751444444443</v>
      </c>
      <c r="Z64" s="305">
        <f>'Level Calculation Drone Survey'!$Z343</f>
        <v>263.66484285714273</v>
      </c>
      <c r="AA64" s="279">
        <f>'Level Calculation Drone Survey'!$Z207</f>
        <v>263.86484285714272</v>
      </c>
      <c r="AB64" s="279">
        <f>'Level Calculation Drone Survey'!$Z207</f>
        <v>263.86484285714272</v>
      </c>
      <c r="AC64" s="279">
        <f>'Level Calculation Drone Survey'!$Z207</f>
        <v>263.86484285714272</v>
      </c>
      <c r="AD64" s="279">
        <f>'Level Calculation Drone Survey'!$Z207</f>
        <v>263.86484285714272</v>
      </c>
      <c r="AE64" s="279">
        <f>'Level Calculation Drone Survey'!$Z207</f>
        <v>263.86484285714272</v>
      </c>
      <c r="AF64" s="279">
        <f>'Level Calculation Drone Survey'!$Z207</f>
        <v>263.86484285714272</v>
      </c>
      <c r="AG64" s="279">
        <f>'Level Calculation Drone Survey'!$Z207</f>
        <v>263.86484285714272</v>
      </c>
      <c r="AH64" s="279">
        <f>'Level Calculation Drone Survey'!$Z207</f>
        <v>263.86484285714272</v>
      </c>
      <c r="AI64" s="279">
        <f>'Level Calculation Drone Survey'!$Z207</f>
        <v>263.86484285714272</v>
      </c>
      <c r="AJ64" s="279">
        <f>'Level Calculation Drone Survey'!$Z207</f>
        <v>263.86484285714272</v>
      </c>
      <c r="AK64" s="279">
        <f>'Level Calculation Drone Survey'!$Z207</f>
        <v>263.86484285714272</v>
      </c>
      <c r="AL64" s="279">
        <f>'Level Calculation Drone Survey'!$Z207</f>
        <v>263.86484285714272</v>
      </c>
      <c r="AM64" s="279">
        <f>'Level Calculation Drone Survey'!$Z207</f>
        <v>263.86484285714272</v>
      </c>
      <c r="AN64" s="279">
        <f>'Level Calculation Drone Survey'!$Z207</f>
        <v>263.86484285714272</v>
      </c>
      <c r="AO64" s="279">
        <f>'Level Calculation Drone Survey'!$Z207</f>
        <v>263.86484285714272</v>
      </c>
      <c r="AP64" s="279">
        <f>'Level Calculation Drone Survey'!$Z207</f>
        <v>263.86484285714272</v>
      </c>
      <c r="AQ64" s="279">
        <f>'Level Calculation Drone Survey'!$Z207</f>
        <v>263.86484285714272</v>
      </c>
      <c r="AR64" s="279">
        <f>'Level Calculation Drone Survey'!$Z207</f>
        <v>263.86484285714272</v>
      </c>
      <c r="AS64" s="279">
        <f>'Level Calculation Drone Survey'!$Z207</f>
        <v>263.86484285714272</v>
      </c>
      <c r="AT64" s="279">
        <f>'Level Calculation Drone Survey'!$Z207</f>
        <v>263.86484285714272</v>
      </c>
      <c r="AU64" s="279">
        <f>'Level Calculation Drone Survey'!$Z207</f>
        <v>263.86484285714272</v>
      </c>
      <c r="AV64" s="305">
        <f>'Level Calculation Drone Survey'!$Z394</f>
        <v>263.70484285714275</v>
      </c>
      <c r="AW64" s="305">
        <f>'Level Calculation Drone Survey'!$Z394</f>
        <v>263.70484285714275</v>
      </c>
      <c r="AX64" s="323">
        <f>'Level Calculation Drone Survey'!$Z416</f>
        <v>263.76475238095219</v>
      </c>
      <c r="AY64" s="323">
        <f>'Level Calculation Drone Survey'!$Z416</f>
        <v>263.76475238095219</v>
      </c>
      <c r="AZ64" s="323">
        <f>'Level Calculation Drone Survey'!$Z416</f>
        <v>263.76475238095219</v>
      </c>
      <c r="BA64" s="323">
        <f>'Level Calculation Drone Survey'!$Z416</f>
        <v>263.76475238095219</v>
      </c>
      <c r="BB64" s="323">
        <f>'Level Calculation Drone Survey'!$Z416</f>
        <v>263.76475238095219</v>
      </c>
      <c r="BC64" s="323">
        <f>'Level Calculation Drone Survey'!$Z416</f>
        <v>263.76475238095219</v>
      </c>
      <c r="BD64" s="323">
        <f>'Level Calculation Drone Survey'!$Z416</f>
        <v>263.76475238095219</v>
      </c>
      <c r="BE64" s="323">
        <f>'Level Calculation Drone Survey'!$Z416</f>
        <v>263.76475238095219</v>
      </c>
      <c r="BF64" s="323">
        <f>'Level Calculation Drone Survey'!$Z416</f>
        <v>263.76475238095219</v>
      </c>
      <c r="BG64" s="323">
        <f>'Level Calculation Drone Survey'!$Z416</f>
        <v>263.76475238095219</v>
      </c>
      <c r="BH64" s="323">
        <f>'Level Calculation Drone Survey'!$Z416</f>
        <v>263.76475238095219</v>
      </c>
      <c r="BI64" s="323">
        <f>'Level Calculation Drone Survey'!$Z416</f>
        <v>263.76475238095219</v>
      </c>
      <c r="BJ64" s="323">
        <f>'Level Calculation Drone Survey'!$Z416</f>
        <v>263.76475238095219</v>
      </c>
      <c r="BK64" s="323">
        <f>'Level Calculation Drone Survey'!$Z416</f>
        <v>263.76475238095219</v>
      </c>
      <c r="BL64" s="323">
        <f>'Level Calculation Drone Survey'!$Z416</f>
        <v>263.76475238095219</v>
      </c>
      <c r="BM64" s="323">
        <f>'Level Calculation Drone Survey'!$Z416</f>
        <v>263.76475238095219</v>
      </c>
      <c r="BN64" s="323">
        <f>'Level Calculation Drone Survey'!$Z416</f>
        <v>263.76475238095219</v>
      </c>
      <c r="BO64" s="323">
        <f>'Level Calculation Drone Survey'!$Z416</f>
        <v>263.76475238095219</v>
      </c>
      <c r="BP64" s="323">
        <f>'Level Calculation Drone Survey'!$Z416</f>
        <v>263.76475238095219</v>
      </c>
      <c r="BQ64" s="323">
        <f>'Level Calculation Drone Survey'!$Z416</f>
        <v>263.76475238095219</v>
      </c>
      <c r="BR64" s="323">
        <f>'Level Calculation Drone Survey'!$Z416</f>
        <v>263.76475238095219</v>
      </c>
      <c r="BS64" s="313">
        <f>'Level Calculation Drone Survey'!$Z476</f>
        <v>263.44996818181818</v>
      </c>
      <c r="BT64" s="322">
        <f>'Level Calculation Drone Survey'!$Z476</f>
        <v>263.44996818181818</v>
      </c>
      <c r="BU64" s="322">
        <f>'Level Calculation Drone Survey'!$Z476</f>
        <v>263.44996818181818</v>
      </c>
      <c r="BV64" s="322">
        <f>'Level Calculation Drone Survey'!$Z476</f>
        <v>263.44996818181818</v>
      </c>
      <c r="BW64" s="322">
        <f>'Level Calculation Drone Survey'!$Z476</f>
        <v>263.44996818181818</v>
      </c>
      <c r="BX64" s="322">
        <f>'Level Calculation Drone Survey'!$Z476</f>
        <v>263.44996818181818</v>
      </c>
      <c r="BY64" s="322">
        <f>'Level Calculation Drone Survey'!$Z476</f>
        <v>263.44996818181818</v>
      </c>
      <c r="BZ64" s="322">
        <f>'Level Calculation Drone Survey'!$Z476</f>
        <v>263.44996818181818</v>
      </c>
      <c r="CA64" s="322">
        <f>'Level Calculation Drone Survey'!$Z476</f>
        <v>263.44996818181818</v>
      </c>
      <c r="CB64" s="324">
        <f>'Level Calculation Drone Survey'!$Z476</f>
        <v>263.44996818181818</v>
      </c>
      <c r="CC64" s="279">
        <f>'Level Calculation Drone Survey'!$Z157</f>
        <v>263.33540476190467</v>
      </c>
      <c r="CD64" s="279">
        <f>'Level Calculation Drone Survey'!$Z157</f>
        <v>263.33540476190467</v>
      </c>
      <c r="CE64" s="279">
        <f>'Level Calculation Drone Survey'!$Z157</f>
        <v>263.33540476190467</v>
      </c>
      <c r="CF64" s="279">
        <f>'Level Calculation Drone Survey'!$Z157</f>
        <v>263.33540476190467</v>
      </c>
      <c r="CG64" s="279">
        <f>'Level Calculation Drone Survey'!$Z157</f>
        <v>263.33540476190467</v>
      </c>
      <c r="CH64" s="279">
        <f>'Level Calculation Drone Survey'!$Z157</f>
        <v>263.33540476190467</v>
      </c>
      <c r="CI64" s="279">
        <f>'Level Calculation Drone Survey'!$Z157</f>
        <v>263.33540476190467</v>
      </c>
      <c r="CJ64" s="279">
        <f>'Level Calculation Drone Survey'!$Z157</f>
        <v>263.33540476190467</v>
      </c>
      <c r="CK64" s="279">
        <f>'Level Calculation Drone Survey'!$Z157</f>
        <v>263.33540476190467</v>
      </c>
      <c r="CL64" s="279">
        <f>'Level Calculation Drone Survey'!$Z157</f>
        <v>263.33540476190467</v>
      </c>
      <c r="CM64" s="279">
        <f>'Level Calculation Drone Survey'!$Z157</f>
        <v>263.33540476190467</v>
      </c>
      <c r="CN64" s="279">
        <f>'Level Calculation Drone Survey'!$Z157</f>
        <v>263.33540476190467</v>
      </c>
      <c r="CO64" s="279">
        <f>'Level Calculation Drone Survey'!$Z157</f>
        <v>263.33540476190467</v>
      </c>
      <c r="CP64" s="279">
        <f>'Level Calculation Drone Survey'!$Z157</f>
        <v>263.33540476190467</v>
      </c>
      <c r="CQ64" s="279">
        <f>'Level Calculation Drone Survey'!$Z157</f>
        <v>263.33540476190467</v>
      </c>
      <c r="CR64" s="279">
        <f>'Level Calculation Drone Survey'!$Z157</f>
        <v>263.33540476190467</v>
      </c>
      <c r="CS64" s="279">
        <f>'Level Calculation Drone Survey'!$Z157</f>
        <v>263.33540476190467</v>
      </c>
      <c r="CT64" s="279">
        <f>'Level Calculation Drone Survey'!$Z157</f>
        <v>263.33540476190467</v>
      </c>
      <c r="CU64" s="279">
        <f>'Level Calculation Drone Survey'!$Z157</f>
        <v>263.33540476190467</v>
      </c>
      <c r="CV64" s="279">
        <f>'Level Calculation Drone Survey'!$Z157</f>
        <v>263.33540476190467</v>
      </c>
      <c r="CW64" s="279">
        <f>'Level Calculation Drone Survey'!$Z157</f>
        <v>263.33540476190467</v>
      </c>
      <c r="CX64" s="316">
        <f>'Level Calculation Drone Survey'!$Z541</f>
        <v>263.09016666666651</v>
      </c>
      <c r="CY64" s="279">
        <f>'Level Calculation Drone Survey'!$Z136</f>
        <v>263.14016666666652</v>
      </c>
      <c r="CZ64" s="279">
        <f>'Level Calculation Drone Survey'!$Z136</f>
        <v>263.14016666666652</v>
      </c>
      <c r="DA64" s="279">
        <f>'Level Calculation Drone Survey'!$Z136</f>
        <v>263.14016666666652</v>
      </c>
      <c r="DB64" s="279">
        <f>'Level Calculation Drone Survey'!$Z136</f>
        <v>263.14016666666652</v>
      </c>
      <c r="DC64" s="279">
        <f>'Level Calculation Drone Survey'!$Z136</f>
        <v>263.14016666666652</v>
      </c>
      <c r="DD64" s="279">
        <f>'Level Calculation Drone Survey'!$Z136</f>
        <v>263.14016666666652</v>
      </c>
      <c r="DE64" s="279">
        <f>'Level Calculation Drone Survey'!$Z136</f>
        <v>263.14016666666652</v>
      </c>
      <c r="DF64" s="279">
        <f>'Level Calculation Drone Survey'!$Z136</f>
        <v>263.14016666666652</v>
      </c>
      <c r="DG64" s="279">
        <f>'Level Calculation Drone Survey'!$Z136</f>
        <v>263.14016666666652</v>
      </c>
      <c r="DH64" s="279">
        <f>'Level Calculation Drone Survey'!$Z136</f>
        <v>263.14016666666652</v>
      </c>
      <c r="DI64" s="279">
        <f>'Level Calculation Drone Survey'!$Z136</f>
        <v>263.14016666666652</v>
      </c>
      <c r="DJ64" s="279">
        <f>'Level Calculation Drone Survey'!$Z136</f>
        <v>263.14016666666652</v>
      </c>
      <c r="DK64" s="279">
        <f>'Level Calculation Drone Survey'!$Z136</f>
        <v>263.14016666666652</v>
      </c>
      <c r="DL64" s="279">
        <f>'Level Calculation Drone Survey'!$Z136</f>
        <v>263.14016666666652</v>
      </c>
      <c r="DM64" s="279">
        <f>'Level Calculation Drone Survey'!$Z136</f>
        <v>263.14016666666652</v>
      </c>
      <c r="DN64" s="279">
        <f>'Level Calculation Drone Survey'!$Z136</f>
        <v>263.14016666666652</v>
      </c>
      <c r="DO64" s="279">
        <f>'Level Calculation Drone Survey'!$Z136</f>
        <v>263.14016666666652</v>
      </c>
      <c r="DP64" s="279">
        <f>'Level Calculation Drone Survey'!$Z136</f>
        <v>263.14016666666652</v>
      </c>
      <c r="DQ64" s="279">
        <f>'Level Calculation Drone Survey'!$Z136</f>
        <v>263.14016666666652</v>
      </c>
      <c r="DR64" s="279">
        <f>'Level Calculation Drone Survey'!$Z136</f>
        <v>263.14016666666652</v>
      </c>
      <c r="DS64" s="279">
        <f>'Level Calculation Drone Survey'!$Z136</f>
        <v>263.14016666666652</v>
      </c>
      <c r="DT64" s="305">
        <f>'Level Calculation Drone Survey'!$Z554</f>
        <v>263.09016666666651</v>
      </c>
      <c r="DU64" s="305">
        <f>'Level Calculation Drone Survey'!$Z554</f>
        <v>263.09016666666651</v>
      </c>
      <c r="DV64" s="305">
        <f>'Level Calculation Drone Survey'!$Z554</f>
        <v>263.09016666666651</v>
      </c>
      <c r="DW64" s="305">
        <f>'Level Calculation Drone Survey'!$Z554</f>
        <v>263.09016666666651</v>
      </c>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row>
    <row r="65" spans="1:155" ht="45" customHeight="1" x14ac:dyDescent="0.45">
      <c r="A65" s="277">
        <v>320</v>
      </c>
      <c r="B65" s="191"/>
      <c r="C65" s="191"/>
      <c r="D65" s="191"/>
      <c r="E65" s="305">
        <f>'Level Calculation Drone Survey'!$Z303</f>
        <v>263.6751444444443</v>
      </c>
      <c r="F65" s="305">
        <f>'Level Calculation Drone Survey'!$Z303</f>
        <v>263.6751444444443</v>
      </c>
      <c r="G65" s="305">
        <f>'Level Calculation Drone Survey'!$Z303</f>
        <v>263.6751444444443</v>
      </c>
      <c r="H65" s="279">
        <f>'Level Calculation Drone Survey'!$Z240</f>
        <v>263.77514444444432</v>
      </c>
      <c r="I65" s="279">
        <f>'Level Calculation Drone Survey'!$Z240</f>
        <v>263.77514444444432</v>
      </c>
      <c r="J65" s="279">
        <f>'Level Calculation Drone Survey'!$Z240</f>
        <v>263.77514444444432</v>
      </c>
      <c r="K65" s="279">
        <f>'Level Calculation Drone Survey'!$Z240</f>
        <v>263.77514444444432</v>
      </c>
      <c r="L65" s="279">
        <f>'Level Calculation Drone Survey'!$Z240</f>
        <v>263.77514444444432</v>
      </c>
      <c r="M65" s="279">
        <f>'Level Calculation Drone Survey'!$Z240</f>
        <v>263.77514444444432</v>
      </c>
      <c r="N65" s="279">
        <f>'Level Calculation Drone Survey'!$Z240</f>
        <v>263.77514444444432</v>
      </c>
      <c r="O65" s="279">
        <f>'Level Calculation Drone Survey'!$Z240</f>
        <v>263.77514444444432</v>
      </c>
      <c r="P65" s="279">
        <f>'Level Calculation Drone Survey'!$Z240</f>
        <v>263.77514444444432</v>
      </c>
      <c r="Q65" s="279">
        <f>'Level Calculation Drone Survey'!$Z240</f>
        <v>263.77514444444432</v>
      </c>
      <c r="R65" s="279">
        <f>'Level Calculation Drone Survey'!$Z240</f>
        <v>263.77514444444432</v>
      </c>
      <c r="S65" s="279">
        <f>'Level Calculation Drone Survey'!$Z240</f>
        <v>263.77514444444432</v>
      </c>
      <c r="T65" s="279">
        <f>'Level Calculation Drone Survey'!$Z240</f>
        <v>263.77514444444432</v>
      </c>
      <c r="U65" s="279">
        <f>'Level Calculation Drone Survey'!$Z240</f>
        <v>263.77514444444432</v>
      </c>
      <c r="V65" s="279">
        <f>'Level Calculation Drone Survey'!$Z240</f>
        <v>263.77514444444432</v>
      </c>
      <c r="W65" s="279">
        <f>'Level Calculation Drone Survey'!$Z240</f>
        <v>263.77514444444432</v>
      </c>
      <c r="X65" s="279">
        <f>'Level Calculation Drone Survey'!$Z240</f>
        <v>263.77514444444432</v>
      </c>
      <c r="Y65" s="279">
        <f>'Level Calculation Drone Survey'!$Z240</f>
        <v>263.77514444444432</v>
      </c>
      <c r="Z65" s="305">
        <f>'Level Calculation Drone Survey'!$Z344</f>
        <v>263.71484285714274</v>
      </c>
      <c r="AA65" s="279">
        <f>'Level Calculation Drone Survey'!$Z208</f>
        <v>263.91484285714273</v>
      </c>
      <c r="AB65" s="279">
        <f>'Level Calculation Drone Survey'!$Z208</f>
        <v>263.91484285714273</v>
      </c>
      <c r="AC65" s="279">
        <f>'Level Calculation Drone Survey'!$Z208</f>
        <v>263.91484285714273</v>
      </c>
      <c r="AD65" s="279">
        <f>'Level Calculation Drone Survey'!$Z208</f>
        <v>263.91484285714273</v>
      </c>
      <c r="AE65" s="279">
        <f>'Level Calculation Drone Survey'!$Z208</f>
        <v>263.91484285714273</v>
      </c>
      <c r="AF65" s="279">
        <f>'Level Calculation Drone Survey'!$Z208</f>
        <v>263.91484285714273</v>
      </c>
      <c r="AG65" s="279">
        <f>'Level Calculation Drone Survey'!$Z208</f>
        <v>263.91484285714273</v>
      </c>
      <c r="AH65" s="279">
        <f>'Level Calculation Drone Survey'!$Z208</f>
        <v>263.91484285714273</v>
      </c>
      <c r="AI65" s="279">
        <f>'Level Calculation Drone Survey'!$Z208</f>
        <v>263.91484285714273</v>
      </c>
      <c r="AJ65" s="279">
        <f>'Level Calculation Drone Survey'!$Z208</f>
        <v>263.91484285714273</v>
      </c>
      <c r="AK65" s="279">
        <f>'Level Calculation Drone Survey'!$Z208</f>
        <v>263.91484285714273</v>
      </c>
      <c r="AL65" s="279">
        <f>'Level Calculation Drone Survey'!$Z208</f>
        <v>263.91484285714273</v>
      </c>
      <c r="AM65" s="279">
        <f>'Level Calculation Drone Survey'!$Z208</f>
        <v>263.91484285714273</v>
      </c>
      <c r="AN65" s="279">
        <f>'Level Calculation Drone Survey'!$Z208</f>
        <v>263.91484285714273</v>
      </c>
      <c r="AO65" s="279">
        <f>'Level Calculation Drone Survey'!$Z208</f>
        <v>263.91484285714273</v>
      </c>
      <c r="AP65" s="279">
        <f>'Level Calculation Drone Survey'!$Z208</f>
        <v>263.91484285714273</v>
      </c>
      <c r="AQ65" s="279">
        <f>'Level Calculation Drone Survey'!$Z208</f>
        <v>263.91484285714273</v>
      </c>
      <c r="AR65" s="279">
        <f>'Level Calculation Drone Survey'!$Z208</f>
        <v>263.91484285714273</v>
      </c>
      <c r="AS65" s="279">
        <f>'Level Calculation Drone Survey'!$Z208</f>
        <v>263.91484285714273</v>
      </c>
      <c r="AT65" s="279">
        <f>'Level Calculation Drone Survey'!$Z208</f>
        <v>263.91484285714273</v>
      </c>
      <c r="AU65" s="279">
        <f>'Level Calculation Drone Survey'!$Z208</f>
        <v>263.91484285714273</v>
      </c>
      <c r="AV65" s="305">
        <f>'Level Calculation Drone Survey'!$Z395</f>
        <v>263.73484285714272</v>
      </c>
      <c r="AW65" s="305">
        <f>'Level Calculation Drone Survey'!$Z395</f>
        <v>263.73484285714272</v>
      </c>
      <c r="AX65" s="323">
        <f>'Level Calculation Drone Survey'!$Z417</f>
        <v>263.76475238095219</v>
      </c>
      <c r="AY65" s="323">
        <f>'Level Calculation Drone Survey'!$Z417</f>
        <v>263.76475238095219</v>
      </c>
      <c r="AZ65" s="323">
        <f>'Level Calculation Drone Survey'!$Z417</f>
        <v>263.76475238095219</v>
      </c>
      <c r="BA65" s="323">
        <f>'Level Calculation Drone Survey'!$Z417</f>
        <v>263.76475238095219</v>
      </c>
      <c r="BB65" s="323">
        <f>'Level Calculation Drone Survey'!$Z417</f>
        <v>263.76475238095219</v>
      </c>
      <c r="BC65" s="323">
        <f>'Level Calculation Drone Survey'!$Z417</f>
        <v>263.76475238095219</v>
      </c>
      <c r="BD65" s="323">
        <f>'Level Calculation Drone Survey'!$Z417</f>
        <v>263.76475238095219</v>
      </c>
      <c r="BE65" s="323">
        <f>'Level Calculation Drone Survey'!$Z417</f>
        <v>263.76475238095219</v>
      </c>
      <c r="BF65" s="323">
        <f>'Level Calculation Drone Survey'!$Z417</f>
        <v>263.76475238095219</v>
      </c>
      <c r="BG65" s="323">
        <f>'Level Calculation Drone Survey'!$Z417</f>
        <v>263.76475238095219</v>
      </c>
      <c r="BH65" s="323">
        <f>'Level Calculation Drone Survey'!$Z417</f>
        <v>263.76475238095219</v>
      </c>
      <c r="BI65" s="323">
        <f>'Level Calculation Drone Survey'!$Z417</f>
        <v>263.76475238095219</v>
      </c>
      <c r="BJ65" s="323">
        <f>'Level Calculation Drone Survey'!$Z417</f>
        <v>263.76475238095219</v>
      </c>
      <c r="BK65" s="323">
        <f>'Level Calculation Drone Survey'!$Z417</f>
        <v>263.76475238095219</v>
      </c>
      <c r="BL65" s="323">
        <f>'Level Calculation Drone Survey'!$Z417</f>
        <v>263.76475238095219</v>
      </c>
      <c r="BM65" s="323">
        <f>'Level Calculation Drone Survey'!$Z417</f>
        <v>263.76475238095219</v>
      </c>
      <c r="BN65" s="323">
        <f>'Level Calculation Drone Survey'!$Z417</f>
        <v>263.76475238095219</v>
      </c>
      <c r="BO65" s="323">
        <f>'Level Calculation Drone Survey'!$Z417</f>
        <v>263.76475238095219</v>
      </c>
      <c r="BP65" s="323">
        <f>'Level Calculation Drone Survey'!$Z417</f>
        <v>263.76475238095219</v>
      </c>
      <c r="BQ65" s="323">
        <f>'Level Calculation Drone Survey'!$Z417</f>
        <v>263.76475238095219</v>
      </c>
      <c r="BR65" s="323">
        <f>'Level Calculation Drone Survey'!$Z417</f>
        <v>263.76475238095219</v>
      </c>
      <c r="BS65" s="313">
        <f>'Level Calculation Drone Survey'!$Z477</f>
        <v>263.44996818181818</v>
      </c>
      <c r="BT65" s="322">
        <f>'Level Calculation Drone Survey'!$Z477</f>
        <v>263.44996818181818</v>
      </c>
      <c r="BU65" s="322">
        <f>'Level Calculation Drone Survey'!$Z477</f>
        <v>263.44996818181818</v>
      </c>
      <c r="BV65" s="322">
        <f>'Level Calculation Drone Survey'!$Z477</f>
        <v>263.44996818181818</v>
      </c>
      <c r="BW65" s="322">
        <f>'Level Calculation Drone Survey'!$Z477</f>
        <v>263.44996818181818</v>
      </c>
      <c r="BX65" s="322">
        <f>'Level Calculation Drone Survey'!$Z477</f>
        <v>263.44996818181818</v>
      </c>
      <c r="BY65" s="322">
        <f>'Level Calculation Drone Survey'!$Z477</f>
        <v>263.44996818181818</v>
      </c>
      <c r="BZ65" s="322">
        <f>'Level Calculation Drone Survey'!$Z477</f>
        <v>263.44996818181818</v>
      </c>
      <c r="CA65" s="322">
        <f>'Level Calculation Drone Survey'!$Z477</f>
        <v>263.44996818181818</v>
      </c>
      <c r="CB65" s="305">
        <f>'Level Calculation Drone Survey'!$Z477</f>
        <v>263.44996818181818</v>
      </c>
      <c r="CC65" s="313">
        <f>'Level Calculation Drone Survey'!$Z481</f>
        <v>263.23540476190465</v>
      </c>
      <c r="CD65" s="313">
        <f>'Level Calculation Drone Survey'!$Z481</f>
        <v>263.23540476190465</v>
      </c>
      <c r="CE65" s="313">
        <f>'Level Calculation Drone Survey'!$Z481</f>
        <v>263.23540476190465</v>
      </c>
      <c r="CF65" s="313">
        <f>'Level Calculation Drone Survey'!$Z481</f>
        <v>263.23540476190465</v>
      </c>
      <c r="CG65" s="313">
        <f>'Level Calculation Drone Survey'!$Z481</f>
        <v>263.23540476190465</v>
      </c>
      <c r="CH65" s="313">
        <f>'Level Calculation Drone Survey'!$Z481</f>
        <v>263.23540476190465</v>
      </c>
      <c r="CI65" s="313">
        <f>'Level Calculation Drone Survey'!$Z481</f>
        <v>263.23540476190465</v>
      </c>
      <c r="CJ65" s="313">
        <f>'Level Calculation Drone Survey'!$Z481</f>
        <v>263.23540476190465</v>
      </c>
      <c r="CK65" s="313">
        <f>'Level Calculation Drone Survey'!$Z481</f>
        <v>263.23540476190465</v>
      </c>
      <c r="CL65" s="313">
        <f>'Level Calculation Drone Survey'!$Z481</f>
        <v>263.23540476190465</v>
      </c>
      <c r="CM65" s="313">
        <f>'Level Calculation Drone Survey'!$Z481</f>
        <v>263.23540476190465</v>
      </c>
      <c r="CN65" s="313">
        <f>'Level Calculation Drone Survey'!$Z481</f>
        <v>263.23540476190465</v>
      </c>
      <c r="CO65" s="313">
        <f>'Level Calculation Drone Survey'!$Z481</f>
        <v>263.23540476190465</v>
      </c>
      <c r="CP65" s="313">
        <f>'Level Calculation Drone Survey'!$Z481</f>
        <v>263.23540476190465</v>
      </c>
      <c r="CQ65" s="305">
        <f>'Level Calculation Drone Survey'!$Z501</f>
        <v>263.09016666666651</v>
      </c>
      <c r="CR65" s="305">
        <f>'Level Calculation Drone Survey'!$Z501</f>
        <v>263.09016666666651</v>
      </c>
      <c r="CS65" s="305">
        <f>'Level Calculation Drone Survey'!$Z501</f>
        <v>263.09016666666651</v>
      </c>
      <c r="CT65" s="305">
        <f>'Level Calculation Drone Survey'!$Z501</f>
        <v>263.09016666666651</v>
      </c>
      <c r="CU65" s="305">
        <f>'Level Calculation Drone Survey'!$Z501</f>
        <v>263.09016666666651</v>
      </c>
      <c r="CV65" s="305">
        <f>'Level Calculation Drone Survey'!$Z501</f>
        <v>263.09016666666651</v>
      </c>
      <c r="CW65" s="305">
        <f>'Level Calculation Drone Survey'!$Z501</f>
        <v>263.09016666666651</v>
      </c>
      <c r="CX65" s="305">
        <f>'Level Calculation Drone Survey'!$Z501</f>
        <v>263.09016666666651</v>
      </c>
      <c r="CY65" s="305">
        <f>'Level Calculation Drone Survey'!$Z501</f>
        <v>263.09016666666651</v>
      </c>
      <c r="CZ65" s="305">
        <f>'Level Calculation Drone Survey'!$Z501</f>
        <v>263.09016666666651</v>
      </c>
      <c r="DA65" s="305">
        <f>'Level Calculation Drone Survey'!$Z501</f>
        <v>263.09016666666651</v>
      </c>
      <c r="DB65" s="305">
        <f>'Level Calculation Drone Survey'!$Z501</f>
        <v>263.09016666666651</v>
      </c>
      <c r="DC65" s="305">
        <f>'Level Calculation Drone Survey'!$Z501</f>
        <v>263.09016666666651</v>
      </c>
      <c r="DD65" s="305">
        <f>'Level Calculation Drone Survey'!$Z501</f>
        <v>263.09016666666651</v>
      </c>
      <c r="DE65" s="305">
        <f>'Level Calculation Drone Survey'!$Z501</f>
        <v>263.09016666666651</v>
      </c>
      <c r="DF65" s="305">
        <f>'Level Calculation Drone Survey'!$Z501</f>
        <v>263.09016666666651</v>
      </c>
      <c r="DG65" s="305">
        <f>'Level Calculation Drone Survey'!$Z501</f>
        <v>263.09016666666651</v>
      </c>
      <c r="DH65" s="305">
        <f>'Level Calculation Drone Survey'!$Z501</f>
        <v>263.09016666666651</v>
      </c>
      <c r="DI65" s="305">
        <f>'Level Calculation Drone Survey'!$Z501</f>
        <v>263.09016666666651</v>
      </c>
      <c r="DJ65" s="305">
        <f>'Level Calculation Drone Survey'!$Z501</f>
        <v>263.09016666666651</v>
      </c>
      <c r="DK65" s="305">
        <f>'Level Calculation Drone Survey'!$Z501</f>
        <v>263.09016666666651</v>
      </c>
      <c r="DL65" s="313">
        <f>'Level Calculation Drone Survey'!$Z506</f>
        <v>263.29952380952392</v>
      </c>
      <c r="DM65" s="313">
        <f>'Level Calculation Drone Survey'!$Z506</f>
        <v>263.29952380952392</v>
      </c>
      <c r="DN65" s="313">
        <f>'Level Calculation Drone Survey'!$Z506</f>
        <v>263.29952380952392</v>
      </c>
      <c r="DO65" s="313">
        <f>'Level Calculation Drone Survey'!$Z506</f>
        <v>263.29952380952392</v>
      </c>
      <c r="DP65" s="313">
        <f>'Level Calculation Drone Survey'!$Z506</f>
        <v>263.29952380952392</v>
      </c>
      <c r="DQ65" s="313">
        <f>'Level Calculation Drone Survey'!$Z506</f>
        <v>263.29952380952392</v>
      </c>
      <c r="DR65" s="313">
        <f>'Level Calculation Drone Survey'!$Z506</f>
        <v>263.29952380952392</v>
      </c>
      <c r="DS65" s="313">
        <f>'Level Calculation Drone Survey'!$Z506</f>
        <v>263.29952380952392</v>
      </c>
      <c r="DT65" s="313">
        <f>'Level Calculation Drone Survey'!$Z506</f>
        <v>263.29952380952392</v>
      </c>
      <c r="DU65" s="313">
        <f>'Level Calculation Drone Survey'!$Z506</f>
        <v>263.29952380952392</v>
      </c>
      <c r="DV65" s="313">
        <f>'Level Calculation Drone Survey'!$Z506</f>
        <v>263.29952380952392</v>
      </c>
      <c r="DW65" s="313">
        <f>'Level Calculation Drone Survey'!$Z506</f>
        <v>263.29952380952392</v>
      </c>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row>
    <row r="66" spans="1:155" ht="45" customHeight="1" x14ac:dyDescent="0.45">
      <c r="A66" s="277">
        <v>325</v>
      </c>
      <c r="B66" s="191"/>
      <c r="C66" s="191"/>
      <c r="D66" s="191"/>
      <c r="E66" s="305">
        <f>'Level Calculation Drone Survey'!$Z304</f>
        <v>263.72514444444431</v>
      </c>
      <c r="F66" s="305">
        <f>'Level Calculation Drone Survey'!$Z304</f>
        <v>263.72514444444431</v>
      </c>
      <c r="G66" s="305">
        <f>'Level Calculation Drone Survey'!$Z304</f>
        <v>263.72514444444431</v>
      </c>
      <c r="H66" s="279">
        <f>'Level Calculation Drone Survey'!$Z241</f>
        <v>263.82514444444433</v>
      </c>
      <c r="I66" s="279">
        <f>'Level Calculation Drone Survey'!$Z241</f>
        <v>263.82514444444433</v>
      </c>
      <c r="J66" s="279">
        <f>'Level Calculation Drone Survey'!$Z241</f>
        <v>263.82514444444433</v>
      </c>
      <c r="K66" s="279">
        <f>'Level Calculation Drone Survey'!$Z241</f>
        <v>263.82514444444433</v>
      </c>
      <c r="L66" s="279">
        <f>'Level Calculation Drone Survey'!$Z241</f>
        <v>263.82514444444433</v>
      </c>
      <c r="M66" s="279">
        <f>'Level Calculation Drone Survey'!$Z241</f>
        <v>263.82514444444433</v>
      </c>
      <c r="N66" s="279">
        <f>'Level Calculation Drone Survey'!$Z241</f>
        <v>263.82514444444433</v>
      </c>
      <c r="O66" s="279">
        <f>'Level Calculation Drone Survey'!$Z241</f>
        <v>263.82514444444433</v>
      </c>
      <c r="P66" s="279">
        <f>'Level Calculation Drone Survey'!$Z241</f>
        <v>263.82514444444433</v>
      </c>
      <c r="Q66" s="279">
        <f>'Level Calculation Drone Survey'!$Z241</f>
        <v>263.82514444444433</v>
      </c>
      <c r="R66" s="279">
        <f>'Level Calculation Drone Survey'!$Z241</f>
        <v>263.82514444444433</v>
      </c>
      <c r="S66" s="279">
        <f>'Level Calculation Drone Survey'!$Z241</f>
        <v>263.82514444444433</v>
      </c>
      <c r="T66" s="279">
        <f>'Level Calculation Drone Survey'!$Z241</f>
        <v>263.82514444444433</v>
      </c>
      <c r="U66" s="279">
        <f>'Level Calculation Drone Survey'!$Z241</f>
        <v>263.82514444444433</v>
      </c>
      <c r="V66" s="279">
        <f>'Level Calculation Drone Survey'!$Z241</f>
        <v>263.82514444444433</v>
      </c>
      <c r="W66" s="279">
        <f>'Level Calculation Drone Survey'!$Z241</f>
        <v>263.82514444444433</v>
      </c>
      <c r="X66" s="279">
        <f>'Level Calculation Drone Survey'!$Z241</f>
        <v>263.82514444444433</v>
      </c>
      <c r="Y66" s="279">
        <f>'Level Calculation Drone Survey'!$Z241</f>
        <v>263.82514444444433</v>
      </c>
      <c r="Z66" s="305">
        <f>'Level Calculation Drone Survey'!$Z345</f>
        <v>263.76484285714275</v>
      </c>
      <c r="AA66" s="279">
        <f>'Level Calculation Drone Survey'!$Z209</f>
        <v>263.96484285714274</v>
      </c>
      <c r="AB66" s="279">
        <f>'Level Calculation Drone Survey'!$Z209</f>
        <v>263.96484285714274</v>
      </c>
      <c r="AC66" s="279">
        <f>'Level Calculation Drone Survey'!$Z209</f>
        <v>263.96484285714274</v>
      </c>
      <c r="AD66" s="279">
        <f>'Level Calculation Drone Survey'!$Z209</f>
        <v>263.96484285714274</v>
      </c>
      <c r="AE66" s="279">
        <f>'Level Calculation Drone Survey'!$Z209</f>
        <v>263.96484285714274</v>
      </c>
      <c r="AF66" s="279">
        <f>'Level Calculation Drone Survey'!$Z209</f>
        <v>263.96484285714274</v>
      </c>
      <c r="AG66" s="279">
        <f>'Level Calculation Drone Survey'!$Z209</f>
        <v>263.96484285714274</v>
      </c>
      <c r="AH66" s="279">
        <f>'Level Calculation Drone Survey'!$Z209</f>
        <v>263.96484285714274</v>
      </c>
      <c r="AI66" s="279">
        <f>'Level Calculation Drone Survey'!$Z209</f>
        <v>263.96484285714274</v>
      </c>
      <c r="AJ66" s="279">
        <f>'Level Calculation Drone Survey'!$Z209</f>
        <v>263.96484285714274</v>
      </c>
      <c r="AK66" s="279">
        <f>'Level Calculation Drone Survey'!$Z209</f>
        <v>263.96484285714274</v>
      </c>
      <c r="AL66" s="279">
        <f>'Level Calculation Drone Survey'!$Z209</f>
        <v>263.96484285714274</v>
      </c>
      <c r="AM66" s="279">
        <f>'Level Calculation Drone Survey'!$Z209</f>
        <v>263.96484285714274</v>
      </c>
      <c r="AN66" s="279">
        <f>'Level Calculation Drone Survey'!$Z209</f>
        <v>263.96484285714274</v>
      </c>
      <c r="AO66" s="279">
        <f>'Level Calculation Drone Survey'!$Z209</f>
        <v>263.96484285714274</v>
      </c>
      <c r="AP66" s="279">
        <f>'Level Calculation Drone Survey'!$Z209</f>
        <v>263.96484285714274</v>
      </c>
      <c r="AQ66" s="279">
        <f>'Level Calculation Drone Survey'!$Z209</f>
        <v>263.96484285714274</v>
      </c>
      <c r="AR66" s="279">
        <f>'Level Calculation Drone Survey'!$Z209</f>
        <v>263.96484285714274</v>
      </c>
      <c r="AS66" s="279">
        <f>'Level Calculation Drone Survey'!$Z209</f>
        <v>263.96484285714274</v>
      </c>
      <c r="AT66" s="279">
        <f>'Level Calculation Drone Survey'!$Z209</f>
        <v>263.96484285714274</v>
      </c>
      <c r="AU66" s="279">
        <f>'Level Calculation Drone Survey'!$Z209</f>
        <v>263.96484285714274</v>
      </c>
      <c r="AV66" s="305">
        <f>'Level Calculation Drone Survey'!$Z396</f>
        <v>263.7648428571427</v>
      </c>
      <c r="AW66" s="305">
        <f>'Level Calculation Drone Survey'!$Z396</f>
        <v>263.7648428571427</v>
      </c>
      <c r="AX66" s="312">
        <f>'Level Calculation Drone Survey'!$Z418</f>
        <v>263.76475238095219</v>
      </c>
      <c r="AY66" s="312">
        <f>'Level Calculation Drone Survey'!$Z418</f>
        <v>263.76475238095219</v>
      </c>
      <c r="AZ66" s="312">
        <f>'Level Calculation Drone Survey'!$Z418</f>
        <v>263.76475238095219</v>
      </c>
      <c r="BA66" s="312">
        <f>'Level Calculation Drone Survey'!$Z418</f>
        <v>263.76475238095219</v>
      </c>
      <c r="BB66" s="312">
        <f>'Level Calculation Drone Survey'!$Z418</f>
        <v>263.76475238095219</v>
      </c>
      <c r="BC66" s="312">
        <f>'Level Calculation Drone Survey'!$Z418</f>
        <v>263.76475238095219</v>
      </c>
      <c r="BD66" s="312">
        <f>'Level Calculation Drone Survey'!$Z418</f>
        <v>263.76475238095219</v>
      </c>
      <c r="BE66" s="312">
        <f>'Level Calculation Drone Survey'!$Z418</f>
        <v>263.76475238095219</v>
      </c>
      <c r="BF66" s="312">
        <f>'Level Calculation Drone Survey'!$Z418</f>
        <v>263.76475238095219</v>
      </c>
      <c r="BG66" s="312">
        <f>'Level Calculation Drone Survey'!$Z418</f>
        <v>263.76475238095219</v>
      </c>
      <c r="BH66" s="312">
        <f>'Level Calculation Drone Survey'!$Z418</f>
        <v>263.76475238095219</v>
      </c>
      <c r="BI66" s="312">
        <f>'Level Calculation Drone Survey'!$Z418</f>
        <v>263.76475238095219</v>
      </c>
      <c r="BJ66" s="312">
        <f>'Level Calculation Drone Survey'!$Z418</f>
        <v>263.76475238095219</v>
      </c>
      <c r="BK66" s="312">
        <f>'Level Calculation Drone Survey'!$Z418</f>
        <v>263.76475238095219</v>
      </c>
      <c r="BL66" s="312">
        <f>'Level Calculation Drone Survey'!$Z418</f>
        <v>263.76475238095219</v>
      </c>
      <c r="BM66" s="312">
        <f>'Level Calculation Drone Survey'!$Z418</f>
        <v>263.76475238095219</v>
      </c>
      <c r="BN66" s="312">
        <f>'Level Calculation Drone Survey'!$Z418</f>
        <v>263.76475238095219</v>
      </c>
      <c r="BO66" s="312">
        <f>'Level Calculation Drone Survey'!$Z418</f>
        <v>263.76475238095219</v>
      </c>
      <c r="BP66" s="312">
        <f>'Level Calculation Drone Survey'!$Z418</f>
        <v>263.76475238095219</v>
      </c>
      <c r="BQ66" s="312">
        <f>'Level Calculation Drone Survey'!$Z418</f>
        <v>263.76475238095219</v>
      </c>
      <c r="BR66" s="312">
        <f>'Level Calculation Drone Survey'!$Z418</f>
        <v>263.76475238095219</v>
      </c>
      <c r="BS66" s="313">
        <f>'Level Calculation Drone Survey'!$Z478</f>
        <v>263.44996818181818</v>
      </c>
      <c r="BT66" s="305">
        <f>'Level Calculation Drone Survey'!$Z478</f>
        <v>263.44996818181818</v>
      </c>
      <c r="BU66" s="305">
        <f>'Level Calculation Drone Survey'!$Z478</f>
        <v>263.44996818181818</v>
      </c>
      <c r="BV66" s="305">
        <f>'Level Calculation Drone Survey'!$Z478</f>
        <v>263.44996818181818</v>
      </c>
      <c r="BW66" s="305">
        <f>'Level Calculation Drone Survey'!$Z478</f>
        <v>263.44996818181818</v>
      </c>
      <c r="BX66" s="305">
        <f>'Level Calculation Drone Survey'!$Z478</f>
        <v>263.44996818181818</v>
      </c>
      <c r="BY66" s="305">
        <f>'Level Calculation Drone Survey'!$Z478</f>
        <v>263.44996818181818</v>
      </c>
      <c r="BZ66" s="305">
        <f>'Level Calculation Drone Survey'!$Z478</f>
        <v>263.44996818181818</v>
      </c>
      <c r="CA66" s="305">
        <f>'Level Calculation Drone Survey'!$Z478</f>
        <v>263.44996818181818</v>
      </c>
      <c r="CB66" s="305">
        <f>'Level Calculation Drone Survey'!$Z478</f>
        <v>263.44996818181818</v>
      </c>
      <c r="CC66" s="313">
        <f>'Level Calculation Drone Survey'!$Z482</f>
        <v>263.23540476190465</v>
      </c>
      <c r="CD66" s="313">
        <f>'Level Calculation Drone Survey'!$Z482</f>
        <v>263.23540476190465</v>
      </c>
      <c r="CE66" s="313">
        <f>'Level Calculation Drone Survey'!$Z482</f>
        <v>263.23540476190465</v>
      </c>
      <c r="CF66" s="313">
        <f>'Level Calculation Drone Survey'!$Z482</f>
        <v>263.23540476190465</v>
      </c>
      <c r="CG66" s="313">
        <f>'Level Calculation Drone Survey'!$Z482</f>
        <v>263.23540476190465</v>
      </c>
      <c r="CH66" s="313">
        <f>'Level Calculation Drone Survey'!$Z482</f>
        <v>263.23540476190465</v>
      </c>
      <c r="CI66" s="313">
        <f>'Level Calculation Drone Survey'!$Z482</f>
        <v>263.23540476190465</v>
      </c>
      <c r="CJ66" s="313">
        <f>'Level Calculation Drone Survey'!$Z482</f>
        <v>263.23540476190465</v>
      </c>
      <c r="CK66" s="313">
        <f>'Level Calculation Drone Survey'!$Z482</f>
        <v>263.23540476190465</v>
      </c>
      <c r="CL66" s="313">
        <f>'Level Calculation Drone Survey'!$Z482</f>
        <v>263.23540476190465</v>
      </c>
      <c r="CM66" s="313">
        <f>'Level Calculation Drone Survey'!$Z482</f>
        <v>263.23540476190465</v>
      </c>
      <c r="CN66" s="313">
        <f>'Level Calculation Drone Survey'!$Z482</f>
        <v>263.23540476190465</v>
      </c>
      <c r="CO66" s="313">
        <f>'Level Calculation Drone Survey'!$Z482</f>
        <v>263.23540476190465</v>
      </c>
      <c r="CP66" s="313">
        <f>'Level Calculation Drone Survey'!$Z482</f>
        <v>263.23540476190465</v>
      </c>
      <c r="CQ66" s="279">
        <f>'Level Calculation Drone Survey'!$Z173</f>
        <v>263.31452380952391</v>
      </c>
      <c r="CR66" s="279">
        <f>'Level Calculation Drone Survey'!$Z173</f>
        <v>263.31452380952391</v>
      </c>
      <c r="CS66" s="279">
        <f>'Level Calculation Drone Survey'!$Z173</f>
        <v>263.31452380952391</v>
      </c>
      <c r="CT66" s="279">
        <f>'Level Calculation Drone Survey'!$Z173</f>
        <v>263.31452380952391</v>
      </c>
      <c r="CU66" s="279">
        <f>'Level Calculation Drone Survey'!$Z173</f>
        <v>263.31452380952391</v>
      </c>
      <c r="CV66" s="279">
        <f>'Level Calculation Drone Survey'!$Z173</f>
        <v>263.31452380952391</v>
      </c>
      <c r="CW66" s="279">
        <f>'Level Calculation Drone Survey'!$Z173</f>
        <v>263.31452380952391</v>
      </c>
      <c r="CX66" s="279">
        <f>'Level Calculation Drone Survey'!$Z173</f>
        <v>263.31452380952391</v>
      </c>
      <c r="CY66" s="279">
        <f>'Level Calculation Drone Survey'!$Z173</f>
        <v>263.31452380952391</v>
      </c>
      <c r="CZ66" s="279">
        <f>'Level Calculation Drone Survey'!$Z173</f>
        <v>263.31452380952391</v>
      </c>
      <c r="DA66" s="279">
        <f>'Level Calculation Drone Survey'!$Z173</f>
        <v>263.31452380952391</v>
      </c>
      <c r="DB66" s="279">
        <f>'Level Calculation Drone Survey'!$Z173</f>
        <v>263.31452380952391</v>
      </c>
      <c r="DC66" s="279">
        <f>'Level Calculation Drone Survey'!$Z173</f>
        <v>263.31452380952391</v>
      </c>
      <c r="DD66" s="279">
        <f>'Level Calculation Drone Survey'!$Z173</f>
        <v>263.31452380952391</v>
      </c>
      <c r="DE66" s="279">
        <f>'Level Calculation Drone Survey'!$Z173</f>
        <v>263.31452380952391</v>
      </c>
      <c r="DF66" s="279">
        <f>'Level Calculation Drone Survey'!$Z173</f>
        <v>263.31452380952391</v>
      </c>
      <c r="DG66" s="279">
        <f>'Level Calculation Drone Survey'!$Z173</f>
        <v>263.31452380952391</v>
      </c>
      <c r="DH66" s="279">
        <f>'Level Calculation Drone Survey'!$Z173</f>
        <v>263.31452380952391</v>
      </c>
      <c r="DI66" s="279">
        <f>'Level Calculation Drone Survey'!$Z173</f>
        <v>263.31452380952391</v>
      </c>
      <c r="DJ66" s="279">
        <f>'Level Calculation Drone Survey'!$Z173</f>
        <v>263.31452380952391</v>
      </c>
      <c r="DK66" s="279">
        <f>'Level Calculation Drone Survey'!$Z173</f>
        <v>263.31452380952391</v>
      </c>
      <c r="DL66" s="313">
        <f>'Level Calculation Drone Survey'!$Z507</f>
        <v>263.29952380952392</v>
      </c>
      <c r="DM66" s="313">
        <f>'Level Calculation Drone Survey'!$Z507</f>
        <v>263.29952380952392</v>
      </c>
      <c r="DN66" s="313">
        <f>'Level Calculation Drone Survey'!$Z507</f>
        <v>263.29952380952392</v>
      </c>
      <c r="DO66" s="313">
        <f>'Level Calculation Drone Survey'!$Z507</f>
        <v>263.29952380952392</v>
      </c>
      <c r="DP66" s="313">
        <f>'Level Calculation Drone Survey'!$Z507</f>
        <v>263.29952380952392</v>
      </c>
      <c r="DQ66" s="313">
        <f>'Level Calculation Drone Survey'!$Z507</f>
        <v>263.29952380952392</v>
      </c>
      <c r="DR66" s="313">
        <f>'Level Calculation Drone Survey'!$Z507</f>
        <v>263.29952380952392</v>
      </c>
      <c r="DS66" s="313">
        <f>'Level Calculation Drone Survey'!$Z507</f>
        <v>263.29952380952392</v>
      </c>
      <c r="DT66" s="313">
        <f>'Level Calculation Drone Survey'!$Z507</f>
        <v>263.29952380952392</v>
      </c>
      <c r="DU66" s="313">
        <f>'Level Calculation Drone Survey'!$Z507</f>
        <v>263.29952380952392</v>
      </c>
      <c r="DV66" s="313">
        <f>'Level Calculation Drone Survey'!$Z507</f>
        <v>263.29952380952392</v>
      </c>
      <c r="DW66" s="313">
        <f>'Level Calculation Drone Survey'!$Z507</f>
        <v>263.29952380952392</v>
      </c>
      <c r="DX66" s="313">
        <f>'Level Calculation Drone Survey'!$Z507</f>
        <v>263.29952380952392</v>
      </c>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row>
    <row r="67" spans="1:155" ht="45" customHeight="1" x14ac:dyDescent="0.45">
      <c r="A67" s="277">
        <v>330</v>
      </c>
      <c r="B67" s="191"/>
      <c r="C67" s="191"/>
      <c r="D67" s="191"/>
      <c r="E67" s="305">
        <f>'Level Calculation Drone Survey'!$Z305</f>
        <v>263.77514444444432</v>
      </c>
      <c r="F67" s="305">
        <f>'Level Calculation Drone Survey'!$Z305</f>
        <v>263.77514444444432</v>
      </c>
      <c r="G67" s="305">
        <f>'Level Calculation Drone Survey'!$Z305</f>
        <v>263.77514444444432</v>
      </c>
      <c r="H67" s="279">
        <f>'Level Calculation Drone Survey'!$Z242</f>
        <v>263.87514444444435</v>
      </c>
      <c r="I67" s="279">
        <f>'Level Calculation Drone Survey'!$Z242</f>
        <v>263.87514444444435</v>
      </c>
      <c r="J67" s="279">
        <f>'Level Calculation Drone Survey'!$Z242</f>
        <v>263.87514444444435</v>
      </c>
      <c r="K67" s="279">
        <f>'Level Calculation Drone Survey'!$Z242</f>
        <v>263.87514444444435</v>
      </c>
      <c r="L67" s="279">
        <f>'Level Calculation Drone Survey'!$Z242</f>
        <v>263.87514444444435</v>
      </c>
      <c r="M67" s="279">
        <f>'Level Calculation Drone Survey'!$Z242</f>
        <v>263.87514444444435</v>
      </c>
      <c r="N67" s="279">
        <f>'Level Calculation Drone Survey'!$Z242</f>
        <v>263.87514444444435</v>
      </c>
      <c r="O67" s="279">
        <f>'Level Calculation Drone Survey'!$Z242</f>
        <v>263.87514444444435</v>
      </c>
      <c r="P67" s="279">
        <f>'Level Calculation Drone Survey'!$Z242</f>
        <v>263.87514444444435</v>
      </c>
      <c r="Q67" s="279">
        <f>'Level Calculation Drone Survey'!$Z242</f>
        <v>263.87514444444435</v>
      </c>
      <c r="R67" s="279">
        <f>'Level Calculation Drone Survey'!$Z242</f>
        <v>263.87514444444435</v>
      </c>
      <c r="S67" s="279">
        <f>'Level Calculation Drone Survey'!$Z242</f>
        <v>263.87514444444435</v>
      </c>
      <c r="T67" s="279">
        <f>'Level Calculation Drone Survey'!$Z242</f>
        <v>263.87514444444435</v>
      </c>
      <c r="U67" s="279">
        <f>'Level Calculation Drone Survey'!$Z242</f>
        <v>263.87514444444435</v>
      </c>
      <c r="V67" s="279">
        <f>'Level Calculation Drone Survey'!$Z242</f>
        <v>263.87514444444435</v>
      </c>
      <c r="W67" s="279">
        <f>'Level Calculation Drone Survey'!$Z242</f>
        <v>263.87514444444435</v>
      </c>
      <c r="X67" s="279">
        <f>'Level Calculation Drone Survey'!$Z242</f>
        <v>263.87514444444435</v>
      </c>
      <c r="Y67" s="279">
        <f>'Level Calculation Drone Survey'!$Z242</f>
        <v>263.87514444444435</v>
      </c>
      <c r="Z67" s="305">
        <f>'Level Calculation Drone Survey'!$Z346</f>
        <v>263.81484285714276</v>
      </c>
      <c r="AA67" s="279">
        <f>'Level Calculation Drone Survey'!$Z210</f>
        <v>264.01484285714275</v>
      </c>
      <c r="AB67" s="279">
        <f>'Level Calculation Drone Survey'!$Z210</f>
        <v>264.01484285714275</v>
      </c>
      <c r="AC67" s="279">
        <f>'Level Calculation Drone Survey'!$Z210</f>
        <v>264.01484285714275</v>
      </c>
      <c r="AD67" s="279">
        <f>'Level Calculation Drone Survey'!$Z210</f>
        <v>264.01484285714275</v>
      </c>
      <c r="AE67" s="279">
        <f>'Level Calculation Drone Survey'!$Z210</f>
        <v>264.01484285714275</v>
      </c>
      <c r="AF67" s="279">
        <f>'Level Calculation Drone Survey'!$Z210</f>
        <v>264.01484285714275</v>
      </c>
      <c r="AG67" s="279">
        <f>'Level Calculation Drone Survey'!$Z210</f>
        <v>264.01484285714275</v>
      </c>
      <c r="AH67" s="279">
        <f>'Level Calculation Drone Survey'!$Z210</f>
        <v>264.01484285714275</v>
      </c>
      <c r="AI67" s="279">
        <f>'Level Calculation Drone Survey'!$Z210</f>
        <v>264.01484285714275</v>
      </c>
      <c r="AJ67" s="279">
        <f>'Level Calculation Drone Survey'!$Z210</f>
        <v>264.01484285714275</v>
      </c>
      <c r="AK67" s="279">
        <f>'Level Calculation Drone Survey'!$Z210</f>
        <v>264.01484285714275</v>
      </c>
      <c r="AL67" s="279">
        <f>'Level Calculation Drone Survey'!$Z210</f>
        <v>264.01484285714275</v>
      </c>
      <c r="AM67" s="279">
        <f>'Level Calculation Drone Survey'!$Z210</f>
        <v>264.01484285714275</v>
      </c>
      <c r="AN67" s="279">
        <f>'Level Calculation Drone Survey'!$Z210</f>
        <v>264.01484285714275</v>
      </c>
      <c r="AO67" s="279">
        <f>'Level Calculation Drone Survey'!$Z210</f>
        <v>264.01484285714275</v>
      </c>
      <c r="AP67" s="279">
        <f>'Level Calculation Drone Survey'!$Z210</f>
        <v>264.01484285714275</v>
      </c>
      <c r="AQ67" s="279">
        <f>'Level Calculation Drone Survey'!$Z210</f>
        <v>264.01484285714275</v>
      </c>
      <c r="AR67" s="279">
        <f>'Level Calculation Drone Survey'!$Z210</f>
        <v>264.01484285714275</v>
      </c>
      <c r="AS67" s="279">
        <f>'Level Calculation Drone Survey'!$Z210</f>
        <v>264.01484285714275</v>
      </c>
      <c r="AT67" s="279">
        <f>'Level Calculation Drone Survey'!$Z210</f>
        <v>264.01484285714275</v>
      </c>
      <c r="AU67" s="279">
        <f>'Level Calculation Drone Survey'!$Z210</f>
        <v>264.01484285714275</v>
      </c>
      <c r="AV67" s="305">
        <f>'Level Calculation Drone Survey'!$Z397</f>
        <v>263.7648428571427</v>
      </c>
      <c r="AW67" s="305">
        <f>'Level Calculation Drone Survey'!$Z397</f>
        <v>263.7648428571427</v>
      </c>
      <c r="AX67" s="279">
        <f>'Level Calculation Drone Survey'!$Z192</f>
        <v>263.8147523809522</v>
      </c>
      <c r="AY67" s="279">
        <f>'Level Calculation Drone Survey'!$Z192</f>
        <v>263.8147523809522</v>
      </c>
      <c r="AZ67" s="279">
        <f>'Level Calculation Drone Survey'!$Z192</f>
        <v>263.8147523809522</v>
      </c>
      <c r="BA67" s="279">
        <f>'Level Calculation Drone Survey'!$Z192</f>
        <v>263.8147523809522</v>
      </c>
      <c r="BB67" s="279">
        <f>'Level Calculation Drone Survey'!$Z192</f>
        <v>263.8147523809522</v>
      </c>
      <c r="BC67" s="279">
        <f>'Level Calculation Drone Survey'!$Z192</f>
        <v>263.8147523809522</v>
      </c>
      <c r="BD67" s="279">
        <f>'Level Calculation Drone Survey'!$Z192</f>
        <v>263.8147523809522</v>
      </c>
      <c r="BE67" s="279">
        <f>'Level Calculation Drone Survey'!$Z192</f>
        <v>263.8147523809522</v>
      </c>
      <c r="BF67" s="279">
        <f>'Level Calculation Drone Survey'!$Z192</f>
        <v>263.8147523809522</v>
      </c>
      <c r="BG67" s="279">
        <f>'Level Calculation Drone Survey'!$Z192</f>
        <v>263.8147523809522</v>
      </c>
      <c r="BH67" s="279">
        <f>'Level Calculation Drone Survey'!$Z192</f>
        <v>263.8147523809522</v>
      </c>
      <c r="BI67" s="279">
        <f>'Level Calculation Drone Survey'!$Z192</f>
        <v>263.8147523809522</v>
      </c>
      <c r="BJ67" s="279">
        <f>'Level Calculation Drone Survey'!$Z192</f>
        <v>263.8147523809522</v>
      </c>
      <c r="BK67" s="279">
        <f>'Level Calculation Drone Survey'!$Z192</f>
        <v>263.8147523809522</v>
      </c>
      <c r="BL67" s="279">
        <f>'Level Calculation Drone Survey'!$Z192</f>
        <v>263.8147523809522</v>
      </c>
      <c r="BM67" s="279">
        <f>'Level Calculation Drone Survey'!$Z192</f>
        <v>263.8147523809522</v>
      </c>
      <c r="BN67" s="279">
        <f>'Level Calculation Drone Survey'!$Z192</f>
        <v>263.8147523809522</v>
      </c>
      <c r="BO67" s="279">
        <f>'Level Calculation Drone Survey'!$Z192</f>
        <v>263.8147523809522</v>
      </c>
      <c r="BP67" s="279">
        <f>'Level Calculation Drone Survey'!$Z192</f>
        <v>263.8147523809522</v>
      </c>
      <c r="BQ67" s="279">
        <f>'Level Calculation Drone Survey'!$Z192</f>
        <v>263.8147523809522</v>
      </c>
      <c r="BR67" s="279">
        <f>'Level Calculation Drone Survey'!$Z192</f>
        <v>263.8147523809522</v>
      </c>
      <c r="BS67" s="305">
        <f>'Level Calculation Drone Survey'!$Z443</f>
        <v>263.55996818181819</v>
      </c>
      <c r="BT67" s="279">
        <f>'Level Calculation Drone Survey'!$Z183</f>
        <v>263.55996818181819</v>
      </c>
      <c r="BU67" s="279">
        <f>'Level Calculation Drone Survey'!$Z183</f>
        <v>263.55996818181819</v>
      </c>
      <c r="BV67" s="279">
        <f>'Level Calculation Drone Survey'!$Z183</f>
        <v>263.55996818181819</v>
      </c>
      <c r="BW67" s="279">
        <f>'Level Calculation Drone Survey'!$Z183</f>
        <v>263.55996818181819</v>
      </c>
      <c r="BX67" s="279">
        <f>'Level Calculation Drone Survey'!$Z183</f>
        <v>263.55996818181819</v>
      </c>
      <c r="BY67" s="279">
        <f>'Level Calculation Drone Survey'!$Z183</f>
        <v>263.55996818181819</v>
      </c>
      <c r="BZ67" s="279">
        <f>'Level Calculation Drone Survey'!$Z183</f>
        <v>263.55996818181819</v>
      </c>
      <c r="CA67" s="279">
        <f>'Level Calculation Drone Survey'!$Z183</f>
        <v>263.55996818181819</v>
      </c>
      <c r="CB67" s="279">
        <f>'Level Calculation Drone Survey'!$Z183</f>
        <v>263.55996818181819</v>
      </c>
      <c r="CC67" s="279">
        <f>'Level Calculation Drone Survey'!$Z183</f>
        <v>263.55996818181819</v>
      </c>
      <c r="CD67" s="279">
        <f>'Level Calculation Drone Survey'!$Z183</f>
        <v>263.55996818181819</v>
      </c>
      <c r="CE67" s="279">
        <f>'Level Calculation Drone Survey'!$Z183</f>
        <v>263.55996818181819</v>
      </c>
      <c r="CF67" s="279">
        <f>'Level Calculation Drone Survey'!$Z183</f>
        <v>263.55996818181819</v>
      </c>
      <c r="CG67" s="279">
        <f>'Level Calculation Drone Survey'!$Z183</f>
        <v>263.55996818181819</v>
      </c>
      <c r="CH67" s="279">
        <f>'Level Calculation Drone Survey'!$Z183</f>
        <v>263.55996818181819</v>
      </c>
      <c r="CI67" s="279">
        <f>'Level Calculation Drone Survey'!$Z183</f>
        <v>263.55996818181819</v>
      </c>
      <c r="CJ67" s="279">
        <f>'Level Calculation Drone Survey'!$Z183</f>
        <v>263.55996818181819</v>
      </c>
      <c r="CK67" s="279">
        <f>'Level Calculation Drone Survey'!$Z183</f>
        <v>263.55996818181819</v>
      </c>
      <c r="CL67" s="279">
        <f>'Level Calculation Drone Survey'!$Z183</f>
        <v>263.55996818181819</v>
      </c>
      <c r="CM67" s="279">
        <f>'Level Calculation Drone Survey'!$Z183</f>
        <v>263.55996818181819</v>
      </c>
      <c r="CN67" s="279">
        <f>'Level Calculation Drone Survey'!$Z183</f>
        <v>263.55996818181819</v>
      </c>
      <c r="CO67" s="279">
        <f>'Level Calculation Drone Survey'!$Z183</f>
        <v>263.55996818181819</v>
      </c>
      <c r="CP67" s="312">
        <f>CP68-5/100</f>
        <v>263.34952380952393</v>
      </c>
      <c r="CQ67" s="279">
        <f>'Level Calculation Drone Survey'!$Z174</f>
        <v>263.36452380952392</v>
      </c>
      <c r="CR67" s="279">
        <f>'Level Calculation Drone Survey'!$Z174</f>
        <v>263.36452380952392</v>
      </c>
      <c r="CS67" s="279">
        <f>'Level Calculation Drone Survey'!$Z174</f>
        <v>263.36452380952392</v>
      </c>
      <c r="CT67" s="279">
        <f>'Level Calculation Drone Survey'!$Z174</f>
        <v>263.36452380952392</v>
      </c>
      <c r="CU67" s="279">
        <f>'Level Calculation Drone Survey'!$Z174</f>
        <v>263.36452380952392</v>
      </c>
      <c r="CV67" s="279">
        <f>'Level Calculation Drone Survey'!$Z174</f>
        <v>263.36452380952392</v>
      </c>
      <c r="CW67" s="279">
        <f>'Level Calculation Drone Survey'!$Z174</f>
        <v>263.36452380952392</v>
      </c>
      <c r="CX67" s="279">
        <f>'Level Calculation Drone Survey'!$Z174</f>
        <v>263.36452380952392</v>
      </c>
      <c r="CY67" s="279">
        <f>'Level Calculation Drone Survey'!$Z174</f>
        <v>263.36452380952392</v>
      </c>
      <c r="CZ67" s="279">
        <f>'Level Calculation Drone Survey'!$Z174</f>
        <v>263.36452380952392</v>
      </c>
      <c r="DA67" s="279">
        <f>'Level Calculation Drone Survey'!$Z174</f>
        <v>263.36452380952392</v>
      </c>
      <c r="DB67" s="279">
        <f>'Level Calculation Drone Survey'!$Z174</f>
        <v>263.36452380952392</v>
      </c>
      <c r="DC67" s="279">
        <f>'Level Calculation Drone Survey'!$Z174</f>
        <v>263.36452380952392</v>
      </c>
      <c r="DD67" s="279">
        <f>'Level Calculation Drone Survey'!$Z174</f>
        <v>263.36452380952392</v>
      </c>
      <c r="DE67" s="279">
        <f>'Level Calculation Drone Survey'!$Z174</f>
        <v>263.36452380952392</v>
      </c>
      <c r="DF67" s="279">
        <f>'Level Calculation Drone Survey'!$Z174</f>
        <v>263.36452380952392</v>
      </c>
      <c r="DG67" s="279">
        <f>'Level Calculation Drone Survey'!$Z174</f>
        <v>263.36452380952392</v>
      </c>
      <c r="DH67" s="279">
        <f>'Level Calculation Drone Survey'!$Z174</f>
        <v>263.36452380952392</v>
      </c>
      <c r="DI67" s="279">
        <f>'Level Calculation Drone Survey'!$Z174</f>
        <v>263.36452380952392</v>
      </c>
      <c r="DJ67" s="279">
        <f>'Level Calculation Drone Survey'!$Z174</f>
        <v>263.36452380952392</v>
      </c>
      <c r="DK67" s="279">
        <f>'Level Calculation Drone Survey'!$Z174</f>
        <v>263.36452380952392</v>
      </c>
      <c r="DL67" s="313">
        <f>'Level Calculation Drone Survey'!$Z508</f>
        <v>263.29952380952392</v>
      </c>
      <c r="DM67" s="313">
        <f>'Level Calculation Drone Survey'!$Z508</f>
        <v>263.29952380952392</v>
      </c>
      <c r="DN67" s="313">
        <f>'Level Calculation Drone Survey'!$Z508</f>
        <v>263.29952380952392</v>
      </c>
      <c r="DO67" s="313">
        <f>'Level Calculation Drone Survey'!$Z508</f>
        <v>263.29952380952392</v>
      </c>
      <c r="DP67" s="313">
        <f>'Level Calculation Drone Survey'!$Z508</f>
        <v>263.29952380952392</v>
      </c>
      <c r="DQ67" s="313">
        <f>'Level Calculation Drone Survey'!$Z508</f>
        <v>263.29952380952392</v>
      </c>
      <c r="DR67" s="313">
        <f>'Level Calculation Drone Survey'!$Z508</f>
        <v>263.29952380952392</v>
      </c>
      <c r="DS67" s="313">
        <f>'Level Calculation Drone Survey'!$Z508</f>
        <v>263.29952380952392</v>
      </c>
      <c r="DT67" s="313">
        <f>'Level Calculation Drone Survey'!$Z508</f>
        <v>263.29952380952392</v>
      </c>
      <c r="DU67" s="313">
        <f>'Level Calculation Drone Survey'!$Z508</f>
        <v>263.29952380952392</v>
      </c>
      <c r="DV67" s="313">
        <f>'Level Calculation Drone Survey'!$Z508</f>
        <v>263.29952380952392</v>
      </c>
      <c r="DW67" s="313">
        <f>'Level Calculation Drone Survey'!$Z508</f>
        <v>263.29952380952392</v>
      </c>
      <c r="DX67" s="313">
        <f>'Level Calculation Drone Survey'!$Z508</f>
        <v>263.29952380952392</v>
      </c>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row>
    <row r="68" spans="1:155" ht="45" customHeight="1" x14ac:dyDescent="0.45">
      <c r="A68" s="277">
        <v>335</v>
      </c>
      <c r="B68" s="191"/>
      <c r="C68" s="191"/>
      <c r="D68" s="191"/>
      <c r="E68" s="305">
        <f>'Level Calculation Drone Survey'!$Z306</f>
        <v>263.82514444444433</v>
      </c>
      <c r="F68" s="305">
        <f>'Level Calculation Drone Survey'!$Z306</f>
        <v>263.82514444444433</v>
      </c>
      <c r="G68" s="305">
        <f>'Level Calculation Drone Survey'!$Z306</f>
        <v>263.82514444444433</v>
      </c>
      <c r="H68" s="279">
        <f>'Level Calculation Drone Survey'!$Z243</f>
        <v>263.92514444444436</v>
      </c>
      <c r="I68" s="279">
        <f>'Level Calculation Drone Survey'!$Z243</f>
        <v>263.92514444444436</v>
      </c>
      <c r="J68" s="279">
        <f>'Level Calculation Drone Survey'!$Z243</f>
        <v>263.92514444444436</v>
      </c>
      <c r="K68" s="279">
        <f>'Level Calculation Drone Survey'!$Z243</f>
        <v>263.92514444444436</v>
      </c>
      <c r="L68" s="279">
        <f>'Level Calculation Drone Survey'!$Z243</f>
        <v>263.92514444444436</v>
      </c>
      <c r="M68" s="279">
        <f>'Level Calculation Drone Survey'!$Z243</f>
        <v>263.92514444444436</v>
      </c>
      <c r="N68" s="279">
        <f>'Level Calculation Drone Survey'!$Z243</f>
        <v>263.92514444444436</v>
      </c>
      <c r="O68" s="279">
        <f>'Level Calculation Drone Survey'!$Z243</f>
        <v>263.92514444444436</v>
      </c>
      <c r="P68" s="279">
        <f>'Level Calculation Drone Survey'!$Z243</f>
        <v>263.92514444444436</v>
      </c>
      <c r="Q68" s="279">
        <f>'Level Calculation Drone Survey'!$Z243</f>
        <v>263.92514444444436</v>
      </c>
      <c r="R68" s="279">
        <f>'Level Calculation Drone Survey'!$Z243</f>
        <v>263.92514444444436</v>
      </c>
      <c r="S68" s="279">
        <f>'Level Calculation Drone Survey'!$Z243</f>
        <v>263.92514444444436</v>
      </c>
      <c r="T68" s="279">
        <f>'Level Calculation Drone Survey'!$Z243</f>
        <v>263.92514444444436</v>
      </c>
      <c r="U68" s="279">
        <f>'Level Calculation Drone Survey'!$Z243</f>
        <v>263.92514444444436</v>
      </c>
      <c r="V68" s="279">
        <f>'Level Calculation Drone Survey'!$Z243</f>
        <v>263.92514444444436</v>
      </c>
      <c r="W68" s="279">
        <f>'Level Calculation Drone Survey'!$Z243</f>
        <v>263.92514444444436</v>
      </c>
      <c r="X68" s="279">
        <f>'Level Calculation Drone Survey'!$Z243</f>
        <v>263.92514444444436</v>
      </c>
      <c r="Y68" s="279">
        <f>'Level Calculation Drone Survey'!$Z243</f>
        <v>263.92514444444436</v>
      </c>
      <c r="Z68" s="305">
        <f>'Level Calculation Drone Survey'!$Z347</f>
        <v>263.86484285714278</v>
      </c>
      <c r="AA68" s="279">
        <f>'Level Calculation Drone Survey'!$Z211</f>
        <v>264.06484285714276</v>
      </c>
      <c r="AB68" s="279">
        <f>'Level Calculation Drone Survey'!$Z211</f>
        <v>264.06484285714276</v>
      </c>
      <c r="AC68" s="279">
        <f>'Level Calculation Drone Survey'!$Z211</f>
        <v>264.06484285714276</v>
      </c>
      <c r="AD68" s="279">
        <f>'Level Calculation Drone Survey'!$Z211</f>
        <v>264.06484285714276</v>
      </c>
      <c r="AE68" s="279">
        <f>'Level Calculation Drone Survey'!$Z211</f>
        <v>264.06484285714276</v>
      </c>
      <c r="AF68" s="279">
        <f>'Level Calculation Drone Survey'!$Z211</f>
        <v>264.06484285714276</v>
      </c>
      <c r="AG68" s="279">
        <f>'Level Calculation Drone Survey'!$Z211</f>
        <v>264.06484285714276</v>
      </c>
      <c r="AH68" s="279">
        <f>'Level Calculation Drone Survey'!$Z211</f>
        <v>264.06484285714276</v>
      </c>
      <c r="AI68" s="279">
        <f>'Level Calculation Drone Survey'!$Z211</f>
        <v>264.06484285714276</v>
      </c>
      <c r="AJ68" s="279">
        <f>'Level Calculation Drone Survey'!$Z211</f>
        <v>264.06484285714276</v>
      </c>
      <c r="AK68" s="279">
        <f>'Level Calculation Drone Survey'!$Z211</f>
        <v>264.06484285714276</v>
      </c>
      <c r="AL68" s="279">
        <f>'Level Calculation Drone Survey'!$Z211</f>
        <v>264.06484285714276</v>
      </c>
      <c r="AM68" s="279">
        <f>'Level Calculation Drone Survey'!$Z211</f>
        <v>264.06484285714276</v>
      </c>
      <c r="AN68" s="279">
        <f>'Level Calculation Drone Survey'!$Z211</f>
        <v>264.06484285714276</v>
      </c>
      <c r="AO68" s="279">
        <f>'Level Calculation Drone Survey'!$Z211</f>
        <v>264.06484285714276</v>
      </c>
      <c r="AP68" s="279">
        <f>'Level Calculation Drone Survey'!$Z211</f>
        <v>264.06484285714276</v>
      </c>
      <c r="AQ68" s="279">
        <f>'Level Calculation Drone Survey'!$Z211</f>
        <v>264.06484285714276</v>
      </c>
      <c r="AR68" s="279">
        <f>'Level Calculation Drone Survey'!$Z211</f>
        <v>264.06484285714276</v>
      </c>
      <c r="AS68" s="279">
        <f>'Level Calculation Drone Survey'!$Z211</f>
        <v>264.06484285714276</v>
      </c>
      <c r="AT68" s="279">
        <f>'Level Calculation Drone Survey'!$Z211</f>
        <v>264.06484285714276</v>
      </c>
      <c r="AU68" s="279">
        <f>'Level Calculation Drone Survey'!$Z211</f>
        <v>264.06484285714276</v>
      </c>
      <c r="AV68" s="305">
        <f>'Level Calculation Drone Survey'!$Z398</f>
        <v>263.81484285714271</v>
      </c>
      <c r="AW68" s="305">
        <f>'Level Calculation Drone Survey'!$Z398</f>
        <v>263.81484285714271</v>
      </c>
      <c r="AX68" s="279">
        <f>'Level Calculation Drone Survey'!$Z193</f>
        <v>263.86475238095221</v>
      </c>
      <c r="AY68" s="279">
        <f>'Level Calculation Drone Survey'!$Z193</f>
        <v>263.86475238095221</v>
      </c>
      <c r="AZ68" s="279">
        <f>'Level Calculation Drone Survey'!$Z193</f>
        <v>263.86475238095221</v>
      </c>
      <c r="BA68" s="279">
        <f>'Level Calculation Drone Survey'!$Z193</f>
        <v>263.86475238095221</v>
      </c>
      <c r="BB68" s="279">
        <f>'Level Calculation Drone Survey'!$Z193</f>
        <v>263.86475238095221</v>
      </c>
      <c r="BC68" s="279">
        <f>'Level Calculation Drone Survey'!$Z193</f>
        <v>263.86475238095221</v>
      </c>
      <c r="BD68" s="279">
        <f>'Level Calculation Drone Survey'!$Z193</f>
        <v>263.86475238095221</v>
      </c>
      <c r="BE68" s="279">
        <f>'Level Calculation Drone Survey'!$Z193</f>
        <v>263.86475238095221</v>
      </c>
      <c r="BF68" s="279">
        <f>'Level Calculation Drone Survey'!$Z193</f>
        <v>263.86475238095221</v>
      </c>
      <c r="BG68" s="279">
        <f>'Level Calculation Drone Survey'!$Z193</f>
        <v>263.86475238095221</v>
      </c>
      <c r="BH68" s="279">
        <f>'Level Calculation Drone Survey'!$Z193</f>
        <v>263.86475238095221</v>
      </c>
      <c r="BI68" s="279">
        <f>'Level Calculation Drone Survey'!$Z193</f>
        <v>263.86475238095221</v>
      </c>
      <c r="BJ68" s="279">
        <f>'Level Calculation Drone Survey'!$Z193</f>
        <v>263.86475238095221</v>
      </c>
      <c r="BK68" s="279">
        <f>'Level Calculation Drone Survey'!$Z193</f>
        <v>263.86475238095221</v>
      </c>
      <c r="BL68" s="279">
        <f>'Level Calculation Drone Survey'!$Z193</f>
        <v>263.86475238095221</v>
      </c>
      <c r="BM68" s="279">
        <f>'Level Calculation Drone Survey'!$Z193</f>
        <v>263.86475238095221</v>
      </c>
      <c r="BN68" s="279">
        <f>'Level Calculation Drone Survey'!$Z193</f>
        <v>263.86475238095221</v>
      </c>
      <c r="BO68" s="279">
        <f>'Level Calculation Drone Survey'!$Z193</f>
        <v>263.86475238095221</v>
      </c>
      <c r="BP68" s="279">
        <f>'Level Calculation Drone Survey'!$Z193</f>
        <v>263.86475238095221</v>
      </c>
      <c r="BQ68" s="279">
        <f>'Level Calculation Drone Survey'!$Z193</f>
        <v>263.86475238095221</v>
      </c>
      <c r="BR68" s="279">
        <f>'Level Calculation Drone Survey'!$Z193</f>
        <v>263.86475238095221</v>
      </c>
      <c r="BS68" s="305">
        <f>'Level Calculation Drone Survey'!$Z444</f>
        <v>263.6099681818182</v>
      </c>
      <c r="BT68" s="279">
        <f>'Level Calculation Drone Survey'!$Z184</f>
        <v>263.6099681818182</v>
      </c>
      <c r="BU68" s="279">
        <f>'Level Calculation Drone Survey'!$Z184</f>
        <v>263.6099681818182</v>
      </c>
      <c r="BV68" s="279">
        <f>'Level Calculation Drone Survey'!$Z184</f>
        <v>263.6099681818182</v>
      </c>
      <c r="BW68" s="279">
        <f>'Level Calculation Drone Survey'!$Z184</f>
        <v>263.6099681818182</v>
      </c>
      <c r="BX68" s="279">
        <f>'Level Calculation Drone Survey'!$Z184</f>
        <v>263.6099681818182</v>
      </c>
      <c r="BY68" s="279">
        <f>'Level Calculation Drone Survey'!$Z184</f>
        <v>263.6099681818182</v>
      </c>
      <c r="BZ68" s="279">
        <f>'Level Calculation Drone Survey'!$Z184</f>
        <v>263.6099681818182</v>
      </c>
      <c r="CA68" s="279">
        <f>'Level Calculation Drone Survey'!$Z184</f>
        <v>263.6099681818182</v>
      </c>
      <c r="CB68" s="279">
        <f>'Level Calculation Drone Survey'!$Z184</f>
        <v>263.6099681818182</v>
      </c>
      <c r="CC68" s="279">
        <f>'Level Calculation Drone Survey'!$Z184</f>
        <v>263.6099681818182</v>
      </c>
      <c r="CD68" s="279">
        <f>'Level Calculation Drone Survey'!$Z184</f>
        <v>263.6099681818182</v>
      </c>
      <c r="CE68" s="279">
        <f>'Level Calculation Drone Survey'!$Z184</f>
        <v>263.6099681818182</v>
      </c>
      <c r="CF68" s="279">
        <f>'Level Calculation Drone Survey'!$Z184</f>
        <v>263.6099681818182</v>
      </c>
      <c r="CG68" s="279">
        <f>'Level Calculation Drone Survey'!$Z184</f>
        <v>263.6099681818182</v>
      </c>
      <c r="CH68" s="279">
        <f>'Level Calculation Drone Survey'!$Z184</f>
        <v>263.6099681818182</v>
      </c>
      <c r="CI68" s="279">
        <f>'Level Calculation Drone Survey'!$Z184</f>
        <v>263.6099681818182</v>
      </c>
      <c r="CJ68" s="279">
        <f>'Level Calculation Drone Survey'!$Z184</f>
        <v>263.6099681818182</v>
      </c>
      <c r="CK68" s="279">
        <f>'Level Calculation Drone Survey'!$Z184</f>
        <v>263.6099681818182</v>
      </c>
      <c r="CL68" s="279">
        <f>'Level Calculation Drone Survey'!$Z184</f>
        <v>263.6099681818182</v>
      </c>
      <c r="CM68" s="279">
        <f>'Level Calculation Drone Survey'!$Z184</f>
        <v>263.6099681818182</v>
      </c>
      <c r="CN68" s="279">
        <f>'Level Calculation Drone Survey'!$Z184</f>
        <v>263.6099681818182</v>
      </c>
      <c r="CO68" s="279">
        <f>'Level Calculation Drone Survey'!$Z184</f>
        <v>263.6099681818182</v>
      </c>
      <c r="CP68" s="312">
        <f>'Level Calculation Drone Survey'!$Z486</f>
        <v>263.39952380952394</v>
      </c>
      <c r="CQ68" s="279">
        <f>'Level Calculation Drone Survey'!$Z175</f>
        <v>263.41452380952393</v>
      </c>
      <c r="CR68" s="279">
        <f>'Level Calculation Drone Survey'!$Z175</f>
        <v>263.41452380952393</v>
      </c>
      <c r="CS68" s="279">
        <f>'Level Calculation Drone Survey'!$Z175</f>
        <v>263.41452380952393</v>
      </c>
      <c r="CT68" s="279">
        <f>'Level Calculation Drone Survey'!$Z175</f>
        <v>263.41452380952393</v>
      </c>
      <c r="CU68" s="279">
        <f>'Level Calculation Drone Survey'!$Z175</f>
        <v>263.41452380952393</v>
      </c>
      <c r="CV68" s="279">
        <f>'Level Calculation Drone Survey'!$Z175</f>
        <v>263.41452380952393</v>
      </c>
      <c r="CW68" s="279">
        <f>'Level Calculation Drone Survey'!$Z175</f>
        <v>263.41452380952393</v>
      </c>
      <c r="CX68" s="279">
        <f>'Level Calculation Drone Survey'!$Z175</f>
        <v>263.41452380952393</v>
      </c>
      <c r="CY68" s="279">
        <f>'Level Calculation Drone Survey'!$Z175</f>
        <v>263.41452380952393</v>
      </c>
      <c r="CZ68" s="279">
        <f>'Level Calculation Drone Survey'!$Z175</f>
        <v>263.41452380952393</v>
      </c>
      <c r="DA68" s="279">
        <f>'Level Calculation Drone Survey'!$Z175</f>
        <v>263.41452380952393</v>
      </c>
      <c r="DB68" s="279">
        <f>'Level Calculation Drone Survey'!$Z175</f>
        <v>263.41452380952393</v>
      </c>
      <c r="DC68" s="279">
        <f>'Level Calculation Drone Survey'!$Z175</f>
        <v>263.41452380952393</v>
      </c>
      <c r="DD68" s="279">
        <f>'Level Calculation Drone Survey'!$Z175</f>
        <v>263.41452380952393</v>
      </c>
      <c r="DE68" s="279">
        <f>'Level Calculation Drone Survey'!$Z175</f>
        <v>263.41452380952393</v>
      </c>
      <c r="DF68" s="279">
        <f>'Level Calculation Drone Survey'!$Z175</f>
        <v>263.41452380952393</v>
      </c>
      <c r="DG68" s="279">
        <f>'Level Calculation Drone Survey'!$Z175</f>
        <v>263.41452380952393</v>
      </c>
      <c r="DH68" s="279">
        <f>'Level Calculation Drone Survey'!$Z175</f>
        <v>263.41452380952393</v>
      </c>
      <c r="DI68" s="279">
        <f>'Level Calculation Drone Survey'!$Z175</f>
        <v>263.41452380952393</v>
      </c>
      <c r="DJ68" s="279">
        <f>'Level Calculation Drone Survey'!$Z175</f>
        <v>263.41452380952393</v>
      </c>
      <c r="DK68" s="279">
        <f>'Level Calculation Drone Survey'!$Z175</f>
        <v>263.41452380952393</v>
      </c>
      <c r="DL68" s="313">
        <f>'Level Calculation Drone Survey'!$Z509</f>
        <v>263.29952380952392</v>
      </c>
      <c r="DM68" s="313">
        <f>'Level Calculation Drone Survey'!$Z509</f>
        <v>263.29952380952392</v>
      </c>
      <c r="DN68" s="313">
        <f>'Level Calculation Drone Survey'!$Z509</f>
        <v>263.29952380952392</v>
      </c>
      <c r="DO68" s="313">
        <f>'Level Calculation Drone Survey'!$Z509</f>
        <v>263.29952380952392</v>
      </c>
      <c r="DP68" s="313">
        <f>'Level Calculation Drone Survey'!$Z509</f>
        <v>263.29952380952392</v>
      </c>
      <c r="DQ68" s="313">
        <f>'Level Calculation Drone Survey'!$Z509</f>
        <v>263.29952380952392</v>
      </c>
      <c r="DR68" s="313">
        <f>'Level Calculation Drone Survey'!$Z509</f>
        <v>263.29952380952392</v>
      </c>
      <c r="DS68" s="313">
        <f>'Level Calculation Drone Survey'!$Z509</f>
        <v>263.29952380952392</v>
      </c>
      <c r="DT68" s="313">
        <f>'Level Calculation Drone Survey'!$Z509</f>
        <v>263.29952380952392</v>
      </c>
      <c r="DU68" s="313">
        <f>'Level Calculation Drone Survey'!$Z509</f>
        <v>263.29952380952392</v>
      </c>
      <c r="DV68" s="313">
        <f>'Level Calculation Drone Survey'!$Z509</f>
        <v>263.29952380952392</v>
      </c>
      <c r="DW68" s="313">
        <f>'Level Calculation Drone Survey'!$Z509</f>
        <v>263.29952380952392</v>
      </c>
      <c r="DX68" s="313">
        <f>'Level Calculation Drone Survey'!$Z509</f>
        <v>263.29952380952392</v>
      </c>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row>
    <row r="69" spans="1:155" ht="45" customHeight="1" x14ac:dyDescent="0.45">
      <c r="A69" s="277">
        <v>340</v>
      </c>
      <c r="B69" s="191"/>
      <c r="C69" s="191"/>
      <c r="D69" s="191"/>
      <c r="E69" s="305">
        <f>'Level Calculation Drone Survey'!$Z307</f>
        <v>263.87514444444435</v>
      </c>
      <c r="F69" s="305">
        <f>'Level Calculation Drone Survey'!$Z307</f>
        <v>263.87514444444435</v>
      </c>
      <c r="G69" s="305">
        <f>'Level Calculation Drone Survey'!$Z307</f>
        <v>263.87514444444435</v>
      </c>
      <c r="H69" s="279">
        <f>'Level Calculation Drone Survey'!$Z244</f>
        <v>263.97514444444437</v>
      </c>
      <c r="I69" s="279">
        <f>'Level Calculation Drone Survey'!$Z244</f>
        <v>263.97514444444437</v>
      </c>
      <c r="J69" s="279">
        <f>'Level Calculation Drone Survey'!$Z244</f>
        <v>263.97514444444437</v>
      </c>
      <c r="K69" s="279">
        <f>'Level Calculation Drone Survey'!$Z244</f>
        <v>263.97514444444437</v>
      </c>
      <c r="L69" s="279">
        <f>'Level Calculation Drone Survey'!$Z244</f>
        <v>263.97514444444437</v>
      </c>
      <c r="M69" s="279">
        <f>'Level Calculation Drone Survey'!$Z244</f>
        <v>263.97514444444437</v>
      </c>
      <c r="N69" s="279">
        <f>'Level Calculation Drone Survey'!$Z244</f>
        <v>263.97514444444437</v>
      </c>
      <c r="O69" s="279">
        <f>'Level Calculation Drone Survey'!$Z244</f>
        <v>263.97514444444437</v>
      </c>
      <c r="P69" s="279">
        <f>'Level Calculation Drone Survey'!$Z244</f>
        <v>263.97514444444437</v>
      </c>
      <c r="Q69" s="279">
        <f>'Level Calculation Drone Survey'!$Z244</f>
        <v>263.97514444444437</v>
      </c>
      <c r="R69" s="279">
        <f>'Level Calculation Drone Survey'!$Z244</f>
        <v>263.97514444444437</v>
      </c>
      <c r="S69" s="279">
        <f>'Level Calculation Drone Survey'!$Z244</f>
        <v>263.97514444444437</v>
      </c>
      <c r="T69" s="279">
        <f>'Level Calculation Drone Survey'!$Z244</f>
        <v>263.97514444444437</v>
      </c>
      <c r="U69" s="279">
        <f>'Level Calculation Drone Survey'!$Z244</f>
        <v>263.97514444444437</v>
      </c>
      <c r="V69" s="279">
        <f>'Level Calculation Drone Survey'!$Z244</f>
        <v>263.97514444444437</v>
      </c>
      <c r="W69" s="279">
        <f>'Level Calculation Drone Survey'!$Z244</f>
        <v>263.97514444444437</v>
      </c>
      <c r="X69" s="279">
        <f>'Level Calculation Drone Survey'!$Z244</f>
        <v>263.97514444444437</v>
      </c>
      <c r="Y69" s="279">
        <f>'Level Calculation Drone Survey'!$Z244</f>
        <v>263.97514444444437</v>
      </c>
      <c r="Z69" s="305">
        <f>'Level Calculation Drone Survey'!$Z348</f>
        <v>263.91484285714279</v>
      </c>
      <c r="AA69" s="280">
        <f>'Level Calculation Drone Survey'!$Z212</f>
        <v>264.11484285714278</v>
      </c>
      <c r="AB69" s="280">
        <f>'Level Calculation Drone Survey'!$Z212</f>
        <v>264.11484285714278</v>
      </c>
      <c r="AC69" s="280">
        <f>'Level Calculation Drone Survey'!$Z212</f>
        <v>264.11484285714278</v>
      </c>
      <c r="AD69" s="280">
        <f>'Level Calculation Drone Survey'!$Z212</f>
        <v>264.11484285714278</v>
      </c>
      <c r="AE69" s="280">
        <f>'Level Calculation Drone Survey'!$Z212</f>
        <v>264.11484285714278</v>
      </c>
      <c r="AF69" s="280">
        <f>'Level Calculation Drone Survey'!$Z212</f>
        <v>264.11484285714278</v>
      </c>
      <c r="AG69" s="280">
        <f>'Level Calculation Drone Survey'!$Z212</f>
        <v>264.11484285714278</v>
      </c>
      <c r="AH69" s="280">
        <f>'Level Calculation Drone Survey'!$Z212</f>
        <v>264.11484285714278</v>
      </c>
      <c r="AI69" s="280">
        <f>'Level Calculation Drone Survey'!$Z212</f>
        <v>264.11484285714278</v>
      </c>
      <c r="AJ69" s="280">
        <f>'Level Calculation Drone Survey'!$Z212</f>
        <v>264.11484285714278</v>
      </c>
      <c r="AK69" s="280">
        <f>'Level Calculation Drone Survey'!$Z212</f>
        <v>264.11484285714278</v>
      </c>
      <c r="AL69" s="280">
        <f>'Level Calculation Drone Survey'!$Z212</f>
        <v>264.11484285714278</v>
      </c>
      <c r="AM69" s="280">
        <f>'Level Calculation Drone Survey'!$Z212</f>
        <v>264.11484285714278</v>
      </c>
      <c r="AN69" s="280">
        <f>'Level Calculation Drone Survey'!$Z212</f>
        <v>264.11484285714278</v>
      </c>
      <c r="AO69" s="280">
        <f>'Level Calculation Drone Survey'!$Z212</f>
        <v>264.11484285714278</v>
      </c>
      <c r="AP69" s="280">
        <f>'Level Calculation Drone Survey'!$Z212</f>
        <v>264.11484285714278</v>
      </c>
      <c r="AQ69" s="280">
        <f>'Level Calculation Drone Survey'!$Z212</f>
        <v>264.11484285714278</v>
      </c>
      <c r="AR69" s="280">
        <f>'Level Calculation Drone Survey'!$Z212</f>
        <v>264.11484285714278</v>
      </c>
      <c r="AS69" s="280">
        <f>'Level Calculation Drone Survey'!$Z212</f>
        <v>264.11484285714278</v>
      </c>
      <c r="AT69" s="280">
        <f>'Level Calculation Drone Survey'!$Z212</f>
        <v>264.11484285714278</v>
      </c>
      <c r="AU69" s="280">
        <f>'Level Calculation Drone Survey'!$Z212</f>
        <v>264.11484285714278</v>
      </c>
      <c r="AV69" s="305">
        <f>'Level Calculation Drone Survey'!$Z399</f>
        <v>263.86484285714272</v>
      </c>
      <c r="AW69" s="305">
        <f>'Level Calculation Drone Survey'!$Z399</f>
        <v>263.86484285714272</v>
      </c>
      <c r="AX69" s="279">
        <f>'Level Calculation Drone Survey'!$Z194</f>
        <v>263.91475238095222</v>
      </c>
      <c r="AY69" s="279">
        <f>'Level Calculation Drone Survey'!$Z194</f>
        <v>263.91475238095222</v>
      </c>
      <c r="AZ69" s="279">
        <f>'Level Calculation Drone Survey'!$Z194</f>
        <v>263.91475238095222</v>
      </c>
      <c r="BA69" s="279">
        <f>'Level Calculation Drone Survey'!$Z194</f>
        <v>263.91475238095222</v>
      </c>
      <c r="BB69" s="279">
        <f>'Level Calculation Drone Survey'!$Z194</f>
        <v>263.91475238095222</v>
      </c>
      <c r="BC69" s="279">
        <f>'Level Calculation Drone Survey'!$Z194</f>
        <v>263.91475238095222</v>
      </c>
      <c r="BD69" s="279">
        <f>'Level Calculation Drone Survey'!$Z194</f>
        <v>263.91475238095222</v>
      </c>
      <c r="BE69" s="279">
        <f>'Level Calculation Drone Survey'!$Z194</f>
        <v>263.91475238095222</v>
      </c>
      <c r="BF69" s="279">
        <f>'Level Calculation Drone Survey'!$Z194</f>
        <v>263.91475238095222</v>
      </c>
      <c r="BG69" s="279">
        <f>'Level Calculation Drone Survey'!$Z194</f>
        <v>263.91475238095222</v>
      </c>
      <c r="BH69" s="279">
        <f>'Level Calculation Drone Survey'!$Z194</f>
        <v>263.91475238095222</v>
      </c>
      <c r="BI69" s="279">
        <f>'Level Calculation Drone Survey'!$Z194</f>
        <v>263.91475238095222</v>
      </c>
      <c r="BJ69" s="279">
        <f>'Level Calculation Drone Survey'!$Z194</f>
        <v>263.91475238095222</v>
      </c>
      <c r="BK69" s="279">
        <f>'Level Calculation Drone Survey'!$Z194</f>
        <v>263.91475238095222</v>
      </c>
      <c r="BL69" s="279">
        <f>'Level Calculation Drone Survey'!$Z194</f>
        <v>263.91475238095222</v>
      </c>
      <c r="BM69" s="279">
        <f>'Level Calculation Drone Survey'!$Z194</f>
        <v>263.91475238095222</v>
      </c>
      <c r="BN69" s="279">
        <f>'Level Calculation Drone Survey'!$Z194</f>
        <v>263.91475238095222</v>
      </c>
      <c r="BO69" s="279">
        <f>'Level Calculation Drone Survey'!$Z194</f>
        <v>263.91475238095222</v>
      </c>
      <c r="BP69" s="279">
        <f>'Level Calculation Drone Survey'!$Z194</f>
        <v>263.91475238095222</v>
      </c>
      <c r="BQ69" s="279">
        <f>'Level Calculation Drone Survey'!$Z194</f>
        <v>263.91475238095222</v>
      </c>
      <c r="BR69" s="279">
        <f>'Level Calculation Drone Survey'!$Z194</f>
        <v>263.91475238095222</v>
      </c>
      <c r="BS69" s="305">
        <f>'Level Calculation Drone Survey'!$Z445</f>
        <v>263.65996818181821</v>
      </c>
      <c r="BT69" s="279">
        <f>'Level Calculation Drone Survey'!$Z185</f>
        <v>263.65996818181821</v>
      </c>
      <c r="BU69" s="279">
        <f>'Level Calculation Drone Survey'!$Z185</f>
        <v>263.65996818181821</v>
      </c>
      <c r="BV69" s="279">
        <f>'Level Calculation Drone Survey'!$Z185</f>
        <v>263.65996818181821</v>
      </c>
      <c r="BW69" s="279">
        <f>'Level Calculation Drone Survey'!$Z185</f>
        <v>263.65996818181821</v>
      </c>
      <c r="BX69" s="279">
        <f>'Level Calculation Drone Survey'!$Z185</f>
        <v>263.65996818181821</v>
      </c>
      <c r="BY69" s="279">
        <f>'Level Calculation Drone Survey'!$Z185</f>
        <v>263.65996818181821</v>
      </c>
      <c r="BZ69" s="279">
        <f>'Level Calculation Drone Survey'!$Z185</f>
        <v>263.65996818181821</v>
      </c>
      <c r="CA69" s="279">
        <f>'Level Calculation Drone Survey'!$Z185</f>
        <v>263.65996818181821</v>
      </c>
      <c r="CB69" s="279">
        <f>'Level Calculation Drone Survey'!$Z185</f>
        <v>263.65996818181821</v>
      </c>
      <c r="CC69" s="279">
        <f>'Level Calculation Drone Survey'!$Z185</f>
        <v>263.65996818181821</v>
      </c>
      <c r="CD69" s="279">
        <f>'Level Calculation Drone Survey'!$Z185</f>
        <v>263.65996818181821</v>
      </c>
      <c r="CE69" s="279">
        <f>'Level Calculation Drone Survey'!$Z185</f>
        <v>263.65996818181821</v>
      </c>
      <c r="CF69" s="279">
        <f>'Level Calculation Drone Survey'!$Z185</f>
        <v>263.65996818181821</v>
      </c>
      <c r="CG69" s="279">
        <f>'Level Calculation Drone Survey'!$Z185</f>
        <v>263.65996818181821</v>
      </c>
      <c r="CH69" s="279">
        <f>'Level Calculation Drone Survey'!$Z185</f>
        <v>263.65996818181821</v>
      </c>
      <c r="CI69" s="279">
        <f>'Level Calculation Drone Survey'!$Z185</f>
        <v>263.65996818181821</v>
      </c>
      <c r="CJ69" s="279">
        <f>'Level Calculation Drone Survey'!$Z185</f>
        <v>263.65996818181821</v>
      </c>
      <c r="CK69" s="279">
        <f>'Level Calculation Drone Survey'!$Z185</f>
        <v>263.65996818181821</v>
      </c>
      <c r="CL69" s="279">
        <f>'Level Calculation Drone Survey'!$Z185</f>
        <v>263.65996818181821</v>
      </c>
      <c r="CM69" s="279">
        <f>'Level Calculation Drone Survey'!$Z185</f>
        <v>263.65996818181821</v>
      </c>
      <c r="CN69" s="279">
        <f>'Level Calculation Drone Survey'!$Z185</f>
        <v>263.65996818181821</v>
      </c>
      <c r="CO69" s="279">
        <f>'Level Calculation Drone Survey'!$Z185</f>
        <v>263.65996818181821</v>
      </c>
      <c r="CP69" s="312">
        <f>'Level Calculation Drone Survey'!$Z487</f>
        <v>263.44952380952395</v>
      </c>
      <c r="CQ69" s="279">
        <f>'Level Calculation Drone Survey'!$Z176</f>
        <v>263.46452380952394</v>
      </c>
      <c r="CR69" s="279">
        <f>'Level Calculation Drone Survey'!$Z176</f>
        <v>263.46452380952394</v>
      </c>
      <c r="CS69" s="279">
        <f>'Level Calculation Drone Survey'!$Z176</f>
        <v>263.46452380952394</v>
      </c>
      <c r="CT69" s="279">
        <f>'Level Calculation Drone Survey'!$Z176</f>
        <v>263.46452380952394</v>
      </c>
      <c r="CU69" s="279">
        <f>'Level Calculation Drone Survey'!$Z176</f>
        <v>263.46452380952394</v>
      </c>
      <c r="CV69" s="279">
        <f>'Level Calculation Drone Survey'!$Z176</f>
        <v>263.46452380952394</v>
      </c>
      <c r="CW69" s="279">
        <f>'Level Calculation Drone Survey'!$Z176</f>
        <v>263.46452380952394</v>
      </c>
      <c r="CX69" s="279">
        <f>'Level Calculation Drone Survey'!$Z176</f>
        <v>263.46452380952394</v>
      </c>
      <c r="CY69" s="279">
        <f>'Level Calculation Drone Survey'!$Z176</f>
        <v>263.46452380952394</v>
      </c>
      <c r="CZ69" s="279">
        <f>'Level Calculation Drone Survey'!$Z176</f>
        <v>263.46452380952394</v>
      </c>
      <c r="DA69" s="279">
        <f>'Level Calculation Drone Survey'!$Z176</f>
        <v>263.46452380952394</v>
      </c>
      <c r="DB69" s="279">
        <f>'Level Calculation Drone Survey'!$Z176</f>
        <v>263.46452380952394</v>
      </c>
      <c r="DC69" s="279">
        <f>'Level Calculation Drone Survey'!$Z176</f>
        <v>263.46452380952394</v>
      </c>
      <c r="DD69" s="279">
        <f>'Level Calculation Drone Survey'!$Z176</f>
        <v>263.46452380952394</v>
      </c>
      <c r="DE69" s="279">
        <f>'Level Calculation Drone Survey'!$Z176</f>
        <v>263.46452380952394</v>
      </c>
      <c r="DF69" s="279">
        <f>'Level Calculation Drone Survey'!$Z176</f>
        <v>263.46452380952394</v>
      </c>
      <c r="DG69" s="279">
        <f>'Level Calculation Drone Survey'!$Z176</f>
        <v>263.46452380952394</v>
      </c>
      <c r="DH69" s="279">
        <f>'Level Calculation Drone Survey'!$Z176</f>
        <v>263.46452380952394</v>
      </c>
      <c r="DI69" s="279">
        <f>'Level Calculation Drone Survey'!$Z176</f>
        <v>263.46452380952394</v>
      </c>
      <c r="DJ69" s="279">
        <f>'Level Calculation Drone Survey'!$Z176</f>
        <v>263.46452380952394</v>
      </c>
      <c r="DK69" s="279">
        <f>'Level Calculation Drone Survey'!$Z176</f>
        <v>263.46452380952394</v>
      </c>
      <c r="DL69" s="313">
        <f>'Level Calculation Drone Survey'!$Z510</f>
        <v>263.29952380952392</v>
      </c>
      <c r="DM69" s="313">
        <f>'Level Calculation Drone Survey'!$Z510</f>
        <v>263.29952380952392</v>
      </c>
      <c r="DN69" s="313">
        <f>'Level Calculation Drone Survey'!$Z510</f>
        <v>263.29952380952392</v>
      </c>
      <c r="DO69" s="313">
        <f>'Level Calculation Drone Survey'!$Z510</f>
        <v>263.29952380952392</v>
      </c>
      <c r="DP69" s="313">
        <f>'Level Calculation Drone Survey'!$Z510</f>
        <v>263.29952380952392</v>
      </c>
      <c r="DQ69" s="313">
        <f>'Level Calculation Drone Survey'!$Z510</f>
        <v>263.29952380952392</v>
      </c>
      <c r="DR69" s="313">
        <f>'Level Calculation Drone Survey'!$Z510</f>
        <v>263.29952380952392</v>
      </c>
      <c r="DS69" s="313">
        <f>'Level Calculation Drone Survey'!$Z510</f>
        <v>263.29952380952392</v>
      </c>
      <c r="DT69" s="313">
        <f>'Level Calculation Drone Survey'!$Z510</f>
        <v>263.29952380952392</v>
      </c>
      <c r="DU69" s="313">
        <f>'Level Calculation Drone Survey'!$Z510</f>
        <v>263.29952380952392</v>
      </c>
      <c r="DV69" s="313">
        <f>'Level Calculation Drone Survey'!$Z510</f>
        <v>263.29952380952392</v>
      </c>
      <c r="DW69" s="313">
        <f>'Level Calculation Drone Survey'!$Z510</f>
        <v>263.29952380952392</v>
      </c>
      <c r="DX69" s="313">
        <f>'Level Calculation Drone Survey'!$Z510</f>
        <v>263.29952380952392</v>
      </c>
      <c r="DY69" s="313">
        <f>'Level Calculation Drone Survey'!$Z510</f>
        <v>263.29952380952392</v>
      </c>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row>
    <row r="70" spans="1:155" ht="45" customHeight="1" x14ac:dyDescent="0.45">
      <c r="A70" s="277">
        <v>345</v>
      </c>
      <c r="B70" s="191"/>
      <c r="C70" s="191"/>
      <c r="D70" s="191"/>
      <c r="E70" s="305">
        <f>'Level Calculation Drone Survey'!$Z308</f>
        <v>263.92514444444436</v>
      </c>
      <c r="F70" s="305">
        <f>'Level Calculation Drone Survey'!$Z308</f>
        <v>263.92514444444436</v>
      </c>
      <c r="G70" s="305">
        <f>'Level Calculation Drone Survey'!$Z308</f>
        <v>263.92514444444436</v>
      </c>
      <c r="H70" s="279">
        <f>'Level Calculation Drone Survey'!$Z245</f>
        <v>264.02514444444438</v>
      </c>
      <c r="I70" s="279">
        <f>'Level Calculation Drone Survey'!$Z245</f>
        <v>264.02514444444438</v>
      </c>
      <c r="J70" s="279">
        <f>'Level Calculation Drone Survey'!$Z245</f>
        <v>264.02514444444438</v>
      </c>
      <c r="K70" s="279">
        <f>'Level Calculation Drone Survey'!$Z245</f>
        <v>264.02514444444438</v>
      </c>
      <c r="L70" s="279">
        <f>'Level Calculation Drone Survey'!$Z245</f>
        <v>264.02514444444438</v>
      </c>
      <c r="M70" s="279">
        <f>'Level Calculation Drone Survey'!$Z245</f>
        <v>264.02514444444438</v>
      </c>
      <c r="N70" s="279">
        <f>'Level Calculation Drone Survey'!$Z245</f>
        <v>264.02514444444438</v>
      </c>
      <c r="O70" s="279">
        <f>'Level Calculation Drone Survey'!$Z245</f>
        <v>264.02514444444438</v>
      </c>
      <c r="P70" s="279">
        <f>'Level Calculation Drone Survey'!$Z245</f>
        <v>264.02514444444438</v>
      </c>
      <c r="Q70" s="279">
        <f>'Level Calculation Drone Survey'!$Z245</f>
        <v>264.02514444444438</v>
      </c>
      <c r="R70" s="279">
        <f>'Level Calculation Drone Survey'!$Z245</f>
        <v>264.02514444444438</v>
      </c>
      <c r="S70" s="279">
        <f>'Level Calculation Drone Survey'!$Z245</f>
        <v>264.02514444444438</v>
      </c>
      <c r="T70" s="279">
        <f>'Level Calculation Drone Survey'!$Z245</f>
        <v>264.02514444444438</v>
      </c>
      <c r="U70" s="279">
        <f>'Level Calculation Drone Survey'!$Z245</f>
        <v>264.02514444444438</v>
      </c>
      <c r="V70" s="279">
        <f>'Level Calculation Drone Survey'!$Z245</f>
        <v>264.02514444444438</v>
      </c>
      <c r="W70" s="279">
        <f>'Level Calculation Drone Survey'!$Z245</f>
        <v>264.02514444444438</v>
      </c>
      <c r="X70" s="279">
        <f>'Level Calculation Drone Survey'!$Z245</f>
        <v>264.02514444444438</v>
      </c>
      <c r="Y70" s="279">
        <f>'Level Calculation Drone Survey'!$Z245</f>
        <v>264.02514444444438</v>
      </c>
      <c r="Z70" s="305">
        <f>'Level Calculation Drone Survey'!$Z349</f>
        <v>263.9648428571428</v>
      </c>
      <c r="AA70" s="279">
        <f>'Level Calculation Drone Survey'!$Z213</f>
        <v>264.06484285714276</v>
      </c>
      <c r="AB70" s="279">
        <f>'Level Calculation Drone Survey'!$Z213</f>
        <v>264.06484285714276</v>
      </c>
      <c r="AC70" s="279">
        <f>'Level Calculation Drone Survey'!$Z213</f>
        <v>264.06484285714276</v>
      </c>
      <c r="AD70" s="279">
        <f>'Level Calculation Drone Survey'!$Z213</f>
        <v>264.06484285714276</v>
      </c>
      <c r="AE70" s="279">
        <f>'Level Calculation Drone Survey'!$Z213</f>
        <v>264.06484285714276</v>
      </c>
      <c r="AF70" s="279">
        <f>'Level Calculation Drone Survey'!$Z213</f>
        <v>264.06484285714276</v>
      </c>
      <c r="AG70" s="279">
        <f>'Level Calculation Drone Survey'!$Z213</f>
        <v>264.06484285714276</v>
      </c>
      <c r="AH70" s="279">
        <f>'Level Calculation Drone Survey'!$Z213</f>
        <v>264.06484285714276</v>
      </c>
      <c r="AI70" s="279">
        <f>'Level Calculation Drone Survey'!$Z213</f>
        <v>264.06484285714276</v>
      </c>
      <c r="AJ70" s="279">
        <f>'Level Calculation Drone Survey'!$Z213</f>
        <v>264.06484285714276</v>
      </c>
      <c r="AK70" s="279">
        <f>'Level Calculation Drone Survey'!$Z213</f>
        <v>264.06484285714276</v>
      </c>
      <c r="AL70" s="279">
        <f>'Level Calculation Drone Survey'!$Z213</f>
        <v>264.06484285714276</v>
      </c>
      <c r="AM70" s="279">
        <f>'Level Calculation Drone Survey'!$Z213</f>
        <v>264.06484285714276</v>
      </c>
      <c r="AN70" s="279">
        <f>'Level Calculation Drone Survey'!$Z213</f>
        <v>264.06484285714276</v>
      </c>
      <c r="AO70" s="279">
        <f>'Level Calculation Drone Survey'!$Z213</f>
        <v>264.06484285714276</v>
      </c>
      <c r="AP70" s="279">
        <f>'Level Calculation Drone Survey'!$Z213</f>
        <v>264.06484285714276</v>
      </c>
      <c r="AQ70" s="279">
        <f>'Level Calculation Drone Survey'!$Z213</f>
        <v>264.06484285714276</v>
      </c>
      <c r="AR70" s="279">
        <f>'Level Calculation Drone Survey'!$Z213</f>
        <v>264.06484285714276</v>
      </c>
      <c r="AS70" s="279">
        <f>'Level Calculation Drone Survey'!$Z213</f>
        <v>264.06484285714276</v>
      </c>
      <c r="AT70" s="279">
        <f>'Level Calculation Drone Survey'!$Z213</f>
        <v>264.06484285714276</v>
      </c>
      <c r="AU70" s="279">
        <f>'Level Calculation Drone Survey'!$Z213</f>
        <v>264.06484285714276</v>
      </c>
      <c r="AV70" s="305">
        <f>'Level Calculation Drone Survey'!$Z400</f>
        <v>263.91484285714273</v>
      </c>
      <c r="AW70" s="305">
        <v>263.91500000000002</v>
      </c>
      <c r="AX70" s="279">
        <f>'Level Calculation Drone Survey'!$Z195</f>
        <v>263.96475238095223</v>
      </c>
      <c r="AY70" s="279">
        <f>'Level Calculation Drone Survey'!$Z195</f>
        <v>263.96475238095223</v>
      </c>
      <c r="AZ70" s="279">
        <f>'Level Calculation Drone Survey'!$Z195</f>
        <v>263.96475238095223</v>
      </c>
      <c r="BA70" s="279">
        <f>'Level Calculation Drone Survey'!$Z195</f>
        <v>263.96475238095223</v>
      </c>
      <c r="BB70" s="279">
        <f>'Level Calculation Drone Survey'!$Z195</f>
        <v>263.96475238095223</v>
      </c>
      <c r="BC70" s="279">
        <f>'Level Calculation Drone Survey'!$Z195</f>
        <v>263.96475238095223</v>
      </c>
      <c r="BD70" s="279">
        <f>'Level Calculation Drone Survey'!$Z195</f>
        <v>263.96475238095223</v>
      </c>
      <c r="BE70" s="279">
        <f>'Level Calculation Drone Survey'!$Z195</f>
        <v>263.96475238095223</v>
      </c>
      <c r="BF70" s="279">
        <f>'Level Calculation Drone Survey'!$Z195</f>
        <v>263.96475238095223</v>
      </c>
      <c r="BG70" s="279">
        <f>'Level Calculation Drone Survey'!$Z195</f>
        <v>263.96475238095223</v>
      </c>
      <c r="BH70" s="279">
        <f>'Level Calculation Drone Survey'!$Z195</f>
        <v>263.96475238095223</v>
      </c>
      <c r="BI70" s="279">
        <f>'Level Calculation Drone Survey'!$Z195</f>
        <v>263.96475238095223</v>
      </c>
      <c r="BJ70" s="279">
        <f>'Level Calculation Drone Survey'!$Z195</f>
        <v>263.96475238095223</v>
      </c>
      <c r="BK70" s="279">
        <f>'Level Calculation Drone Survey'!$Z195</f>
        <v>263.96475238095223</v>
      </c>
      <c r="BL70" s="279">
        <f>'Level Calculation Drone Survey'!$Z195</f>
        <v>263.96475238095223</v>
      </c>
      <c r="BM70" s="279">
        <f>'Level Calculation Drone Survey'!$Z195</f>
        <v>263.96475238095223</v>
      </c>
      <c r="BN70" s="279">
        <f>'Level Calculation Drone Survey'!$Z195</f>
        <v>263.96475238095223</v>
      </c>
      <c r="BO70" s="279">
        <f>'Level Calculation Drone Survey'!$Z195</f>
        <v>263.96475238095223</v>
      </c>
      <c r="BP70" s="279">
        <f>'Level Calculation Drone Survey'!$Z195</f>
        <v>263.96475238095223</v>
      </c>
      <c r="BQ70" s="279">
        <f>'Level Calculation Drone Survey'!$Z195</f>
        <v>263.96475238095223</v>
      </c>
      <c r="BR70" s="279">
        <f>'Level Calculation Drone Survey'!$Z195</f>
        <v>263.96475238095223</v>
      </c>
      <c r="BS70" s="305">
        <f>'Level Calculation Drone Survey'!$Z446</f>
        <v>263.70996818181823</v>
      </c>
      <c r="BT70" s="279">
        <f>'Level Calculation Drone Survey'!$Z186</f>
        <v>263.70996818181823</v>
      </c>
      <c r="BU70" s="279">
        <f>'Level Calculation Drone Survey'!$Z186</f>
        <v>263.70996818181823</v>
      </c>
      <c r="BV70" s="279">
        <f>'Level Calculation Drone Survey'!$Z186</f>
        <v>263.70996818181823</v>
      </c>
      <c r="BW70" s="279">
        <f>'Level Calculation Drone Survey'!$Z186</f>
        <v>263.70996818181823</v>
      </c>
      <c r="BX70" s="279">
        <f>'Level Calculation Drone Survey'!$Z186</f>
        <v>263.70996818181823</v>
      </c>
      <c r="BY70" s="279">
        <f>'Level Calculation Drone Survey'!$Z186</f>
        <v>263.70996818181823</v>
      </c>
      <c r="BZ70" s="279">
        <f>'Level Calculation Drone Survey'!$Z186</f>
        <v>263.70996818181823</v>
      </c>
      <c r="CA70" s="279">
        <f>'Level Calculation Drone Survey'!$Z186</f>
        <v>263.70996818181823</v>
      </c>
      <c r="CB70" s="279">
        <f>'Level Calculation Drone Survey'!$Z186</f>
        <v>263.70996818181823</v>
      </c>
      <c r="CC70" s="279">
        <f>'Level Calculation Drone Survey'!$Z186</f>
        <v>263.70996818181823</v>
      </c>
      <c r="CD70" s="279">
        <f>'Level Calculation Drone Survey'!$Z186</f>
        <v>263.70996818181823</v>
      </c>
      <c r="CE70" s="279">
        <f>'Level Calculation Drone Survey'!$Z186</f>
        <v>263.70996818181823</v>
      </c>
      <c r="CF70" s="279">
        <f>'Level Calculation Drone Survey'!$Z186</f>
        <v>263.70996818181823</v>
      </c>
      <c r="CG70" s="279">
        <f>'Level Calculation Drone Survey'!$Z186</f>
        <v>263.70996818181823</v>
      </c>
      <c r="CH70" s="279">
        <f>'Level Calculation Drone Survey'!$Z186</f>
        <v>263.70996818181823</v>
      </c>
      <c r="CI70" s="279">
        <f>'Level Calculation Drone Survey'!$Z186</f>
        <v>263.70996818181823</v>
      </c>
      <c r="CJ70" s="279">
        <f>'Level Calculation Drone Survey'!$Z186</f>
        <v>263.70996818181823</v>
      </c>
      <c r="CK70" s="279">
        <f>'Level Calculation Drone Survey'!$Z186</f>
        <v>263.70996818181823</v>
      </c>
      <c r="CL70" s="279">
        <f>'Level Calculation Drone Survey'!$Z186</f>
        <v>263.70996818181823</v>
      </c>
      <c r="CM70" s="279">
        <f>'Level Calculation Drone Survey'!$Z186</f>
        <v>263.70996818181823</v>
      </c>
      <c r="CN70" s="279">
        <f>'Level Calculation Drone Survey'!$Z186</f>
        <v>263.70996818181823</v>
      </c>
      <c r="CO70" s="279">
        <f>'Level Calculation Drone Survey'!$Z186</f>
        <v>263.70996818181823</v>
      </c>
      <c r="CP70" s="312">
        <f>'Level Calculation Drone Survey'!$Z488</f>
        <v>263.49952380952396</v>
      </c>
      <c r="CQ70" s="279">
        <f>'Level Calculation Drone Survey'!$Z177</f>
        <v>263.51452380952395</v>
      </c>
      <c r="CR70" s="279">
        <f>'Level Calculation Drone Survey'!$Z177</f>
        <v>263.51452380952395</v>
      </c>
      <c r="CS70" s="279">
        <f>'Level Calculation Drone Survey'!$Z177</f>
        <v>263.51452380952395</v>
      </c>
      <c r="CT70" s="279">
        <f>'Level Calculation Drone Survey'!$Z177</f>
        <v>263.51452380952395</v>
      </c>
      <c r="CU70" s="279">
        <f>'Level Calculation Drone Survey'!$Z177</f>
        <v>263.51452380952395</v>
      </c>
      <c r="CV70" s="279">
        <f>'Level Calculation Drone Survey'!$Z177</f>
        <v>263.51452380952395</v>
      </c>
      <c r="CW70" s="279">
        <f>'Level Calculation Drone Survey'!$Z177</f>
        <v>263.51452380952395</v>
      </c>
      <c r="CX70" s="279">
        <f>'Level Calculation Drone Survey'!$Z177</f>
        <v>263.51452380952395</v>
      </c>
      <c r="CY70" s="279">
        <f>'Level Calculation Drone Survey'!$Z177</f>
        <v>263.51452380952395</v>
      </c>
      <c r="CZ70" s="279">
        <f>'Level Calculation Drone Survey'!$Z177</f>
        <v>263.51452380952395</v>
      </c>
      <c r="DA70" s="279">
        <f>'Level Calculation Drone Survey'!$Z177</f>
        <v>263.51452380952395</v>
      </c>
      <c r="DB70" s="279">
        <f>'Level Calculation Drone Survey'!$Z177</f>
        <v>263.51452380952395</v>
      </c>
      <c r="DC70" s="279">
        <f>'Level Calculation Drone Survey'!$Z177</f>
        <v>263.51452380952395</v>
      </c>
      <c r="DD70" s="279">
        <f>'Level Calculation Drone Survey'!$Z177</f>
        <v>263.51452380952395</v>
      </c>
      <c r="DE70" s="279">
        <f>'Level Calculation Drone Survey'!$Z177</f>
        <v>263.51452380952395</v>
      </c>
      <c r="DF70" s="279">
        <f>'Level Calculation Drone Survey'!$Z177</f>
        <v>263.51452380952395</v>
      </c>
      <c r="DG70" s="279">
        <f>'Level Calculation Drone Survey'!$Z177</f>
        <v>263.51452380952395</v>
      </c>
      <c r="DH70" s="279">
        <f>'Level Calculation Drone Survey'!$Z177</f>
        <v>263.51452380952395</v>
      </c>
      <c r="DI70" s="279">
        <f>'Level Calculation Drone Survey'!$Z177</f>
        <v>263.51452380952395</v>
      </c>
      <c r="DJ70" s="279">
        <f>'Level Calculation Drone Survey'!$Z177</f>
        <v>263.51452380952395</v>
      </c>
      <c r="DK70" s="279">
        <f>'Level Calculation Drone Survey'!$Z177</f>
        <v>263.51452380952395</v>
      </c>
      <c r="DL70" s="313">
        <f>'Level Calculation Drone Survey'!$Z511</f>
        <v>263.29952380952392</v>
      </c>
      <c r="DM70" s="313">
        <f>'Level Calculation Drone Survey'!$Z511</f>
        <v>263.29952380952392</v>
      </c>
      <c r="DN70" s="313">
        <f>'Level Calculation Drone Survey'!$Z511</f>
        <v>263.29952380952392</v>
      </c>
      <c r="DO70" s="313">
        <f>'Level Calculation Drone Survey'!$Z511</f>
        <v>263.29952380952392</v>
      </c>
      <c r="DP70" s="313">
        <f>'Level Calculation Drone Survey'!$Z511</f>
        <v>263.29952380952392</v>
      </c>
      <c r="DQ70" s="313">
        <f>'Level Calculation Drone Survey'!$Z511</f>
        <v>263.29952380952392</v>
      </c>
      <c r="DR70" s="313">
        <f>'Level Calculation Drone Survey'!$Z511</f>
        <v>263.29952380952392</v>
      </c>
      <c r="DS70" s="313">
        <f>'Level Calculation Drone Survey'!$Z511</f>
        <v>263.29952380952392</v>
      </c>
      <c r="DT70" s="313">
        <f>'Level Calculation Drone Survey'!$Z511</f>
        <v>263.29952380952392</v>
      </c>
      <c r="DU70" s="313">
        <f>'Level Calculation Drone Survey'!$Z511</f>
        <v>263.29952380952392</v>
      </c>
      <c r="DV70" s="313">
        <f>'Level Calculation Drone Survey'!$Z511</f>
        <v>263.29952380952392</v>
      </c>
      <c r="DW70" s="313">
        <f>'Level Calculation Drone Survey'!$Z511</f>
        <v>263.29952380952392</v>
      </c>
      <c r="DX70" s="313">
        <f>'Level Calculation Drone Survey'!$Z511</f>
        <v>263.29952380952392</v>
      </c>
      <c r="DY70" s="313">
        <f>'Level Calculation Drone Survey'!$Z511</f>
        <v>263.29952380952392</v>
      </c>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row>
    <row r="71" spans="1:155" ht="45" customHeight="1" x14ac:dyDescent="0.45">
      <c r="A71" s="277">
        <v>350</v>
      </c>
      <c r="B71" s="191"/>
      <c r="C71" s="191"/>
      <c r="D71" s="191"/>
      <c r="E71" s="305">
        <f>'Level Calculation Drone Survey'!$Z309</f>
        <v>263.97514444444437</v>
      </c>
      <c r="F71" s="305">
        <f>'Level Calculation Drone Survey'!$Z309</f>
        <v>263.97514444444437</v>
      </c>
      <c r="G71" s="305">
        <f>'Level Calculation Drone Survey'!$Z309</f>
        <v>263.97514444444437</v>
      </c>
      <c r="H71" s="279">
        <f>'Level Calculation Drone Survey'!$Z246</f>
        <v>264.07514444444439</v>
      </c>
      <c r="I71" s="279">
        <f>'Level Calculation Drone Survey'!$Z246</f>
        <v>264.07514444444439</v>
      </c>
      <c r="J71" s="279">
        <f>'Level Calculation Drone Survey'!$Z246</f>
        <v>264.07514444444439</v>
      </c>
      <c r="K71" s="279">
        <f>'Level Calculation Drone Survey'!$Z246</f>
        <v>264.07514444444439</v>
      </c>
      <c r="L71" s="279">
        <f>'Level Calculation Drone Survey'!$Z246</f>
        <v>264.07514444444439</v>
      </c>
      <c r="M71" s="279">
        <f>'Level Calculation Drone Survey'!$Z246</f>
        <v>264.07514444444439</v>
      </c>
      <c r="N71" s="279">
        <f>'Level Calculation Drone Survey'!$Z246</f>
        <v>264.07514444444439</v>
      </c>
      <c r="O71" s="279">
        <f>'Level Calculation Drone Survey'!$Z246</f>
        <v>264.07514444444439</v>
      </c>
      <c r="P71" s="279">
        <f>'Level Calculation Drone Survey'!$Z246</f>
        <v>264.07514444444439</v>
      </c>
      <c r="Q71" s="279">
        <f>'Level Calculation Drone Survey'!$Z246</f>
        <v>264.07514444444439</v>
      </c>
      <c r="R71" s="279">
        <f>'Level Calculation Drone Survey'!$Z246</f>
        <v>264.07514444444439</v>
      </c>
      <c r="S71" s="279">
        <f>'Level Calculation Drone Survey'!$Z246</f>
        <v>264.07514444444439</v>
      </c>
      <c r="T71" s="279">
        <f>'Level Calculation Drone Survey'!$Z246</f>
        <v>264.07514444444439</v>
      </c>
      <c r="U71" s="279">
        <f>'Level Calculation Drone Survey'!$Z246</f>
        <v>264.07514444444439</v>
      </c>
      <c r="V71" s="279">
        <f>'Level Calculation Drone Survey'!$Z246</f>
        <v>264.07514444444439</v>
      </c>
      <c r="W71" s="279">
        <f>'Level Calculation Drone Survey'!$Z246</f>
        <v>264.07514444444439</v>
      </c>
      <c r="X71" s="279">
        <f>'Level Calculation Drone Survey'!$Z246</f>
        <v>264.07514444444439</v>
      </c>
      <c r="Y71" s="279">
        <f>'Level Calculation Drone Survey'!$Z246</f>
        <v>264.07514444444439</v>
      </c>
      <c r="Z71" s="305">
        <f>'Level Calculation Drone Survey'!$Z350</f>
        <v>264.01484285714281</v>
      </c>
      <c r="AA71" s="279">
        <f>'Level Calculation Drone Survey'!$Z214</f>
        <v>264.01484285714275</v>
      </c>
      <c r="AB71" s="279">
        <f>'Level Calculation Drone Survey'!$Z214</f>
        <v>264.01484285714275</v>
      </c>
      <c r="AC71" s="279">
        <f>'Level Calculation Drone Survey'!$Z214</f>
        <v>264.01484285714275</v>
      </c>
      <c r="AD71" s="279">
        <f>'Level Calculation Drone Survey'!$Z214</f>
        <v>264.01484285714275</v>
      </c>
      <c r="AE71" s="279">
        <f>'Level Calculation Drone Survey'!$Z214</f>
        <v>264.01484285714275</v>
      </c>
      <c r="AF71" s="279">
        <f>'Level Calculation Drone Survey'!$Z214</f>
        <v>264.01484285714275</v>
      </c>
      <c r="AG71" s="279">
        <f>'Level Calculation Drone Survey'!$Z214</f>
        <v>264.01484285714275</v>
      </c>
      <c r="AH71" s="279">
        <f>'Level Calculation Drone Survey'!$Z214</f>
        <v>264.01484285714275</v>
      </c>
      <c r="AI71" s="279">
        <f>'Level Calculation Drone Survey'!$Z214</f>
        <v>264.01484285714275</v>
      </c>
      <c r="AJ71" s="279">
        <f>'Level Calculation Drone Survey'!$Z214</f>
        <v>264.01484285714275</v>
      </c>
      <c r="AK71" s="279">
        <f>'Level Calculation Drone Survey'!$Z214</f>
        <v>264.01484285714275</v>
      </c>
      <c r="AL71" s="279">
        <f>'Level Calculation Drone Survey'!$Z214</f>
        <v>264.01484285714275</v>
      </c>
      <c r="AM71" s="279">
        <f>'Level Calculation Drone Survey'!$Z214</f>
        <v>264.01484285714275</v>
      </c>
      <c r="AN71" s="279">
        <f>'Level Calculation Drone Survey'!$Z214</f>
        <v>264.01484285714275</v>
      </c>
      <c r="AO71" s="279">
        <f>'Level Calculation Drone Survey'!$Z214</f>
        <v>264.01484285714275</v>
      </c>
      <c r="AP71" s="279">
        <f>'Level Calculation Drone Survey'!$Z214</f>
        <v>264.01484285714275</v>
      </c>
      <c r="AQ71" s="279">
        <f>'Level Calculation Drone Survey'!$Z214</f>
        <v>264.01484285714275</v>
      </c>
      <c r="AR71" s="279">
        <f>'Level Calculation Drone Survey'!$Z214</f>
        <v>264.01484285714275</v>
      </c>
      <c r="AS71" s="279">
        <f>'Level Calculation Drone Survey'!$Z214</f>
        <v>264.01484285714275</v>
      </c>
      <c r="AT71" s="279">
        <f>'Level Calculation Drone Survey'!$Z214</f>
        <v>264.01484285714275</v>
      </c>
      <c r="AU71" s="279">
        <f>'Level Calculation Drone Survey'!$Z214</f>
        <v>264.01484285714275</v>
      </c>
      <c r="AV71" s="305">
        <f>'Level Calculation Drone Survey'!$Z401</f>
        <v>263.96484285714274</v>
      </c>
      <c r="AW71" s="305">
        <v>263.96499999999997</v>
      </c>
      <c r="AX71" s="279">
        <f>'Level Calculation Drone Survey'!$Z196</f>
        <v>264.01475238095225</v>
      </c>
      <c r="AY71" s="279">
        <f>'Level Calculation Drone Survey'!$Z196</f>
        <v>264.01475238095225</v>
      </c>
      <c r="AZ71" s="279">
        <f>'Level Calculation Drone Survey'!$Z196</f>
        <v>264.01475238095225</v>
      </c>
      <c r="BA71" s="279">
        <f>'Level Calculation Drone Survey'!$Z196</f>
        <v>264.01475238095225</v>
      </c>
      <c r="BB71" s="279">
        <f>'Level Calculation Drone Survey'!$Z196</f>
        <v>264.01475238095225</v>
      </c>
      <c r="BC71" s="279">
        <f>'Level Calculation Drone Survey'!$Z196</f>
        <v>264.01475238095225</v>
      </c>
      <c r="BD71" s="279">
        <f>'Level Calculation Drone Survey'!$Z196</f>
        <v>264.01475238095225</v>
      </c>
      <c r="BE71" s="279">
        <f>'Level Calculation Drone Survey'!$Z196</f>
        <v>264.01475238095225</v>
      </c>
      <c r="BF71" s="279">
        <f>'Level Calculation Drone Survey'!$Z196</f>
        <v>264.01475238095225</v>
      </c>
      <c r="BG71" s="279">
        <f>'Level Calculation Drone Survey'!$Z196</f>
        <v>264.01475238095225</v>
      </c>
      <c r="BH71" s="279">
        <f>'Level Calculation Drone Survey'!$Z196</f>
        <v>264.01475238095225</v>
      </c>
      <c r="BI71" s="279">
        <f>'Level Calculation Drone Survey'!$Z196</f>
        <v>264.01475238095225</v>
      </c>
      <c r="BJ71" s="279">
        <f>'Level Calculation Drone Survey'!$Z196</f>
        <v>264.01475238095225</v>
      </c>
      <c r="BK71" s="279">
        <f>'Level Calculation Drone Survey'!$Z196</f>
        <v>264.01475238095225</v>
      </c>
      <c r="BL71" s="279">
        <f>'Level Calculation Drone Survey'!$Z196</f>
        <v>264.01475238095225</v>
      </c>
      <c r="BM71" s="279">
        <f>'Level Calculation Drone Survey'!$Z196</f>
        <v>264.01475238095225</v>
      </c>
      <c r="BN71" s="279">
        <f>'Level Calculation Drone Survey'!$Z196</f>
        <v>264.01475238095225</v>
      </c>
      <c r="BO71" s="279">
        <f>'Level Calculation Drone Survey'!$Z196</f>
        <v>264.01475238095225</v>
      </c>
      <c r="BP71" s="279">
        <f>'Level Calculation Drone Survey'!$Z196</f>
        <v>264.01475238095225</v>
      </c>
      <c r="BQ71" s="279">
        <f>'Level Calculation Drone Survey'!$Z196</f>
        <v>264.01475238095225</v>
      </c>
      <c r="BR71" s="279">
        <f>'Level Calculation Drone Survey'!$Z196</f>
        <v>264.01475238095225</v>
      </c>
      <c r="BS71" s="305">
        <f>'Level Calculation Drone Survey'!$Z447</f>
        <v>263.75996818181824</v>
      </c>
      <c r="BT71" s="279">
        <f>'Level Calculation Drone Survey'!$Z187</f>
        <v>263.75996818181824</v>
      </c>
      <c r="BU71" s="279">
        <f>'Level Calculation Drone Survey'!$Z187</f>
        <v>263.75996818181824</v>
      </c>
      <c r="BV71" s="279">
        <f>'Level Calculation Drone Survey'!$Z187</f>
        <v>263.75996818181824</v>
      </c>
      <c r="BW71" s="279">
        <f>'Level Calculation Drone Survey'!$Z187</f>
        <v>263.75996818181824</v>
      </c>
      <c r="BX71" s="279">
        <f>'Level Calculation Drone Survey'!$Z187</f>
        <v>263.75996818181824</v>
      </c>
      <c r="BY71" s="279">
        <f>'Level Calculation Drone Survey'!$Z187</f>
        <v>263.75996818181824</v>
      </c>
      <c r="BZ71" s="279">
        <f>'Level Calculation Drone Survey'!$Z187</f>
        <v>263.75996818181824</v>
      </c>
      <c r="CA71" s="279">
        <f>'Level Calculation Drone Survey'!$Z187</f>
        <v>263.75996818181824</v>
      </c>
      <c r="CB71" s="279">
        <f>'Level Calculation Drone Survey'!$Z187</f>
        <v>263.75996818181824</v>
      </c>
      <c r="CC71" s="279">
        <f>'Level Calculation Drone Survey'!$Z187</f>
        <v>263.75996818181824</v>
      </c>
      <c r="CD71" s="279">
        <f>'Level Calculation Drone Survey'!$Z187</f>
        <v>263.75996818181824</v>
      </c>
      <c r="CE71" s="279">
        <f>'Level Calculation Drone Survey'!$Z187</f>
        <v>263.75996818181824</v>
      </c>
      <c r="CF71" s="279">
        <f>'Level Calculation Drone Survey'!$Z187</f>
        <v>263.75996818181824</v>
      </c>
      <c r="CG71" s="279">
        <f>'Level Calculation Drone Survey'!$Z187</f>
        <v>263.75996818181824</v>
      </c>
      <c r="CH71" s="279">
        <f>'Level Calculation Drone Survey'!$Z187</f>
        <v>263.75996818181824</v>
      </c>
      <c r="CI71" s="279">
        <f>'Level Calculation Drone Survey'!$Z187</f>
        <v>263.75996818181824</v>
      </c>
      <c r="CJ71" s="279">
        <f>'Level Calculation Drone Survey'!$Z187</f>
        <v>263.75996818181824</v>
      </c>
      <c r="CK71" s="279">
        <f>'Level Calculation Drone Survey'!$Z187</f>
        <v>263.75996818181824</v>
      </c>
      <c r="CL71" s="279">
        <f>'Level Calculation Drone Survey'!$Z187</f>
        <v>263.75996818181824</v>
      </c>
      <c r="CM71" s="279">
        <f>'Level Calculation Drone Survey'!$Z187</f>
        <v>263.75996818181824</v>
      </c>
      <c r="CN71" s="279">
        <f>'Level Calculation Drone Survey'!$Z187</f>
        <v>263.75996818181824</v>
      </c>
      <c r="CO71" s="279">
        <f>'Level Calculation Drone Survey'!$Z187</f>
        <v>263.75996818181824</v>
      </c>
      <c r="CP71" s="312">
        <f>'Level Calculation Drone Survey'!$Z489</f>
        <v>263.54952380952398</v>
      </c>
      <c r="CQ71" s="279">
        <f>'Level Calculation Drone Survey'!$Z178</f>
        <v>263.56452380952396</v>
      </c>
      <c r="CR71" s="279">
        <f>'Level Calculation Drone Survey'!$Z178</f>
        <v>263.56452380952396</v>
      </c>
      <c r="CS71" s="279">
        <f>'Level Calculation Drone Survey'!$Z178</f>
        <v>263.56452380952396</v>
      </c>
      <c r="CT71" s="279">
        <f>'Level Calculation Drone Survey'!$Z178</f>
        <v>263.56452380952396</v>
      </c>
      <c r="CU71" s="279">
        <f>'Level Calculation Drone Survey'!$Z178</f>
        <v>263.56452380952396</v>
      </c>
      <c r="CV71" s="279">
        <f>'Level Calculation Drone Survey'!$Z178</f>
        <v>263.56452380952396</v>
      </c>
      <c r="CW71" s="279">
        <f>'Level Calculation Drone Survey'!$Z178</f>
        <v>263.56452380952396</v>
      </c>
      <c r="CX71" s="279">
        <f>'Level Calculation Drone Survey'!$Z178</f>
        <v>263.56452380952396</v>
      </c>
      <c r="CY71" s="279">
        <f>'Level Calculation Drone Survey'!$Z178</f>
        <v>263.56452380952396</v>
      </c>
      <c r="CZ71" s="279">
        <f>'Level Calculation Drone Survey'!$Z178</f>
        <v>263.56452380952396</v>
      </c>
      <c r="DA71" s="279">
        <f>'Level Calculation Drone Survey'!$Z178</f>
        <v>263.56452380952396</v>
      </c>
      <c r="DB71" s="279">
        <f>'Level Calculation Drone Survey'!$Z178</f>
        <v>263.56452380952396</v>
      </c>
      <c r="DC71" s="279">
        <f>'Level Calculation Drone Survey'!$Z178</f>
        <v>263.56452380952396</v>
      </c>
      <c r="DD71" s="279">
        <f>'Level Calculation Drone Survey'!$Z178</f>
        <v>263.56452380952396</v>
      </c>
      <c r="DE71" s="279">
        <f>'Level Calculation Drone Survey'!$Z178</f>
        <v>263.56452380952396</v>
      </c>
      <c r="DF71" s="279">
        <f>'Level Calculation Drone Survey'!$Z178</f>
        <v>263.56452380952396</v>
      </c>
      <c r="DG71" s="279">
        <f>'Level Calculation Drone Survey'!$Z178</f>
        <v>263.56452380952396</v>
      </c>
      <c r="DH71" s="279">
        <f>'Level Calculation Drone Survey'!$Z178</f>
        <v>263.56452380952396</v>
      </c>
      <c r="DI71" s="279">
        <f>'Level Calculation Drone Survey'!$Z178</f>
        <v>263.56452380952396</v>
      </c>
      <c r="DJ71" s="279">
        <f>'Level Calculation Drone Survey'!$Z178</f>
        <v>263.56452380952396</v>
      </c>
      <c r="DK71" s="279">
        <f>'Level Calculation Drone Survey'!$Z178</f>
        <v>263.56452380952396</v>
      </c>
      <c r="DL71" s="313">
        <f>'Level Calculation Drone Survey'!$Z512</f>
        <v>263.29952380952392</v>
      </c>
      <c r="DM71" s="313">
        <f>'Level Calculation Drone Survey'!$Z512</f>
        <v>263.29952380952392</v>
      </c>
      <c r="DN71" s="313">
        <f>'Level Calculation Drone Survey'!$Z512</f>
        <v>263.29952380952392</v>
      </c>
      <c r="DO71" s="313">
        <f>'Level Calculation Drone Survey'!$Z512</f>
        <v>263.29952380952392</v>
      </c>
      <c r="DP71" s="313">
        <f>'Level Calculation Drone Survey'!$Z512</f>
        <v>263.29952380952392</v>
      </c>
      <c r="DQ71" s="313">
        <f>'Level Calculation Drone Survey'!$Z512</f>
        <v>263.29952380952392</v>
      </c>
      <c r="DR71" s="313">
        <f>'Level Calculation Drone Survey'!$Z512</f>
        <v>263.29952380952392</v>
      </c>
      <c r="DS71" s="313">
        <f>'Level Calculation Drone Survey'!$Z512</f>
        <v>263.29952380952392</v>
      </c>
      <c r="DT71" s="313">
        <f>'Level Calculation Drone Survey'!$Z512</f>
        <v>263.29952380952392</v>
      </c>
      <c r="DU71" s="313">
        <f>'Level Calculation Drone Survey'!$Z512</f>
        <v>263.29952380952392</v>
      </c>
      <c r="DV71" s="313">
        <f>'Level Calculation Drone Survey'!$Z512</f>
        <v>263.29952380952392</v>
      </c>
      <c r="DW71" s="313">
        <f>'Level Calculation Drone Survey'!$Z512</f>
        <v>263.29952380952392</v>
      </c>
      <c r="DX71" s="313">
        <f>'Level Calculation Drone Survey'!$Z512</f>
        <v>263.29952380952392</v>
      </c>
      <c r="DY71" s="313">
        <f>'Level Calculation Drone Survey'!$Z512</f>
        <v>263.29952380952392</v>
      </c>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row>
    <row r="72" spans="1:155" ht="45" customHeight="1" x14ac:dyDescent="0.45">
      <c r="A72" s="277">
        <v>355</v>
      </c>
      <c r="B72" s="191"/>
      <c r="C72" s="191"/>
      <c r="D72" s="191"/>
      <c r="E72" s="305">
        <f>'Level Calculation Drone Survey'!$Z310</f>
        <v>264.02514444444438</v>
      </c>
      <c r="F72" s="305">
        <f>'Level Calculation Drone Survey'!$Z310</f>
        <v>264.02514444444438</v>
      </c>
      <c r="G72" s="305">
        <f>'Level Calculation Drone Survey'!$Z310</f>
        <v>264.02514444444438</v>
      </c>
      <c r="H72" s="279">
        <f>'Level Calculation Drone Survey'!$Z247</f>
        <v>264.1251444444444</v>
      </c>
      <c r="I72" s="279">
        <f>'Level Calculation Drone Survey'!$Z247</f>
        <v>264.1251444444444</v>
      </c>
      <c r="J72" s="279">
        <f>'Level Calculation Drone Survey'!$Z247</f>
        <v>264.1251444444444</v>
      </c>
      <c r="K72" s="279">
        <f>'Level Calculation Drone Survey'!$Z247</f>
        <v>264.1251444444444</v>
      </c>
      <c r="L72" s="279">
        <f>'Level Calculation Drone Survey'!$Z247</f>
        <v>264.1251444444444</v>
      </c>
      <c r="M72" s="279">
        <f>'Level Calculation Drone Survey'!$Z247</f>
        <v>264.1251444444444</v>
      </c>
      <c r="N72" s="279">
        <f>'Level Calculation Drone Survey'!$Z247</f>
        <v>264.1251444444444</v>
      </c>
      <c r="O72" s="279">
        <f>'Level Calculation Drone Survey'!$Z247</f>
        <v>264.1251444444444</v>
      </c>
      <c r="P72" s="279">
        <f>'Level Calculation Drone Survey'!$Z247</f>
        <v>264.1251444444444</v>
      </c>
      <c r="Q72" s="279">
        <f>'Level Calculation Drone Survey'!$Z247</f>
        <v>264.1251444444444</v>
      </c>
      <c r="R72" s="279">
        <f>'Level Calculation Drone Survey'!$Z247</f>
        <v>264.1251444444444</v>
      </c>
      <c r="S72" s="279">
        <f>'Level Calculation Drone Survey'!$Z247</f>
        <v>264.1251444444444</v>
      </c>
      <c r="T72" s="279">
        <f>'Level Calculation Drone Survey'!$Z247</f>
        <v>264.1251444444444</v>
      </c>
      <c r="U72" s="279">
        <f>'Level Calculation Drone Survey'!$Z247</f>
        <v>264.1251444444444</v>
      </c>
      <c r="V72" s="279">
        <f>'Level Calculation Drone Survey'!$Z247</f>
        <v>264.1251444444444</v>
      </c>
      <c r="W72" s="279">
        <f>'Level Calculation Drone Survey'!$Z247</f>
        <v>264.1251444444444</v>
      </c>
      <c r="X72" s="279">
        <f>'Level Calculation Drone Survey'!$Z247</f>
        <v>264.1251444444444</v>
      </c>
      <c r="Y72" s="279">
        <f>'Level Calculation Drone Survey'!$Z247</f>
        <v>264.1251444444444</v>
      </c>
      <c r="Z72" s="305">
        <f>'Level Calculation Drone Survey'!$Z351</f>
        <v>263.9648428571428</v>
      </c>
      <c r="AA72" s="279">
        <f>'Level Calculation Drone Survey'!$Z215</f>
        <v>263.96484285714274</v>
      </c>
      <c r="AB72" s="279">
        <f>'Level Calculation Drone Survey'!$Z215</f>
        <v>263.96484285714274</v>
      </c>
      <c r="AC72" s="279">
        <f>'Level Calculation Drone Survey'!$Z215</f>
        <v>263.96484285714274</v>
      </c>
      <c r="AD72" s="279">
        <f>'Level Calculation Drone Survey'!$Z215</f>
        <v>263.96484285714274</v>
      </c>
      <c r="AE72" s="279">
        <f>'Level Calculation Drone Survey'!$Z215</f>
        <v>263.96484285714274</v>
      </c>
      <c r="AF72" s="279">
        <f>'Level Calculation Drone Survey'!$Z215</f>
        <v>263.96484285714274</v>
      </c>
      <c r="AG72" s="279">
        <f>'Level Calculation Drone Survey'!$Z215</f>
        <v>263.96484285714274</v>
      </c>
      <c r="AH72" s="279">
        <f>'Level Calculation Drone Survey'!$Z215</f>
        <v>263.96484285714274</v>
      </c>
      <c r="AI72" s="279">
        <f>'Level Calculation Drone Survey'!$Z215</f>
        <v>263.96484285714274</v>
      </c>
      <c r="AJ72" s="279">
        <f>'Level Calculation Drone Survey'!$Z215</f>
        <v>263.96484285714274</v>
      </c>
      <c r="AK72" s="279">
        <f>'Level Calculation Drone Survey'!$Z215</f>
        <v>263.96484285714274</v>
      </c>
      <c r="AL72" s="279">
        <f>'Level Calculation Drone Survey'!$Z215</f>
        <v>263.96484285714274</v>
      </c>
      <c r="AM72" s="279">
        <f>'Level Calculation Drone Survey'!$Z215</f>
        <v>263.96484285714274</v>
      </c>
      <c r="AN72" s="279">
        <f>'Level Calculation Drone Survey'!$Z215</f>
        <v>263.96484285714274</v>
      </c>
      <c r="AO72" s="279">
        <f>'Level Calculation Drone Survey'!$Z215</f>
        <v>263.96484285714274</v>
      </c>
      <c r="AP72" s="279">
        <f>'Level Calculation Drone Survey'!$Z215</f>
        <v>263.96484285714274</v>
      </c>
      <c r="AQ72" s="279">
        <f>'Level Calculation Drone Survey'!$Z215</f>
        <v>263.96484285714274</v>
      </c>
      <c r="AR72" s="279">
        <f>'Level Calculation Drone Survey'!$Z215</f>
        <v>263.96484285714274</v>
      </c>
      <c r="AS72" s="279">
        <f>'Level Calculation Drone Survey'!$Z215</f>
        <v>263.96484285714274</v>
      </c>
      <c r="AT72" s="279">
        <f>'Level Calculation Drone Survey'!$Z215</f>
        <v>263.96484285714274</v>
      </c>
      <c r="AU72" s="279">
        <f>'Level Calculation Drone Survey'!$Z215</f>
        <v>263.96484285714274</v>
      </c>
      <c r="AV72" s="305">
        <f>'Level Calculation Drone Survey'!$Z402</f>
        <v>263.91484285714273</v>
      </c>
      <c r="AW72" s="305">
        <v>263.91500000000002</v>
      </c>
      <c r="AX72" s="279">
        <f>'Level Calculation Drone Survey'!$Z197</f>
        <v>264.06475238095226</v>
      </c>
      <c r="AY72" s="279">
        <f>'Level Calculation Drone Survey'!$Z197</f>
        <v>264.06475238095226</v>
      </c>
      <c r="AZ72" s="279">
        <f>'Level Calculation Drone Survey'!$Z197</f>
        <v>264.06475238095226</v>
      </c>
      <c r="BA72" s="279">
        <f>'Level Calculation Drone Survey'!$Z197</f>
        <v>264.06475238095226</v>
      </c>
      <c r="BB72" s="279">
        <f>'Level Calculation Drone Survey'!$Z197</f>
        <v>264.06475238095226</v>
      </c>
      <c r="BC72" s="279">
        <f>'Level Calculation Drone Survey'!$Z197</f>
        <v>264.06475238095226</v>
      </c>
      <c r="BD72" s="279">
        <f>'Level Calculation Drone Survey'!$Z197</f>
        <v>264.06475238095226</v>
      </c>
      <c r="BE72" s="279">
        <f>'Level Calculation Drone Survey'!$Z197</f>
        <v>264.06475238095226</v>
      </c>
      <c r="BF72" s="279">
        <f>'Level Calculation Drone Survey'!$Z197</f>
        <v>264.06475238095226</v>
      </c>
      <c r="BG72" s="279">
        <f>'Level Calculation Drone Survey'!$Z197</f>
        <v>264.06475238095226</v>
      </c>
      <c r="BH72" s="279">
        <f>'Level Calculation Drone Survey'!$Z197</f>
        <v>264.06475238095226</v>
      </c>
      <c r="BI72" s="279">
        <f>'Level Calculation Drone Survey'!$Z197</f>
        <v>264.06475238095226</v>
      </c>
      <c r="BJ72" s="279">
        <f>'Level Calculation Drone Survey'!$Z197</f>
        <v>264.06475238095226</v>
      </c>
      <c r="BK72" s="279">
        <f>'Level Calculation Drone Survey'!$Z197</f>
        <v>264.06475238095226</v>
      </c>
      <c r="BL72" s="279">
        <f>'Level Calculation Drone Survey'!$Z197</f>
        <v>264.06475238095226</v>
      </c>
      <c r="BM72" s="279">
        <f>'Level Calculation Drone Survey'!$Z197</f>
        <v>264.06475238095226</v>
      </c>
      <c r="BN72" s="279">
        <f>'Level Calculation Drone Survey'!$Z197</f>
        <v>264.06475238095226</v>
      </c>
      <c r="BO72" s="279">
        <f>'Level Calculation Drone Survey'!$Z197</f>
        <v>264.06475238095226</v>
      </c>
      <c r="BP72" s="279">
        <f>'Level Calculation Drone Survey'!$Z197</f>
        <v>264.06475238095226</v>
      </c>
      <c r="BQ72" s="279">
        <f>'Level Calculation Drone Survey'!$Z197</f>
        <v>264.06475238095226</v>
      </c>
      <c r="BR72" s="279">
        <f>'Level Calculation Drone Survey'!$Z197</f>
        <v>264.06475238095226</v>
      </c>
      <c r="BS72" s="305">
        <f>'Level Calculation Drone Survey'!$Z448</f>
        <v>263.80996818181825</v>
      </c>
      <c r="BT72" s="279">
        <f>'Level Calculation Drone Survey'!$Z188</f>
        <v>263.80996818181825</v>
      </c>
      <c r="BU72" s="279">
        <f>'Level Calculation Drone Survey'!$Z188</f>
        <v>263.80996818181825</v>
      </c>
      <c r="BV72" s="279">
        <f>'Level Calculation Drone Survey'!$Z188</f>
        <v>263.80996818181825</v>
      </c>
      <c r="BW72" s="279">
        <f>'Level Calculation Drone Survey'!$Z188</f>
        <v>263.80996818181825</v>
      </c>
      <c r="BX72" s="279">
        <f>'Level Calculation Drone Survey'!$Z188</f>
        <v>263.80996818181825</v>
      </c>
      <c r="BY72" s="279">
        <f>'Level Calculation Drone Survey'!$Z188</f>
        <v>263.80996818181825</v>
      </c>
      <c r="BZ72" s="279">
        <f>'Level Calculation Drone Survey'!$Z188</f>
        <v>263.80996818181825</v>
      </c>
      <c r="CA72" s="279">
        <f>'Level Calculation Drone Survey'!$Z188</f>
        <v>263.80996818181825</v>
      </c>
      <c r="CB72" s="279">
        <f>'Level Calculation Drone Survey'!$Z188</f>
        <v>263.80996818181825</v>
      </c>
      <c r="CC72" s="279">
        <f>'Level Calculation Drone Survey'!$Z188</f>
        <v>263.80996818181825</v>
      </c>
      <c r="CD72" s="279">
        <f>'Level Calculation Drone Survey'!$Z188</f>
        <v>263.80996818181825</v>
      </c>
      <c r="CE72" s="279">
        <f>'Level Calculation Drone Survey'!$Z188</f>
        <v>263.80996818181825</v>
      </c>
      <c r="CF72" s="279">
        <f>'Level Calculation Drone Survey'!$Z188</f>
        <v>263.80996818181825</v>
      </c>
      <c r="CG72" s="279">
        <f>'Level Calculation Drone Survey'!$Z188</f>
        <v>263.80996818181825</v>
      </c>
      <c r="CH72" s="279">
        <f>'Level Calculation Drone Survey'!$Z188</f>
        <v>263.80996818181825</v>
      </c>
      <c r="CI72" s="279">
        <f>'Level Calculation Drone Survey'!$Z188</f>
        <v>263.80996818181825</v>
      </c>
      <c r="CJ72" s="279">
        <f>'Level Calculation Drone Survey'!$Z188</f>
        <v>263.80996818181825</v>
      </c>
      <c r="CK72" s="279">
        <f>'Level Calculation Drone Survey'!$Z188</f>
        <v>263.80996818181825</v>
      </c>
      <c r="CL72" s="279">
        <f>'Level Calculation Drone Survey'!$Z188</f>
        <v>263.80996818181825</v>
      </c>
      <c r="CM72" s="279">
        <f>'Level Calculation Drone Survey'!$Z188</f>
        <v>263.80996818181825</v>
      </c>
      <c r="CN72" s="279">
        <f>'Level Calculation Drone Survey'!$Z188</f>
        <v>263.80996818181825</v>
      </c>
      <c r="CO72" s="279">
        <f>'Level Calculation Drone Survey'!$Z188</f>
        <v>263.80996818181825</v>
      </c>
      <c r="CP72" s="312">
        <f>'Level Calculation Drone Survey'!$Z490</f>
        <v>263.59952380952399</v>
      </c>
      <c r="CQ72" s="279">
        <f>'Level Calculation Drone Survey'!$Z179</f>
        <v>263.61452380952397</v>
      </c>
      <c r="CR72" s="279">
        <f>'Level Calculation Drone Survey'!$Z179</f>
        <v>263.61452380952397</v>
      </c>
      <c r="CS72" s="279">
        <f>'Level Calculation Drone Survey'!$Z179</f>
        <v>263.61452380952397</v>
      </c>
      <c r="CT72" s="279">
        <f>'Level Calculation Drone Survey'!$Z179</f>
        <v>263.61452380952397</v>
      </c>
      <c r="CU72" s="279">
        <f>'Level Calculation Drone Survey'!$Z179</f>
        <v>263.61452380952397</v>
      </c>
      <c r="CV72" s="279">
        <f>'Level Calculation Drone Survey'!$Z179</f>
        <v>263.61452380952397</v>
      </c>
      <c r="CW72" s="279">
        <f>'Level Calculation Drone Survey'!$Z179</f>
        <v>263.61452380952397</v>
      </c>
      <c r="CX72" s="279">
        <f>'Level Calculation Drone Survey'!$Z179</f>
        <v>263.61452380952397</v>
      </c>
      <c r="CY72" s="279">
        <f>'Level Calculation Drone Survey'!$Z179</f>
        <v>263.61452380952397</v>
      </c>
      <c r="CZ72" s="279">
        <f>'Level Calculation Drone Survey'!$Z179</f>
        <v>263.61452380952397</v>
      </c>
      <c r="DA72" s="279">
        <f>'Level Calculation Drone Survey'!$Z179</f>
        <v>263.61452380952397</v>
      </c>
      <c r="DB72" s="279">
        <f>'Level Calculation Drone Survey'!$Z179</f>
        <v>263.61452380952397</v>
      </c>
      <c r="DC72" s="279">
        <f>'Level Calculation Drone Survey'!$Z179</f>
        <v>263.61452380952397</v>
      </c>
      <c r="DD72" s="279">
        <f>'Level Calculation Drone Survey'!$Z179</f>
        <v>263.61452380952397</v>
      </c>
      <c r="DE72" s="279">
        <f>'Level Calculation Drone Survey'!$Z179</f>
        <v>263.61452380952397</v>
      </c>
      <c r="DF72" s="279">
        <f>'Level Calculation Drone Survey'!$Z179</f>
        <v>263.61452380952397</v>
      </c>
      <c r="DG72" s="279">
        <f>'Level Calculation Drone Survey'!$Z179</f>
        <v>263.61452380952397</v>
      </c>
      <c r="DH72" s="279">
        <f>'Level Calculation Drone Survey'!$Z179</f>
        <v>263.61452380952397</v>
      </c>
      <c r="DI72" s="279">
        <f>'Level Calculation Drone Survey'!$Z179</f>
        <v>263.61452380952397</v>
      </c>
      <c r="DJ72" s="279">
        <f>'Level Calculation Drone Survey'!$Z179</f>
        <v>263.61452380952397</v>
      </c>
      <c r="DK72" s="279">
        <f>'Level Calculation Drone Survey'!$Z179</f>
        <v>263.61452380952397</v>
      </c>
      <c r="DL72" s="313">
        <f>'Level Calculation Drone Survey'!$Z513</f>
        <v>263.29952380952392</v>
      </c>
      <c r="DM72" s="313">
        <f>'Level Calculation Drone Survey'!$Z513</f>
        <v>263.29952380952392</v>
      </c>
      <c r="DN72" s="313">
        <f>'Level Calculation Drone Survey'!$Z513</f>
        <v>263.29952380952392</v>
      </c>
      <c r="DO72" s="313">
        <f>'Level Calculation Drone Survey'!$Z513</f>
        <v>263.29952380952392</v>
      </c>
      <c r="DP72" s="313">
        <f>'Level Calculation Drone Survey'!$Z513</f>
        <v>263.29952380952392</v>
      </c>
      <c r="DQ72" s="313">
        <f>'Level Calculation Drone Survey'!$Z513</f>
        <v>263.29952380952392</v>
      </c>
      <c r="DR72" s="313">
        <f>'Level Calculation Drone Survey'!$Z513</f>
        <v>263.29952380952392</v>
      </c>
      <c r="DS72" s="313">
        <f>'Level Calculation Drone Survey'!$Z513</f>
        <v>263.29952380952392</v>
      </c>
      <c r="DT72" s="313">
        <f>'Level Calculation Drone Survey'!$Z513</f>
        <v>263.29952380952392</v>
      </c>
      <c r="DU72" s="313">
        <f>'Level Calculation Drone Survey'!$Z513</f>
        <v>263.29952380952392</v>
      </c>
      <c r="DV72" s="313">
        <f>'Level Calculation Drone Survey'!$Z513</f>
        <v>263.29952380952392</v>
      </c>
      <c r="DW72" s="313">
        <f>'Level Calculation Drone Survey'!$Z513</f>
        <v>263.29952380952392</v>
      </c>
      <c r="DX72" s="313">
        <f>'Level Calculation Drone Survey'!$Z513</f>
        <v>263.29952380952392</v>
      </c>
      <c r="DY72" s="313">
        <f>'Level Calculation Drone Survey'!$Z513</f>
        <v>263.29952380952392</v>
      </c>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row>
    <row r="73" spans="1:155" ht="45" customHeight="1" x14ac:dyDescent="0.45">
      <c r="A73" s="277">
        <v>360</v>
      </c>
      <c r="B73" s="191"/>
      <c r="C73" s="191"/>
      <c r="D73" s="191"/>
      <c r="E73" s="305"/>
      <c r="F73" s="305">
        <f>'Level Calculation Drone Survey'!$Z311</f>
        <v>264.07514444444439</v>
      </c>
      <c r="G73" s="305">
        <f>'Level Calculation Drone Survey'!$Z311</f>
        <v>264.07514444444439</v>
      </c>
      <c r="H73" s="279">
        <f>'Level Calculation Drone Survey'!$Z248</f>
        <v>264.17514444444441</v>
      </c>
      <c r="I73" s="279">
        <f>'Level Calculation Drone Survey'!$Z248</f>
        <v>264.17514444444441</v>
      </c>
      <c r="J73" s="279">
        <f>'Level Calculation Drone Survey'!$Z248</f>
        <v>264.17514444444441</v>
      </c>
      <c r="K73" s="279">
        <f>'Level Calculation Drone Survey'!$Z248</f>
        <v>264.17514444444441</v>
      </c>
      <c r="L73" s="279">
        <f>'Level Calculation Drone Survey'!$Z248</f>
        <v>264.17514444444441</v>
      </c>
      <c r="M73" s="279">
        <f>'Level Calculation Drone Survey'!$Z248</f>
        <v>264.17514444444441</v>
      </c>
      <c r="N73" s="279">
        <f>'Level Calculation Drone Survey'!$Z248</f>
        <v>264.17514444444441</v>
      </c>
      <c r="O73" s="279">
        <f>'Level Calculation Drone Survey'!$Z248</f>
        <v>264.17514444444441</v>
      </c>
      <c r="P73" s="279">
        <f>'Level Calculation Drone Survey'!$Z248</f>
        <v>264.17514444444441</v>
      </c>
      <c r="Q73" s="279">
        <f>'Level Calculation Drone Survey'!$Z248</f>
        <v>264.17514444444441</v>
      </c>
      <c r="R73" s="279">
        <f>'Level Calculation Drone Survey'!$Z248</f>
        <v>264.17514444444441</v>
      </c>
      <c r="S73" s="279">
        <f>'Level Calculation Drone Survey'!$Z248</f>
        <v>264.17514444444441</v>
      </c>
      <c r="T73" s="279">
        <f>'Level Calculation Drone Survey'!$Z248</f>
        <v>264.17514444444441</v>
      </c>
      <c r="U73" s="279">
        <f>'Level Calculation Drone Survey'!$Z248</f>
        <v>264.17514444444441</v>
      </c>
      <c r="V73" s="279">
        <f>'Level Calculation Drone Survey'!$Z248</f>
        <v>264.17514444444441</v>
      </c>
      <c r="W73" s="279">
        <f>'Level Calculation Drone Survey'!$Z248</f>
        <v>264.17514444444441</v>
      </c>
      <c r="X73" s="279">
        <f>'Level Calculation Drone Survey'!$Z248</f>
        <v>264.17514444444441</v>
      </c>
      <c r="Y73" s="279">
        <f>'Level Calculation Drone Survey'!$Z248</f>
        <v>264.17514444444441</v>
      </c>
      <c r="Z73" s="305">
        <f>'Level Calculation Drone Survey'!$Z352</f>
        <v>263.91484285714279</v>
      </c>
      <c r="AA73" s="279">
        <f>'Level Calculation Drone Survey'!$Z216</f>
        <v>263.91484285714273</v>
      </c>
      <c r="AB73" s="279">
        <f>'Level Calculation Drone Survey'!$Z216</f>
        <v>263.91484285714273</v>
      </c>
      <c r="AC73" s="279">
        <f>'Level Calculation Drone Survey'!$Z216</f>
        <v>263.91484285714273</v>
      </c>
      <c r="AD73" s="279">
        <f>'Level Calculation Drone Survey'!$Z216</f>
        <v>263.91484285714273</v>
      </c>
      <c r="AE73" s="279">
        <f>'Level Calculation Drone Survey'!$Z216</f>
        <v>263.91484285714273</v>
      </c>
      <c r="AF73" s="279">
        <f>'Level Calculation Drone Survey'!$Z216</f>
        <v>263.91484285714273</v>
      </c>
      <c r="AG73" s="279">
        <f>'Level Calculation Drone Survey'!$Z216</f>
        <v>263.91484285714273</v>
      </c>
      <c r="AH73" s="279">
        <f>'Level Calculation Drone Survey'!$Z216</f>
        <v>263.91484285714273</v>
      </c>
      <c r="AI73" s="279">
        <f>'Level Calculation Drone Survey'!$Z216</f>
        <v>263.91484285714273</v>
      </c>
      <c r="AJ73" s="279">
        <f>'Level Calculation Drone Survey'!$Z216</f>
        <v>263.91484285714273</v>
      </c>
      <c r="AK73" s="279">
        <f>'Level Calculation Drone Survey'!$Z216</f>
        <v>263.91484285714273</v>
      </c>
      <c r="AL73" s="279">
        <f>'Level Calculation Drone Survey'!$Z216</f>
        <v>263.91484285714273</v>
      </c>
      <c r="AM73" s="279">
        <f>'Level Calculation Drone Survey'!$Z216</f>
        <v>263.91484285714273</v>
      </c>
      <c r="AN73" s="279">
        <f>'Level Calculation Drone Survey'!$Z216</f>
        <v>263.91484285714273</v>
      </c>
      <c r="AO73" s="279">
        <f>'Level Calculation Drone Survey'!$Z216</f>
        <v>263.91484285714273</v>
      </c>
      <c r="AP73" s="279">
        <f>'Level Calculation Drone Survey'!$Z216</f>
        <v>263.91484285714273</v>
      </c>
      <c r="AQ73" s="279">
        <f>'Level Calculation Drone Survey'!$Z216</f>
        <v>263.91484285714273</v>
      </c>
      <c r="AR73" s="279">
        <f>'Level Calculation Drone Survey'!$Z216</f>
        <v>263.91484285714273</v>
      </c>
      <c r="AS73" s="279">
        <f>'Level Calculation Drone Survey'!$Z216</f>
        <v>263.91484285714273</v>
      </c>
      <c r="AT73" s="279">
        <f>'Level Calculation Drone Survey'!$Z216</f>
        <v>263.91484285714273</v>
      </c>
      <c r="AU73" s="279">
        <f>'Level Calculation Drone Survey'!$Z216</f>
        <v>263.91484285714273</v>
      </c>
      <c r="AV73" s="305">
        <f>'Level Calculation Drone Survey'!$Z403</f>
        <v>263.86484285714272</v>
      </c>
      <c r="AW73" s="305">
        <v>263.86500000000001</v>
      </c>
      <c r="AX73" s="280">
        <f>'Level Calculation Drone Survey'!$Z198</f>
        <v>264.11475238095227</v>
      </c>
      <c r="AY73" s="280">
        <f>'Level Calculation Drone Survey'!$Z198</f>
        <v>264.11475238095227</v>
      </c>
      <c r="AZ73" s="280">
        <f>'Level Calculation Drone Survey'!$Z198</f>
        <v>264.11475238095227</v>
      </c>
      <c r="BA73" s="280">
        <f>'Level Calculation Drone Survey'!$Z198</f>
        <v>264.11475238095227</v>
      </c>
      <c r="BB73" s="280">
        <f>'Level Calculation Drone Survey'!$Z198</f>
        <v>264.11475238095227</v>
      </c>
      <c r="BC73" s="280">
        <f>'Level Calculation Drone Survey'!$Z198</f>
        <v>264.11475238095227</v>
      </c>
      <c r="BD73" s="280">
        <f>'Level Calculation Drone Survey'!$Z198</f>
        <v>264.11475238095227</v>
      </c>
      <c r="BE73" s="280">
        <f>'Level Calculation Drone Survey'!$Z198</f>
        <v>264.11475238095227</v>
      </c>
      <c r="BF73" s="280">
        <f>'Level Calculation Drone Survey'!$Z198</f>
        <v>264.11475238095227</v>
      </c>
      <c r="BG73" s="280">
        <f>'Level Calculation Drone Survey'!$Z198</f>
        <v>264.11475238095227</v>
      </c>
      <c r="BH73" s="280">
        <f>'Level Calculation Drone Survey'!$Z198</f>
        <v>264.11475238095227</v>
      </c>
      <c r="BI73" s="280">
        <f>'Level Calculation Drone Survey'!$Z198</f>
        <v>264.11475238095227</v>
      </c>
      <c r="BJ73" s="280">
        <f>'Level Calculation Drone Survey'!$Z198</f>
        <v>264.11475238095227</v>
      </c>
      <c r="BK73" s="280">
        <f>'Level Calculation Drone Survey'!$Z198</f>
        <v>264.11475238095227</v>
      </c>
      <c r="BL73" s="280">
        <f>'Level Calculation Drone Survey'!$Z198</f>
        <v>264.11475238095227</v>
      </c>
      <c r="BM73" s="280">
        <f>'Level Calculation Drone Survey'!$Z198</f>
        <v>264.11475238095227</v>
      </c>
      <c r="BN73" s="280">
        <f>'Level Calculation Drone Survey'!$Z198</f>
        <v>264.11475238095227</v>
      </c>
      <c r="BO73" s="280">
        <f>'Level Calculation Drone Survey'!$Z198</f>
        <v>264.11475238095227</v>
      </c>
      <c r="BP73" s="280">
        <f>'Level Calculation Drone Survey'!$Z198</f>
        <v>264.11475238095227</v>
      </c>
      <c r="BQ73" s="280">
        <f>'Level Calculation Drone Survey'!$Z198</f>
        <v>264.11475238095227</v>
      </c>
      <c r="BR73" s="280">
        <f>'Level Calculation Drone Survey'!$Z198</f>
        <v>264.11475238095227</v>
      </c>
      <c r="BS73" s="305">
        <f>'Level Calculation Drone Survey'!$Z449</f>
        <v>263.85996818181826</v>
      </c>
      <c r="BT73" s="279">
        <f>'Level Calculation Drone Survey'!$Z189</f>
        <v>263.85996818181826</v>
      </c>
      <c r="BU73" s="279">
        <f>'Level Calculation Drone Survey'!$Z189</f>
        <v>263.85996818181826</v>
      </c>
      <c r="BV73" s="279">
        <f>'Level Calculation Drone Survey'!$Z189</f>
        <v>263.85996818181826</v>
      </c>
      <c r="BW73" s="279">
        <f>'Level Calculation Drone Survey'!$Z189</f>
        <v>263.85996818181826</v>
      </c>
      <c r="BX73" s="279">
        <f>'Level Calculation Drone Survey'!$Z189</f>
        <v>263.85996818181826</v>
      </c>
      <c r="BY73" s="279">
        <f>'Level Calculation Drone Survey'!$Z189</f>
        <v>263.85996818181826</v>
      </c>
      <c r="BZ73" s="279">
        <f>'Level Calculation Drone Survey'!$Z189</f>
        <v>263.85996818181826</v>
      </c>
      <c r="CA73" s="279">
        <f>'Level Calculation Drone Survey'!$Z189</f>
        <v>263.85996818181826</v>
      </c>
      <c r="CB73" s="279">
        <f>'Level Calculation Drone Survey'!$Z189</f>
        <v>263.85996818181826</v>
      </c>
      <c r="CC73" s="279">
        <f>'Level Calculation Drone Survey'!$Z189</f>
        <v>263.85996818181826</v>
      </c>
      <c r="CD73" s="279">
        <f>'Level Calculation Drone Survey'!$Z189</f>
        <v>263.85996818181826</v>
      </c>
      <c r="CE73" s="279">
        <f>'Level Calculation Drone Survey'!$Z189</f>
        <v>263.85996818181826</v>
      </c>
      <c r="CF73" s="279">
        <f>'Level Calculation Drone Survey'!$Z189</f>
        <v>263.85996818181826</v>
      </c>
      <c r="CG73" s="279">
        <f>'Level Calculation Drone Survey'!$Z189</f>
        <v>263.85996818181826</v>
      </c>
      <c r="CH73" s="279">
        <f>'Level Calculation Drone Survey'!$Z189</f>
        <v>263.85996818181826</v>
      </c>
      <c r="CI73" s="279">
        <f>'Level Calculation Drone Survey'!$Z189</f>
        <v>263.85996818181826</v>
      </c>
      <c r="CJ73" s="279">
        <f>'Level Calculation Drone Survey'!$Z189</f>
        <v>263.85996818181826</v>
      </c>
      <c r="CK73" s="279">
        <f>'Level Calculation Drone Survey'!$Z189</f>
        <v>263.85996818181826</v>
      </c>
      <c r="CL73" s="279">
        <f>'Level Calculation Drone Survey'!$Z189</f>
        <v>263.85996818181826</v>
      </c>
      <c r="CM73" s="279">
        <f>'Level Calculation Drone Survey'!$Z189</f>
        <v>263.85996818181826</v>
      </c>
      <c r="CN73" s="279">
        <f>'Level Calculation Drone Survey'!$Z189</f>
        <v>263.85996818181826</v>
      </c>
      <c r="CO73" s="279">
        <f>'Level Calculation Drone Survey'!$Z189</f>
        <v>263.85996818181826</v>
      </c>
      <c r="CP73" s="312">
        <f>'Level Calculation Drone Survey'!$Z491</f>
        <v>263.649523809524</v>
      </c>
      <c r="CQ73" s="279">
        <f>'Level Calculation Drone Survey'!$Z180</f>
        <v>263.66452380952398</v>
      </c>
      <c r="CR73" s="279">
        <f>'Level Calculation Drone Survey'!$Z180</f>
        <v>263.66452380952398</v>
      </c>
      <c r="CS73" s="279">
        <f>'Level Calculation Drone Survey'!$Z180</f>
        <v>263.66452380952398</v>
      </c>
      <c r="CT73" s="279">
        <f>'Level Calculation Drone Survey'!$Z180</f>
        <v>263.66452380952398</v>
      </c>
      <c r="CU73" s="279">
        <f>'Level Calculation Drone Survey'!$Z180</f>
        <v>263.66452380952398</v>
      </c>
      <c r="CV73" s="279">
        <f>'Level Calculation Drone Survey'!$Z180</f>
        <v>263.66452380952398</v>
      </c>
      <c r="CW73" s="279">
        <f>'Level Calculation Drone Survey'!$Z180</f>
        <v>263.66452380952398</v>
      </c>
      <c r="CX73" s="279">
        <f>'Level Calculation Drone Survey'!$Z180</f>
        <v>263.66452380952398</v>
      </c>
      <c r="CY73" s="279">
        <f>'Level Calculation Drone Survey'!$Z180</f>
        <v>263.66452380952398</v>
      </c>
      <c r="CZ73" s="279">
        <f>'Level Calculation Drone Survey'!$Z180</f>
        <v>263.66452380952398</v>
      </c>
      <c r="DA73" s="279">
        <f>'Level Calculation Drone Survey'!$Z180</f>
        <v>263.66452380952398</v>
      </c>
      <c r="DB73" s="279">
        <f>'Level Calculation Drone Survey'!$Z180</f>
        <v>263.66452380952398</v>
      </c>
      <c r="DC73" s="279">
        <f>'Level Calculation Drone Survey'!$Z180</f>
        <v>263.66452380952398</v>
      </c>
      <c r="DD73" s="279">
        <f>'Level Calculation Drone Survey'!$Z180</f>
        <v>263.66452380952398</v>
      </c>
      <c r="DE73" s="279">
        <f>'Level Calculation Drone Survey'!$Z180</f>
        <v>263.66452380952398</v>
      </c>
      <c r="DF73" s="279">
        <f>'Level Calculation Drone Survey'!$Z180</f>
        <v>263.66452380952398</v>
      </c>
      <c r="DG73" s="279">
        <f>'Level Calculation Drone Survey'!$Z180</f>
        <v>263.66452380952398</v>
      </c>
      <c r="DH73" s="279">
        <f>'Level Calculation Drone Survey'!$Z180</f>
        <v>263.66452380952398</v>
      </c>
      <c r="DI73" s="279">
        <f>'Level Calculation Drone Survey'!$Z180</f>
        <v>263.66452380952398</v>
      </c>
      <c r="DJ73" s="279">
        <f>'Level Calculation Drone Survey'!$Z180</f>
        <v>263.66452380952398</v>
      </c>
      <c r="DK73" s="279">
        <f>'Level Calculation Drone Survey'!$Z180</f>
        <v>263.66452380952398</v>
      </c>
      <c r="DL73" s="313">
        <f>'Level Calculation Drone Survey'!$Z514</f>
        <v>263.29952380952392</v>
      </c>
      <c r="DM73" s="313">
        <f>'Level Calculation Drone Survey'!$Z514</f>
        <v>263.29952380952392</v>
      </c>
      <c r="DN73" s="313">
        <f>'Level Calculation Drone Survey'!$Z514</f>
        <v>263.29952380952392</v>
      </c>
      <c r="DO73" s="313">
        <f>'Level Calculation Drone Survey'!$Z514</f>
        <v>263.29952380952392</v>
      </c>
      <c r="DP73" s="313">
        <f>'Level Calculation Drone Survey'!$Z514</f>
        <v>263.29952380952392</v>
      </c>
      <c r="DQ73" s="313">
        <f>'Level Calculation Drone Survey'!$Z514</f>
        <v>263.29952380952392</v>
      </c>
      <c r="DR73" s="313">
        <f>'Level Calculation Drone Survey'!$Z514</f>
        <v>263.29952380952392</v>
      </c>
      <c r="DS73" s="313">
        <f>'Level Calculation Drone Survey'!$Z514</f>
        <v>263.29952380952392</v>
      </c>
      <c r="DT73" s="313">
        <f>'Level Calculation Drone Survey'!$Z514</f>
        <v>263.29952380952392</v>
      </c>
      <c r="DU73" s="313">
        <f>'Level Calculation Drone Survey'!$Z514</f>
        <v>263.29952380952392</v>
      </c>
      <c r="DV73" s="313">
        <f>'Level Calculation Drone Survey'!$Z514</f>
        <v>263.29952380952392</v>
      </c>
      <c r="DW73" s="313">
        <f>'Level Calculation Drone Survey'!$Z514</f>
        <v>263.29952380952392</v>
      </c>
      <c r="DX73" s="313">
        <f>'Level Calculation Drone Survey'!$Z514</f>
        <v>263.29952380952392</v>
      </c>
      <c r="DY73" s="313">
        <f>'Level Calculation Drone Survey'!$Z514</f>
        <v>263.29952380952392</v>
      </c>
      <c r="DZ73" s="313">
        <f>'Level Calculation Drone Survey'!$Z514</f>
        <v>263.29952380952392</v>
      </c>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row>
    <row r="74" spans="1:155" ht="45" customHeight="1" x14ac:dyDescent="0.45">
      <c r="A74" s="277">
        <v>365</v>
      </c>
      <c r="B74" s="191"/>
      <c r="C74" s="191"/>
      <c r="D74" s="191"/>
      <c r="E74" s="305"/>
      <c r="F74" s="305">
        <f>'Level Calculation Drone Survey'!$Z312</f>
        <v>264.1251444444444</v>
      </c>
      <c r="G74" s="305">
        <f>'Level Calculation Drone Survey'!$Z312</f>
        <v>264.1251444444444</v>
      </c>
      <c r="H74" s="279">
        <f>'Level Calculation Drone Survey'!$Z249</f>
        <v>264.22514444444442</v>
      </c>
      <c r="I74" s="279">
        <f>'Level Calculation Drone Survey'!$Z249</f>
        <v>264.22514444444442</v>
      </c>
      <c r="J74" s="279">
        <f>'Level Calculation Drone Survey'!$Z249</f>
        <v>264.22514444444442</v>
      </c>
      <c r="K74" s="279">
        <f>'Level Calculation Drone Survey'!$Z249</f>
        <v>264.22514444444442</v>
      </c>
      <c r="L74" s="279">
        <f>'Level Calculation Drone Survey'!$Z249</f>
        <v>264.22514444444442</v>
      </c>
      <c r="M74" s="279">
        <f>'Level Calculation Drone Survey'!$Z249</f>
        <v>264.22514444444442</v>
      </c>
      <c r="N74" s="279">
        <f>'Level Calculation Drone Survey'!$Z249</f>
        <v>264.22514444444442</v>
      </c>
      <c r="O74" s="279">
        <f>'Level Calculation Drone Survey'!$Z249</f>
        <v>264.22514444444442</v>
      </c>
      <c r="P74" s="279">
        <f>'Level Calculation Drone Survey'!$Z249</f>
        <v>264.22514444444442</v>
      </c>
      <c r="Q74" s="279">
        <f>'Level Calculation Drone Survey'!$Z249</f>
        <v>264.22514444444442</v>
      </c>
      <c r="R74" s="279">
        <f>'Level Calculation Drone Survey'!$Z249</f>
        <v>264.22514444444442</v>
      </c>
      <c r="S74" s="279">
        <f>'Level Calculation Drone Survey'!$Z249</f>
        <v>264.22514444444442</v>
      </c>
      <c r="T74" s="279">
        <f>'Level Calculation Drone Survey'!$Z249</f>
        <v>264.22514444444442</v>
      </c>
      <c r="U74" s="279">
        <f>'Level Calculation Drone Survey'!$Z249</f>
        <v>264.22514444444442</v>
      </c>
      <c r="V74" s="279">
        <f>'Level Calculation Drone Survey'!$Z249</f>
        <v>264.22514444444442</v>
      </c>
      <c r="W74" s="279">
        <f>'Level Calculation Drone Survey'!$Z249</f>
        <v>264.22514444444442</v>
      </c>
      <c r="X74" s="279">
        <f>'Level Calculation Drone Survey'!$Z249</f>
        <v>264.22514444444442</v>
      </c>
      <c r="Y74" s="279">
        <f>'Level Calculation Drone Survey'!$Z249</f>
        <v>264.22514444444442</v>
      </c>
      <c r="Z74" s="305">
        <f>'Level Calculation Drone Survey'!$Z353</f>
        <v>263.86484285714278</v>
      </c>
      <c r="AA74" s="279">
        <f>'Level Calculation Drone Survey'!$Z217</f>
        <v>263.86484285714272</v>
      </c>
      <c r="AB74" s="279">
        <f>'Level Calculation Drone Survey'!$Z217</f>
        <v>263.86484285714272</v>
      </c>
      <c r="AC74" s="279">
        <f>'Level Calculation Drone Survey'!$Z217</f>
        <v>263.86484285714272</v>
      </c>
      <c r="AD74" s="279">
        <f>'Level Calculation Drone Survey'!$Z217</f>
        <v>263.86484285714272</v>
      </c>
      <c r="AE74" s="279">
        <f>'Level Calculation Drone Survey'!$Z217</f>
        <v>263.86484285714272</v>
      </c>
      <c r="AF74" s="279">
        <f>'Level Calculation Drone Survey'!$Z217</f>
        <v>263.86484285714272</v>
      </c>
      <c r="AG74" s="279">
        <f>'Level Calculation Drone Survey'!$Z217</f>
        <v>263.86484285714272</v>
      </c>
      <c r="AH74" s="279">
        <f>'Level Calculation Drone Survey'!$Z217</f>
        <v>263.86484285714272</v>
      </c>
      <c r="AI74" s="279">
        <f>'Level Calculation Drone Survey'!$Z217</f>
        <v>263.86484285714272</v>
      </c>
      <c r="AJ74" s="279">
        <f>'Level Calculation Drone Survey'!$Z217</f>
        <v>263.86484285714272</v>
      </c>
      <c r="AK74" s="279">
        <f>'Level Calculation Drone Survey'!$Z217</f>
        <v>263.86484285714272</v>
      </c>
      <c r="AL74" s="279">
        <f>'Level Calculation Drone Survey'!$Z217</f>
        <v>263.86484285714272</v>
      </c>
      <c r="AM74" s="279">
        <f>'Level Calculation Drone Survey'!$Z217</f>
        <v>263.86484285714272</v>
      </c>
      <c r="AN74" s="279">
        <f>'Level Calculation Drone Survey'!$Z217</f>
        <v>263.86484285714272</v>
      </c>
      <c r="AO74" s="279">
        <f>'Level Calculation Drone Survey'!$Z217</f>
        <v>263.86484285714272</v>
      </c>
      <c r="AP74" s="279">
        <f>'Level Calculation Drone Survey'!$Z217</f>
        <v>263.86484285714272</v>
      </c>
      <c r="AQ74" s="279">
        <f>'Level Calculation Drone Survey'!$Z217</f>
        <v>263.86484285714272</v>
      </c>
      <c r="AR74" s="279">
        <f>'Level Calculation Drone Survey'!$Z217</f>
        <v>263.86484285714272</v>
      </c>
      <c r="AS74" s="279">
        <f>'Level Calculation Drone Survey'!$Z217</f>
        <v>263.86484285714272</v>
      </c>
      <c r="AT74" s="279">
        <f>'Level Calculation Drone Survey'!$Z217</f>
        <v>263.86484285714272</v>
      </c>
      <c r="AU74" s="279">
        <f>'Level Calculation Drone Survey'!$Z217</f>
        <v>263.86484285714272</v>
      </c>
      <c r="AV74" s="305">
        <f>'Level Calculation Drone Survey'!$Z404</f>
        <v>263.81484285714271</v>
      </c>
      <c r="AW74" s="305">
        <v>263.815</v>
      </c>
      <c r="AX74" s="279">
        <f>'Level Calculation Drone Survey'!$Z199</f>
        <v>264.06475238095226</v>
      </c>
      <c r="AY74" s="279">
        <f>'Level Calculation Drone Survey'!$Z199</f>
        <v>264.06475238095226</v>
      </c>
      <c r="AZ74" s="279">
        <f>'Level Calculation Drone Survey'!$Z199</f>
        <v>264.06475238095226</v>
      </c>
      <c r="BA74" s="279">
        <f>'Level Calculation Drone Survey'!$Z199</f>
        <v>264.06475238095226</v>
      </c>
      <c r="BB74" s="279">
        <f>'Level Calculation Drone Survey'!$Z199</f>
        <v>264.06475238095226</v>
      </c>
      <c r="BC74" s="279">
        <f>'Level Calculation Drone Survey'!$Z199</f>
        <v>264.06475238095226</v>
      </c>
      <c r="BD74" s="279">
        <f>'Level Calculation Drone Survey'!$Z199</f>
        <v>264.06475238095226</v>
      </c>
      <c r="BE74" s="279">
        <f>'Level Calculation Drone Survey'!$Z199</f>
        <v>264.06475238095226</v>
      </c>
      <c r="BF74" s="279">
        <f>'Level Calculation Drone Survey'!$Z199</f>
        <v>264.06475238095226</v>
      </c>
      <c r="BG74" s="279">
        <f>'Level Calculation Drone Survey'!$Z199</f>
        <v>264.06475238095226</v>
      </c>
      <c r="BH74" s="279">
        <f>'Level Calculation Drone Survey'!$Z199</f>
        <v>264.06475238095226</v>
      </c>
      <c r="BI74" s="279">
        <f>'Level Calculation Drone Survey'!$Z199</f>
        <v>264.06475238095226</v>
      </c>
      <c r="BJ74" s="279">
        <f>'Level Calculation Drone Survey'!$Z199</f>
        <v>264.06475238095226</v>
      </c>
      <c r="BK74" s="279">
        <f>'Level Calculation Drone Survey'!$Z199</f>
        <v>264.06475238095226</v>
      </c>
      <c r="BL74" s="279">
        <f>'Level Calculation Drone Survey'!$Z199</f>
        <v>264.06475238095226</v>
      </c>
      <c r="BM74" s="279">
        <f>'Level Calculation Drone Survey'!$Z199</f>
        <v>264.06475238095226</v>
      </c>
      <c r="BN74" s="279">
        <f>'Level Calculation Drone Survey'!$Z199</f>
        <v>264.06475238095226</v>
      </c>
      <c r="BO74" s="279">
        <f>'Level Calculation Drone Survey'!$Z199</f>
        <v>264.06475238095226</v>
      </c>
      <c r="BP74" s="279">
        <f>'Level Calculation Drone Survey'!$Z199</f>
        <v>264.06475238095226</v>
      </c>
      <c r="BQ74" s="279">
        <f>'Level Calculation Drone Survey'!$Z199</f>
        <v>264.06475238095226</v>
      </c>
      <c r="BR74" s="279">
        <f>'Level Calculation Drone Survey'!$Z199</f>
        <v>264.06475238095226</v>
      </c>
      <c r="BS74" s="305">
        <f>'Level Calculation Drone Survey'!$Z450</f>
        <v>263.90996818181827</v>
      </c>
      <c r="BT74" s="279">
        <f>'Level Calculation Drone Survey'!$Z190</f>
        <v>263.90996818181827</v>
      </c>
      <c r="BU74" s="279">
        <f>'Level Calculation Drone Survey'!$Z190</f>
        <v>263.90996818181827</v>
      </c>
      <c r="BV74" s="279">
        <f>'Level Calculation Drone Survey'!$Z190</f>
        <v>263.90996818181827</v>
      </c>
      <c r="BW74" s="279">
        <f>'Level Calculation Drone Survey'!$Z190</f>
        <v>263.90996818181827</v>
      </c>
      <c r="BX74" s="279">
        <f>'Level Calculation Drone Survey'!$Z190</f>
        <v>263.90996818181827</v>
      </c>
      <c r="BY74" s="279">
        <f>'Level Calculation Drone Survey'!$Z190</f>
        <v>263.90996818181827</v>
      </c>
      <c r="BZ74" s="279">
        <f>'Level Calculation Drone Survey'!$Z190</f>
        <v>263.90996818181827</v>
      </c>
      <c r="CA74" s="279">
        <f>'Level Calculation Drone Survey'!$Z190</f>
        <v>263.90996818181827</v>
      </c>
      <c r="CB74" s="279">
        <f>'Level Calculation Drone Survey'!$Z190</f>
        <v>263.90996818181827</v>
      </c>
      <c r="CC74" s="279">
        <f>'Level Calculation Drone Survey'!$Z190</f>
        <v>263.90996818181827</v>
      </c>
      <c r="CD74" s="279">
        <f>'Level Calculation Drone Survey'!$Z190</f>
        <v>263.90996818181827</v>
      </c>
      <c r="CE74" s="279">
        <f>'Level Calculation Drone Survey'!$Z190</f>
        <v>263.90996818181827</v>
      </c>
      <c r="CF74" s="279">
        <f>'Level Calculation Drone Survey'!$Z190</f>
        <v>263.90996818181827</v>
      </c>
      <c r="CG74" s="279">
        <f>'Level Calculation Drone Survey'!$Z190</f>
        <v>263.90996818181827</v>
      </c>
      <c r="CH74" s="279">
        <f>'Level Calculation Drone Survey'!$Z190</f>
        <v>263.90996818181827</v>
      </c>
      <c r="CI74" s="279">
        <f>'Level Calculation Drone Survey'!$Z190</f>
        <v>263.90996818181827</v>
      </c>
      <c r="CJ74" s="279">
        <f>'Level Calculation Drone Survey'!$Z190</f>
        <v>263.90996818181827</v>
      </c>
      <c r="CK74" s="279">
        <f>'Level Calculation Drone Survey'!$Z190</f>
        <v>263.90996818181827</v>
      </c>
      <c r="CL74" s="279">
        <f>'Level Calculation Drone Survey'!$Z190</f>
        <v>263.90996818181827</v>
      </c>
      <c r="CM74" s="279">
        <f>'Level Calculation Drone Survey'!$Z190</f>
        <v>263.90996818181827</v>
      </c>
      <c r="CN74" s="279">
        <f>'Level Calculation Drone Survey'!$Z190</f>
        <v>263.90996818181827</v>
      </c>
      <c r="CO74" s="279">
        <f>'Level Calculation Drone Survey'!$Z190</f>
        <v>263.90996818181827</v>
      </c>
      <c r="CP74" s="312">
        <f>'Level Calculation Drone Survey'!$Z492</f>
        <v>263.69952380952401</v>
      </c>
      <c r="CQ74" s="279">
        <f>'Level Calculation Drone Survey'!$Z181</f>
        <v>263.714523809524</v>
      </c>
      <c r="CR74" s="279">
        <f>'Level Calculation Drone Survey'!$Z181</f>
        <v>263.714523809524</v>
      </c>
      <c r="CS74" s="279">
        <f>'Level Calculation Drone Survey'!$Z181</f>
        <v>263.714523809524</v>
      </c>
      <c r="CT74" s="279">
        <f>'Level Calculation Drone Survey'!$Z181</f>
        <v>263.714523809524</v>
      </c>
      <c r="CU74" s="279">
        <f>'Level Calculation Drone Survey'!$Z181</f>
        <v>263.714523809524</v>
      </c>
      <c r="CV74" s="279">
        <f>'Level Calculation Drone Survey'!$Z181</f>
        <v>263.714523809524</v>
      </c>
      <c r="CW74" s="279">
        <f>'Level Calculation Drone Survey'!$Z181</f>
        <v>263.714523809524</v>
      </c>
      <c r="CX74" s="279">
        <f>'Level Calculation Drone Survey'!$Z181</f>
        <v>263.714523809524</v>
      </c>
      <c r="CY74" s="279">
        <f>'Level Calculation Drone Survey'!$Z181</f>
        <v>263.714523809524</v>
      </c>
      <c r="CZ74" s="279">
        <f>'Level Calculation Drone Survey'!$Z181</f>
        <v>263.714523809524</v>
      </c>
      <c r="DA74" s="279">
        <f>'Level Calculation Drone Survey'!$Z181</f>
        <v>263.714523809524</v>
      </c>
      <c r="DB74" s="279">
        <f>'Level Calculation Drone Survey'!$Z181</f>
        <v>263.714523809524</v>
      </c>
      <c r="DC74" s="279">
        <f>'Level Calculation Drone Survey'!$Z181</f>
        <v>263.714523809524</v>
      </c>
      <c r="DD74" s="279">
        <f>'Level Calculation Drone Survey'!$Z181</f>
        <v>263.714523809524</v>
      </c>
      <c r="DE74" s="279">
        <f>'Level Calculation Drone Survey'!$Z181</f>
        <v>263.714523809524</v>
      </c>
      <c r="DF74" s="279">
        <f>'Level Calculation Drone Survey'!$Z181</f>
        <v>263.714523809524</v>
      </c>
      <c r="DG74" s="279">
        <f>'Level Calculation Drone Survey'!$Z181</f>
        <v>263.714523809524</v>
      </c>
      <c r="DH74" s="279">
        <f>'Level Calculation Drone Survey'!$Z181</f>
        <v>263.714523809524</v>
      </c>
      <c r="DI74" s="279">
        <f>'Level Calculation Drone Survey'!$Z181</f>
        <v>263.714523809524</v>
      </c>
      <c r="DJ74" s="279">
        <f>'Level Calculation Drone Survey'!$Z181</f>
        <v>263.714523809524</v>
      </c>
      <c r="DK74" s="279">
        <f>'Level Calculation Drone Survey'!$Z181</f>
        <v>263.714523809524</v>
      </c>
      <c r="DL74" s="313">
        <f>'Level Calculation Drone Survey'!$Z515</f>
        <v>263.29952380952392</v>
      </c>
      <c r="DM74" s="313">
        <f>'Level Calculation Drone Survey'!$Z515</f>
        <v>263.29952380952392</v>
      </c>
      <c r="DN74" s="313">
        <f>'Level Calculation Drone Survey'!$Z515</f>
        <v>263.29952380952392</v>
      </c>
      <c r="DO74" s="313">
        <f>'Level Calculation Drone Survey'!$Z515</f>
        <v>263.29952380952392</v>
      </c>
      <c r="DP74" s="313">
        <f>'Level Calculation Drone Survey'!$Z515</f>
        <v>263.29952380952392</v>
      </c>
      <c r="DQ74" s="313">
        <f>'Level Calculation Drone Survey'!$Z515</f>
        <v>263.29952380952392</v>
      </c>
      <c r="DR74" s="313">
        <f>'Level Calculation Drone Survey'!$Z515</f>
        <v>263.29952380952392</v>
      </c>
      <c r="DS74" s="313">
        <f>'Level Calculation Drone Survey'!$Z515</f>
        <v>263.29952380952392</v>
      </c>
      <c r="DT74" s="313">
        <f>'Level Calculation Drone Survey'!$Z515</f>
        <v>263.29952380952392</v>
      </c>
      <c r="DU74" s="313">
        <f>'Level Calculation Drone Survey'!$Z515</f>
        <v>263.29952380952392</v>
      </c>
      <c r="DV74" s="313">
        <f>'Level Calculation Drone Survey'!$Z515</f>
        <v>263.29952380952392</v>
      </c>
      <c r="DW74" s="313">
        <f>'Level Calculation Drone Survey'!$Z515</f>
        <v>263.29952380952392</v>
      </c>
      <c r="DX74" s="313">
        <f>'Level Calculation Drone Survey'!$Z515</f>
        <v>263.29952380952392</v>
      </c>
      <c r="DY74" s="313">
        <f>'Level Calculation Drone Survey'!$Z515</f>
        <v>263.29952380952392</v>
      </c>
      <c r="DZ74" s="313">
        <f>'Level Calculation Drone Survey'!$Z515</f>
        <v>263.29952380952392</v>
      </c>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row>
    <row r="75" spans="1:155" ht="45" customHeight="1" x14ac:dyDescent="0.45">
      <c r="A75" s="277">
        <v>370</v>
      </c>
      <c r="B75" s="191"/>
      <c r="C75" s="191"/>
      <c r="D75" s="191"/>
      <c r="E75" s="305"/>
      <c r="F75" s="305">
        <f>'Level Calculation Drone Survey'!$Z313</f>
        <v>264.17514444444441</v>
      </c>
      <c r="G75" s="305">
        <f>'Level Calculation Drone Survey'!$Z313</f>
        <v>264.17514444444441</v>
      </c>
      <c r="H75" s="280">
        <f>'Level Calculation Drone Survey'!$Z250</f>
        <v>264.27514444444444</v>
      </c>
      <c r="I75" s="280">
        <f>'Level Calculation Drone Survey'!$Z250</f>
        <v>264.27514444444444</v>
      </c>
      <c r="J75" s="280">
        <f>'Level Calculation Drone Survey'!$Z250</f>
        <v>264.27514444444444</v>
      </c>
      <c r="K75" s="280">
        <f>'Level Calculation Drone Survey'!$Z250</f>
        <v>264.27514444444444</v>
      </c>
      <c r="L75" s="280">
        <f>'Level Calculation Drone Survey'!$Z250</f>
        <v>264.27514444444444</v>
      </c>
      <c r="M75" s="280">
        <f>'Level Calculation Drone Survey'!$Z250</f>
        <v>264.27514444444444</v>
      </c>
      <c r="N75" s="280">
        <f>'Level Calculation Drone Survey'!$Z250</f>
        <v>264.27514444444444</v>
      </c>
      <c r="O75" s="280">
        <f>'Level Calculation Drone Survey'!$Z250</f>
        <v>264.27514444444444</v>
      </c>
      <c r="P75" s="280">
        <f>'Level Calculation Drone Survey'!$Z250</f>
        <v>264.27514444444444</v>
      </c>
      <c r="Q75" s="280">
        <f>'Level Calculation Drone Survey'!$Z250</f>
        <v>264.27514444444444</v>
      </c>
      <c r="R75" s="280">
        <f>'Level Calculation Drone Survey'!$Z250</f>
        <v>264.27514444444444</v>
      </c>
      <c r="S75" s="280">
        <f>'Level Calculation Drone Survey'!$Z250</f>
        <v>264.27514444444444</v>
      </c>
      <c r="T75" s="280">
        <f>'Level Calculation Drone Survey'!$Z250</f>
        <v>264.27514444444444</v>
      </c>
      <c r="U75" s="280">
        <f>'Level Calculation Drone Survey'!$Z250</f>
        <v>264.27514444444444</v>
      </c>
      <c r="V75" s="280">
        <f>'Level Calculation Drone Survey'!$Z250</f>
        <v>264.27514444444444</v>
      </c>
      <c r="W75" s="280">
        <f>'Level Calculation Drone Survey'!$Z250</f>
        <v>264.27514444444444</v>
      </c>
      <c r="X75" s="280">
        <f>'Level Calculation Drone Survey'!$Z250</f>
        <v>264.27514444444444</v>
      </c>
      <c r="Y75" s="280">
        <f>'Level Calculation Drone Survey'!$Z250</f>
        <v>264.27514444444444</v>
      </c>
      <c r="Z75" s="305">
        <f>'Level Calculation Drone Survey'!$Z354</f>
        <v>263.81484285714276</v>
      </c>
      <c r="AA75" s="279">
        <f>'Level Calculation Drone Survey'!$Z218</f>
        <v>263.81484285714271</v>
      </c>
      <c r="AB75" s="279">
        <f>'Level Calculation Drone Survey'!$Z218</f>
        <v>263.81484285714271</v>
      </c>
      <c r="AC75" s="279">
        <f>'Level Calculation Drone Survey'!$Z218</f>
        <v>263.81484285714271</v>
      </c>
      <c r="AD75" s="279">
        <f>'Level Calculation Drone Survey'!$Z218</f>
        <v>263.81484285714271</v>
      </c>
      <c r="AE75" s="279">
        <f>'Level Calculation Drone Survey'!$Z218</f>
        <v>263.81484285714271</v>
      </c>
      <c r="AF75" s="279">
        <f>'Level Calculation Drone Survey'!$Z218</f>
        <v>263.81484285714271</v>
      </c>
      <c r="AG75" s="279">
        <f>'Level Calculation Drone Survey'!$Z218</f>
        <v>263.81484285714271</v>
      </c>
      <c r="AH75" s="279">
        <f>'Level Calculation Drone Survey'!$Z218</f>
        <v>263.81484285714271</v>
      </c>
      <c r="AI75" s="279">
        <f>'Level Calculation Drone Survey'!$Z218</f>
        <v>263.81484285714271</v>
      </c>
      <c r="AJ75" s="279">
        <f>'Level Calculation Drone Survey'!$Z218</f>
        <v>263.81484285714271</v>
      </c>
      <c r="AK75" s="279">
        <f>'Level Calculation Drone Survey'!$Z218</f>
        <v>263.81484285714271</v>
      </c>
      <c r="AL75" s="279">
        <f>'Level Calculation Drone Survey'!$Z218</f>
        <v>263.81484285714271</v>
      </c>
      <c r="AM75" s="279">
        <f>'Level Calculation Drone Survey'!$Z218</f>
        <v>263.81484285714271</v>
      </c>
      <c r="AN75" s="279">
        <f>'Level Calculation Drone Survey'!$Z218</f>
        <v>263.81484285714271</v>
      </c>
      <c r="AO75" s="279">
        <f>'Level Calculation Drone Survey'!$Z218</f>
        <v>263.81484285714271</v>
      </c>
      <c r="AP75" s="279">
        <f>'Level Calculation Drone Survey'!$Z218</f>
        <v>263.81484285714271</v>
      </c>
      <c r="AQ75" s="279">
        <f>'Level Calculation Drone Survey'!$Z218</f>
        <v>263.81484285714271</v>
      </c>
      <c r="AR75" s="279">
        <f>'Level Calculation Drone Survey'!$Z218</f>
        <v>263.81484285714271</v>
      </c>
      <c r="AS75" s="279">
        <f>'Level Calculation Drone Survey'!$Z218</f>
        <v>263.81484285714271</v>
      </c>
      <c r="AT75" s="279">
        <f>'Level Calculation Drone Survey'!$Z218</f>
        <v>263.81484285714271</v>
      </c>
      <c r="AU75" s="279">
        <f>'Level Calculation Drone Survey'!$Z218</f>
        <v>263.81484285714271</v>
      </c>
      <c r="AV75" s="305">
        <f>'Level Calculation Drone Survey'!$Z405</f>
        <v>263.7648428571427</v>
      </c>
      <c r="AW75" s="305">
        <v>263.76499999999999</v>
      </c>
      <c r="AX75" s="279">
        <f>'Level Calculation Drone Survey'!$Z200</f>
        <v>264.01475238095225</v>
      </c>
      <c r="AY75" s="279">
        <f>'Level Calculation Drone Survey'!$Z200</f>
        <v>264.01475238095225</v>
      </c>
      <c r="AZ75" s="279">
        <f>'Level Calculation Drone Survey'!$Z200</f>
        <v>264.01475238095225</v>
      </c>
      <c r="BA75" s="279">
        <f>'Level Calculation Drone Survey'!$Z200</f>
        <v>264.01475238095225</v>
      </c>
      <c r="BB75" s="279">
        <f>'Level Calculation Drone Survey'!$Z200</f>
        <v>264.01475238095225</v>
      </c>
      <c r="BC75" s="279">
        <f>'Level Calculation Drone Survey'!$Z200</f>
        <v>264.01475238095225</v>
      </c>
      <c r="BD75" s="279">
        <f>'Level Calculation Drone Survey'!$Z200</f>
        <v>264.01475238095225</v>
      </c>
      <c r="BE75" s="279">
        <f>'Level Calculation Drone Survey'!$Z200</f>
        <v>264.01475238095225</v>
      </c>
      <c r="BF75" s="279">
        <f>'Level Calculation Drone Survey'!$Z200</f>
        <v>264.01475238095225</v>
      </c>
      <c r="BG75" s="279">
        <f>'Level Calculation Drone Survey'!$Z200</f>
        <v>264.01475238095225</v>
      </c>
      <c r="BH75" s="279">
        <f>'Level Calculation Drone Survey'!$Z200</f>
        <v>264.01475238095225</v>
      </c>
      <c r="BI75" s="279">
        <f>'Level Calculation Drone Survey'!$Z200</f>
        <v>264.01475238095225</v>
      </c>
      <c r="BJ75" s="279">
        <f>'Level Calculation Drone Survey'!$Z200</f>
        <v>264.01475238095225</v>
      </c>
      <c r="BK75" s="279">
        <f>'Level Calculation Drone Survey'!$Z200</f>
        <v>264.01475238095225</v>
      </c>
      <c r="BL75" s="279">
        <f>'Level Calculation Drone Survey'!$Z200</f>
        <v>264.01475238095225</v>
      </c>
      <c r="BM75" s="279">
        <f>'Level Calculation Drone Survey'!$Z200</f>
        <v>264.01475238095225</v>
      </c>
      <c r="BN75" s="279">
        <f>'Level Calculation Drone Survey'!$Z200</f>
        <v>264.01475238095225</v>
      </c>
      <c r="BO75" s="279">
        <f>'Level Calculation Drone Survey'!$Z200</f>
        <v>264.01475238095225</v>
      </c>
      <c r="BP75" s="279">
        <f>'Level Calculation Drone Survey'!$Z200</f>
        <v>264.01475238095225</v>
      </c>
      <c r="BQ75" s="279">
        <f>'Level Calculation Drone Survey'!$Z200</f>
        <v>264.01475238095225</v>
      </c>
      <c r="BR75" s="279">
        <f>'Level Calculation Drone Survey'!$Z200</f>
        <v>264.01475238095225</v>
      </c>
      <c r="BS75" s="305">
        <f>'Level Calculation Drone Survey'!$Z451</f>
        <v>263.95996818181828</v>
      </c>
      <c r="BT75" s="279">
        <f>'Level Calculation Drone Survey'!$Z191</f>
        <v>263.95996818181828</v>
      </c>
      <c r="BU75" s="279">
        <f>'Level Calculation Drone Survey'!$Z191</f>
        <v>263.95996818181828</v>
      </c>
      <c r="BV75" s="279">
        <f>'Level Calculation Drone Survey'!$Z191</f>
        <v>263.95996818181828</v>
      </c>
      <c r="BW75" s="279">
        <f>'Level Calculation Drone Survey'!$Z191</f>
        <v>263.95996818181828</v>
      </c>
      <c r="BX75" s="279">
        <f>'Level Calculation Drone Survey'!$Z191</f>
        <v>263.95996818181828</v>
      </c>
      <c r="BY75" s="279">
        <f>'Level Calculation Drone Survey'!$Z191</f>
        <v>263.95996818181828</v>
      </c>
      <c r="BZ75" s="279">
        <f>'Level Calculation Drone Survey'!$Z191</f>
        <v>263.95996818181828</v>
      </c>
      <c r="CA75" s="279">
        <f>'Level Calculation Drone Survey'!$Z191</f>
        <v>263.95996818181828</v>
      </c>
      <c r="CB75" s="279">
        <f>'Level Calculation Drone Survey'!$Z191</f>
        <v>263.95996818181828</v>
      </c>
      <c r="CC75" s="279">
        <f>'Level Calculation Drone Survey'!$Z191</f>
        <v>263.95996818181828</v>
      </c>
      <c r="CD75" s="279">
        <f>'Level Calculation Drone Survey'!$Z191</f>
        <v>263.95996818181828</v>
      </c>
      <c r="CE75" s="279">
        <f>'Level Calculation Drone Survey'!$Z191</f>
        <v>263.95996818181828</v>
      </c>
      <c r="CF75" s="279">
        <f>'Level Calculation Drone Survey'!$Z191</f>
        <v>263.95996818181828</v>
      </c>
      <c r="CG75" s="279">
        <f>'Level Calculation Drone Survey'!$Z191</f>
        <v>263.95996818181828</v>
      </c>
      <c r="CH75" s="279">
        <f>'Level Calculation Drone Survey'!$Z191</f>
        <v>263.95996818181828</v>
      </c>
      <c r="CI75" s="279">
        <f>'Level Calculation Drone Survey'!$Z191</f>
        <v>263.95996818181828</v>
      </c>
      <c r="CJ75" s="279">
        <f>'Level Calculation Drone Survey'!$Z191</f>
        <v>263.95996818181828</v>
      </c>
      <c r="CK75" s="279">
        <f>'Level Calculation Drone Survey'!$Z191</f>
        <v>263.95996818181828</v>
      </c>
      <c r="CL75" s="279">
        <f>'Level Calculation Drone Survey'!$Z191</f>
        <v>263.95996818181828</v>
      </c>
      <c r="CM75" s="279">
        <f>'Level Calculation Drone Survey'!$Z191</f>
        <v>263.95996818181828</v>
      </c>
      <c r="CN75" s="279">
        <f>'Level Calculation Drone Survey'!$Z191</f>
        <v>263.95996818181828</v>
      </c>
      <c r="CO75" s="279">
        <f>'Level Calculation Drone Survey'!$Z191</f>
        <v>263.95996818181828</v>
      </c>
      <c r="CP75" s="312">
        <f>'Level Calculation Drone Survey'!$Z493</f>
        <v>263.74952380952402</v>
      </c>
      <c r="CQ75" s="279">
        <f>'Level Calculation Drone Survey'!$Z182</f>
        <v>263.76452380952401</v>
      </c>
      <c r="CR75" s="279">
        <f>'Level Calculation Drone Survey'!$Z182</f>
        <v>263.76452380952401</v>
      </c>
      <c r="CS75" s="279">
        <f>'Level Calculation Drone Survey'!$Z182</f>
        <v>263.76452380952401</v>
      </c>
      <c r="CT75" s="279">
        <f>'Level Calculation Drone Survey'!$Z182</f>
        <v>263.76452380952401</v>
      </c>
      <c r="CU75" s="279">
        <f>'Level Calculation Drone Survey'!$Z182</f>
        <v>263.76452380952401</v>
      </c>
      <c r="CV75" s="279">
        <f>'Level Calculation Drone Survey'!$Z182</f>
        <v>263.76452380952401</v>
      </c>
      <c r="CW75" s="279">
        <f>'Level Calculation Drone Survey'!$Z182</f>
        <v>263.76452380952401</v>
      </c>
      <c r="CX75" s="279">
        <f>'Level Calculation Drone Survey'!$Z182</f>
        <v>263.76452380952401</v>
      </c>
      <c r="CY75" s="279">
        <f>'Level Calculation Drone Survey'!$Z182</f>
        <v>263.76452380952401</v>
      </c>
      <c r="CZ75" s="279">
        <f>'Level Calculation Drone Survey'!$Z182</f>
        <v>263.76452380952401</v>
      </c>
      <c r="DA75" s="279">
        <f>'Level Calculation Drone Survey'!$Z182</f>
        <v>263.76452380952401</v>
      </c>
      <c r="DB75" s="279">
        <f>'Level Calculation Drone Survey'!$Z182</f>
        <v>263.76452380952401</v>
      </c>
      <c r="DC75" s="279">
        <f>'Level Calculation Drone Survey'!$Z182</f>
        <v>263.76452380952401</v>
      </c>
      <c r="DD75" s="279">
        <f>'Level Calculation Drone Survey'!$Z182</f>
        <v>263.76452380952401</v>
      </c>
      <c r="DE75" s="279">
        <f>'Level Calculation Drone Survey'!$Z182</f>
        <v>263.76452380952401</v>
      </c>
      <c r="DF75" s="279">
        <f>'Level Calculation Drone Survey'!$Z182</f>
        <v>263.76452380952401</v>
      </c>
      <c r="DG75" s="305">
        <f>'Level Calculation Drone Survey'!$Z497</f>
        <v>263.66452380952398</v>
      </c>
      <c r="DH75" s="305">
        <f>'Level Calculation Drone Survey'!$Z497</f>
        <v>263.66452380952398</v>
      </c>
      <c r="DI75" s="305">
        <f>'Level Calculation Drone Survey'!$Z497</f>
        <v>263.66452380952398</v>
      </c>
      <c r="DJ75" s="305">
        <f>'Level Calculation Drone Survey'!$Z497</f>
        <v>263.66452380952398</v>
      </c>
      <c r="DK75" s="305">
        <f>'Level Calculation Drone Survey'!$Z497</f>
        <v>263.66452380952398</v>
      </c>
      <c r="DL75" s="313">
        <f>'Level Calculation Drone Survey'!$Z516</f>
        <v>263.29952380952392</v>
      </c>
      <c r="DM75" s="313">
        <f>'Level Calculation Drone Survey'!$Z516</f>
        <v>263.29952380952392</v>
      </c>
      <c r="DN75" s="313">
        <f>'Level Calculation Drone Survey'!$Z516</f>
        <v>263.29952380952392</v>
      </c>
      <c r="DO75" s="313">
        <f>'Level Calculation Drone Survey'!$Z516</f>
        <v>263.29952380952392</v>
      </c>
      <c r="DP75" s="313">
        <f>'Level Calculation Drone Survey'!$Z516</f>
        <v>263.29952380952392</v>
      </c>
      <c r="DQ75" s="313">
        <f>'Level Calculation Drone Survey'!$Z516</f>
        <v>263.29952380952392</v>
      </c>
      <c r="DR75" s="313">
        <f>'Level Calculation Drone Survey'!$Z516</f>
        <v>263.29952380952392</v>
      </c>
      <c r="DS75" s="313">
        <f>'Level Calculation Drone Survey'!$Z516</f>
        <v>263.29952380952392</v>
      </c>
      <c r="DT75" s="313">
        <f>'Level Calculation Drone Survey'!$Z516</f>
        <v>263.29952380952392</v>
      </c>
      <c r="DU75" s="313">
        <f>'Level Calculation Drone Survey'!$Z516</f>
        <v>263.29952380952392</v>
      </c>
      <c r="DV75" s="313">
        <f>'Level Calculation Drone Survey'!$Z516</f>
        <v>263.29952380952392</v>
      </c>
      <c r="DW75" s="313">
        <f>'Level Calculation Drone Survey'!$Z516</f>
        <v>263.29952380952392</v>
      </c>
      <c r="DX75" s="313">
        <f>'Level Calculation Drone Survey'!$Z516</f>
        <v>263.29952380952392</v>
      </c>
      <c r="DY75" s="313">
        <f>'Level Calculation Drone Survey'!$Z516</f>
        <v>263.29952380952392</v>
      </c>
      <c r="DZ75" s="313">
        <f>'Level Calculation Drone Survey'!$Z516</f>
        <v>263.29952380952392</v>
      </c>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row>
    <row r="76" spans="1:155" ht="45" customHeight="1" x14ac:dyDescent="0.45">
      <c r="A76" s="277">
        <v>375</v>
      </c>
      <c r="B76" s="191"/>
      <c r="C76" s="191"/>
      <c r="D76" s="191"/>
      <c r="E76" s="305"/>
      <c r="F76" s="305">
        <f>'Level Calculation Drone Survey'!$Z314</f>
        <v>264.1251444444444</v>
      </c>
      <c r="G76" s="305">
        <f>'Level Calculation Drone Survey'!$Z314</f>
        <v>264.1251444444444</v>
      </c>
      <c r="H76" s="279">
        <f>'Level Calculation Drone Survey'!$Z251</f>
        <v>264.22514444444442</v>
      </c>
      <c r="I76" s="279">
        <f>'Level Calculation Drone Survey'!$Z251</f>
        <v>264.22514444444442</v>
      </c>
      <c r="J76" s="279">
        <f>'Level Calculation Drone Survey'!$Z251</f>
        <v>264.22514444444442</v>
      </c>
      <c r="K76" s="279">
        <f>'Level Calculation Drone Survey'!$Z251</f>
        <v>264.22514444444442</v>
      </c>
      <c r="L76" s="279">
        <f>'Level Calculation Drone Survey'!$Z251</f>
        <v>264.22514444444442</v>
      </c>
      <c r="M76" s="279">
        <f>'Level Calculation Drone Survey'!$Z251</f>
        <v>264.22514444444442</v>
      </c>
      <c r="N76" s="279">
        <f>'Level Calculation Drone Survey'!$Z251</f>
        <v>264.22514444444442</v>
      </c>
      <c r="O76" s="279">
        <f>'Level Calculation Drone Survey'!$Z251</f>
        <v>264.22514444444442</v>
      </c>
      <c r="P76" s="279">
        <f>'Level Calculation Drone Survey'!$Z251</f>
        <v>264.22514444444442</v>
      </c>
      <c r="Q76" s="279">
        <f>'Level Calculation Drone Survey'!$Z251</f>
        <v>264.22514444444442</v>
      </c>
      <c r="R76" s="279">
        <f>'Level Calculation Drone Survey'!$Z251</f>
        <v>264.22514444444442</v>
      </c>
      <c r="S76" s="279">
        <f>'Level Calculation Drone Survey'!$Z251</f>
        <v>264.22514444444442</v>
      </c>
      <c r="T76" s="279">
        <f>'Level Calculation Drone Survey'!$Z251</f>
        <v>264.22514444444442</v>
      </c>
      <c r="U76" s="279">
        <f>'Level Calculation Drone Survey'!$Z251</f>
        <v>264.22514444444442</v>
      </c>
      <c r="V76" s="279">
        <f>'Level Calculation Drone Survey'!$Z251</f>
        <v>264.22514444444442</v>
      </c>
      <c r="W76" s="279">
        <f>'Level Calculation Drone Survey'!$Z251</f>
        <v>264.22514444444442</v>
      </c>
      <c r="X76" s="279">
        <f>'Level Calculation Drone Survey'!$Z251</f>
        <v>264.22514444444442</v>
      </c>
      <c r="Y76" s="279">
        <f>'Level Calculation Drone Survey'!$Z251</f>
        <v>264.22514444444442</v>
      </c>
      <c r="Z76" s="305">
        <f>'Level Calculation Drone Survey'!$Z355</f>
        <v>263.76484285714275</v>
      </c>
      <c r="AA76" s="279">
        <f>'Level Calculation Drone Survey'!$Z219</f>
        <v>263.7648428571427</v>
      </c>
      <c r="AB76" s="279">
        <f>'Level Calculation Drone Survey'!$Z219</f>
        <v>263.7648428571427</v>
      </c>
      <c r="AC76" s="279">
        <f>'Level Calculation Drone Survey'!$Z219</f>
        <v>263.7648428571427</v>
      </c>
      <c r="AD76" s="279">
        <f>'Level Calculation Drone Survey'!$Z219</f>
        <v>263.7648428571427</v>
      </c>
      <c r="AE76" s="279">
        <f>'Level Calculation Drone Survey'!$Z219</f>
        <v>263.7648428571427</v>
      </c>
      <c r="AF76" s="279">
        <f>'Level Calculation Drone Survey'!$Z219</f>
        <v>263.7648428571427</v>
      </c>
      <c r="AG76" s="279">
        <f>'Level Calculation Drone Survey'!$Z219</f>
        <v>263.7648428571427</v>
      </c>
      <c r="AH76" s="279">
        <f>'Level Calculation Drone Survey'!$Z219</f>
        <v>263.7648428571427</v>
      </c>
      <c r="AI76" s="279">
        <f>'Level Calculation Drone Survey'!$Z219</f>
        <v>263.7648428571427</v>
      </c>
      <c r="AJ76" s="279">
        <f>'Level Calculation Drone Survey'!$Z219</f>
        <v>263.7648428571427</v>
      </c>
      <c r="AK76" s="279">
        <f>'Level Calculation Drone Survey'!$Z219</f>
        <v>263.7648428571427</v>
      </c>
      <c r="AL76" s="279">
        <f>'Level Calculation Drone Survey'!$Z219</f>
        <v>263.7648428571427</v>
      </c>
      <c r="AM76" s="279">
        <f>'Level Calculation Drone Survey'!$Z219</f>
        <v>263.7648428571427</v>
      </c>
      <c r="AN76" s="279">
        <f>'Level Calculation Drone Survey'!$Z219</f>
        <v>263.7648428571427</v>
      </c>
      <c r="AO76" s="279">
        <f>'Level Calculation Drone Survey'!$Z219</f>
        <v>263.7648428571427</v>
      </c>
      <c r="AP76" s="279">
        <f>'Level Calculation Drone Survey'!$Z219</f>
        <v>263.7648428571427</v>
      </c>
      <c r="AQ76" s="279">
        <f>'Level Calculation Drone Survey'!$Z219</f>
        <v>263.7648428571427</v>
      </c>
      <c r="AR76" s="279">
        <f>'Level Calculation Drone Survey'!$Z219</f>
        <v>263.7648428571427</v>
      </c>
      <c r="AS76" s="279">
        <f>'Level Calculation Drone Survey'!$Z219</f>
        <v>263.7648428571427</v>
      </c>
      <c r="AT76" s="279">
        <f>'Level Calculation Drone Survey'!$Z219</f>
        <v>263.7648428571427</v>
      </c>
      <c r="AU76" s="279">
        <f>'Level Calculation Drone Survey'!$Z219</f>
        <v>263.7648428571427</v>
      </c>
      <c r="AV76" s="305">
        <f>'Level Calculation Drone Survey'!$Z406</f>
        <v>263.71484285714268</v>
      </c>
      <c r="AW76" s="305">
        <v>263.71499999999997</v>
      </c>
      <c r="AX76" s="279">
        <f>'Level Calculation Drone Survey'!$Z201</f>
        <v>263.96475238095223</v>
      </c>
      <c r="AY76" s="279">
        <f>'Level Calculation Drone Survey'!$Z201</f>
        <v>263.96475238095223</v>
      </c>
      <c r="AZ76" s="279">
        <f>'Level Calculation Drone Survey'!$Z201</f>
        <v>263.96475238095223</v>
      </c>
      <c r="BA76" s="279">
        <f>'Level Calculation Drone Survey'!$Z201</f>
        <v>263.96475238095223</v>
      </c>
      <c r="BB76" s="279">
        <f>'Level Calculation Drone Survey'!$Z201</f>
        <v>263.96475238095223</v>
      </c>
      <c r="BC76" s="279">
        <f>'Level Calculation Drone Survey'!$Z201</f>
        <v>263.96475238095223</v>
      </c>
      <c r="BD76" s="279">
        <f>'Level Calculation Drone Survey'!$Z201</f>
        <v>263.96475238095223</v>
      </c>
      <c r="BE76" s="279">
        <f>'Level Calculation Drone Survey'!$Z201</f>
        <v>263.96475238095223</v>
      </c>
      <c r="BF76" s="279">
        <f>'Level Calculation Drone Survey'!$Z201</f>
        <v>263.96475238095223</v>
      </c>
      <c r="BG76" s="279">
        <f>'Level Calculation Drone Survey'!$Z201</f>
        <v>263.96475238095223</v>
      </c>
      <c r="BH76" s="279">
        <f>'Level Calculation Drone Survey'!$Z201</f>
        <v>263.96475238095223</v>
      </c>
      <c r="BI76" s="279">
        <f>'Level Calculation Drone Survey'!$Z201</f>
        <v>263.96475238095223</v>
      </c>
      <c r="BJ76" s="279">
        <f>'Level Calculation Drone Survey'!$Z201</f>
        <v>263.96475238095223</v>
      </c>
      <c r="BK76" s="279">
        <f>'Level Calculation Drone Survey'!$Z201</f>
        <v>263.96475238095223</v>
      </c>
      <c r="BL76" s="279">
        <f>'Level Calculation Drone Survey'!$Z201</f>
        <v>263.96475238095223</v>
      </c>
      <c r="BM76" s="279">
        <f>'Level Calculation Drone Survey'!$Z201</f>
        <v>263.96475238095223</v>
      </c>
      <c r="BN76" s="279">
        <f>'Level Calculation Drone Survey'!$Z201</f>
        <v>263.96475238095223</v>
      </c>
      <c r="BO76" s="279">
        <f>'Level Calculation Drone Survey'!$Z201</f>
        <v>263.96475238095223</v>
      </c>
      <c r="BP76" s="279">
        <f>'Level Calculation Drone Survey'!$Z201</f>
        <v>263.96475238095223</v>
      </c>
      <c r="BQ76" s="279">
        <f>'Level Calculation Drone Survey'!$Z201</f>
        <v>263.96475238095223</v>
      </c>
      <c r="BR76" s="279">
        <f>'Level Calculation Drone Survey'!$Z201</f>
        <v>263.96475238095223</v>
      </c>
      <c r="BS76" s="312">
        <f>'Level Calculation Drone Survey'!$Z434</f>
        <v>263.77496818181828</v>
      </c>
      <c r="BT76" s="312">
        <f>'Level Calculation Drone Survey'!$Z434</f>
        <v>263.77496818181828</v>
      </c>
      <c r="BU76" s="312">
        <f>'Level Calculation Drone Survey'!$Z434</f>
        <v>263.77496818181828</v>
      </c>
      <c r="BV76" s="312">
        <f>'Level Calculation Drone Survey'!$Z434</f>
        <v>263.77496818181828</v>
      </c>
      <c r="BW76" s="312">
        <f>'Level Calculation Drone Survey'!$Z434</f>
        <v>263.77496818181828</v>
      </c>
      <c r="BX76" s="312">
        <f>'Level Calculation Drone Survey'!$Z434</f>
        <v>263.77496818181828</v>
      </c>
      <c r="BY76" s="312">
        <f>'Level Calculation Drone Survey'!$Z434</f>
        <v>263.77496818181828</v>
      </c>
      <c r="BZ76" s="312">
        <f>'Level Calculation Drone Survey'!$Z434</f>
        <v>263.77496818181828</v>
      </c>
      <c r="CA76" s="305">
        <f>'Level Calculation Drone Survey'!$Z466</f>
        <v>263.77496818181828</v>
      </c>
      <c r="CB76" s="305">
        <f>'Level Calculation Drone Survey'!$Z466</f>
        <v>263.77496818181828</v>
      </c>
      <c r="CC76" s="305">
        <f>'Level Calculation Drone Survey'!$Z466</f>
        <v>263.77496818181828</v>
      </c>
      <c r="CD76" s="305">
        <f>'Level Calculation Drone Survey'!$Z466</f>
        <v>263.77496818181828</v>
      </c>
      <c r="CE76" s="305">
        <f>'Level Calculation Drone Survey'!$Z466</f>
        <v>263.77496818181828</v>
      </c>
      <c r="CF76" s="305">
        <f>'Level Calculation Drone Survey'!$Z466</f>
        <v>263.77496818181828</v>
      </c>
      <c r="CG76" s="305">
        <f>'Level Calculation Drone Survey'!$Z466</f>
        <v>263.77496818181828</v>
      </c>
      <c r="CH76" s="305">
        <f>'Level Calculation Drone Survey'!$Z466</f>
        <v>263.77496818181828</v>
      </c>
      <c r="CI76" s="305">
        <f>'Level Calculation Drone Survey'!$Z466</f>
        <v>263.77496818181828</v>
      </c>
      <c r="CJ76" s="305">
        <f>'Level Calculation Drone Survey'!$Z466</f>
        <v>263.77496818181828</v>
      </c>
      <c r="CK76" s="305">
        <f>'Level Calculation Drone Survey'!$Z466</f>
        <v>263.77496818181828</v>
      </c>
      <c r="CL76" s="305">
        <f>'Level Calculation Drone Survey'!$Z466</f>
        <v>263.77496818181828</v>
      </c>
      <c r="CM76" s="305">
        <f>'Level Calculation Drone Survey'!$Z466</f>
        <v>263.77496818181828</v>
      </c>
      <c r="CN76" s="305">
        <f>'Level Calculation Drone Survey'!$Z466</f>
        <v>263.77496818181828</v>
      </c>
      <c r="CO76" s="305">
        <f>'Level Calculation Drone Survey'!$Z466</f>
        <v>263.77496818181828</v>
      </c>
      <c r="CP76" s="305">
        <f>'Level Calculation Drone Survey'!$Z466</f>
        <v>263.77496818181828</v>
      </c>
      <c r="CQ76" s="305">
        <f>'Level Calculation Drone Survey'!$Z498</f>
        <v>263.66452380952398</v>
      </c>
      <c r="CR76" s="305">
        <f>'Level Calculation Drone Survey'!$Z498</f>
        <v>263.66452380952398</v>
      </c>
      <c r="CS76" s="305">
        <f>'Level Calculation Drone Survey'!$Z498</f>
        <v>263.66452380952398</v>
      </c>
      <c r="CT76" s="305">
        <f>'Level Calculation Drone Survey'!$Z498</f>
        <v>263.66452380952398</v>
      </c>
      <c r="CU76" s="305">
        <f>'Level Calculation Drone Survey'!$Z498</f>
        <v>263.66452380952398</v>
      </c>
      <c r="CV76" s="305">
        <f>'Level Calculation Drone Survey'!$Z498</f>
        <v>263.66452380952398</v>
      </c>
      <c r="CW76" s="305">
        <f>'Level Calculation Drone Survey'!$Z498</f>
        <v>263.66452380952398</v>
      </c>
      <c r="CX76" s="305">
        <f>'Level Calculation Drone Survey'!$Z498</f>
        <v>263.66452380952398</v>
      </c>
      <c r="CY76" s="305">
        <f>'Level Calculation Drone Survey'!$Z498</f>
        <v>263.66452380952398</v>
      </c>
      <c r="CZ76" s="305">
        <f>'Level Calculation Drone Survey'!$Z498</f>
        <v>263.66452380952398</v>
      </c>
      <c r="DA76" s="305">
        <f>'Level Calculation Drone Survey'!$Z498</f>
        <v>263.66452380952398</v>
      </c>
      <c r="DB76" s="305">
        <f>'Level Calculation Drone Survey'!$Z498</f>
        <v>263.66452380952398</v>
      </c>
      <c r="DC76" s="305">
        <f>'Level Calculation Drone Survey'!$Z498</f>
        <v>263.66452380952398</v>
      </c>
      <c r="DD76" s="305">
        <f>'Level Calculation Drone Survey'!$Z498</f>
        <v>263.66452380952398</v>
      </c>
      <c r="DE76" s="305">
        <f>'Level Calculation Drone Survey'!$Z498</f>
        <v>263.66452380952398</v>
      </c>
      <c r="DF76" s="305">
        <f>'Level Calculation Drone Survey'!$Z498</f>
        <v>263.66452380952398</v>
      </c>
      <c r="DG76" s="305">
        <f>'Level Calculation Drone Survey'!$Z498</f>
        <v>263.66452380952398</v>
      </c>
      <c r="DH76" s="305">
        <f>'Level Calculation Drone Survey'!$Z498</f>
        <v>263.66452380952398</v>
      </c>
      <c r="DI76" s="305">
        <f>'Level Calculation Drone Survey'!$Z498</f>
        <v>263.66452380952398</v>
      </c>
      <c r="DJ76" s="305">
        <f>'Level Calculation Drone Survey'!$Z498</f>
        <v>263.66452380952398</v>
      </c>
      <c r="DK76" s="305">
        <f>'Level Calculation Drone Survey'!$Z498</f>
        <v>263.66452380952398</v>
      </c>
      <c r="DL76" s="191"/>
      <c r="DM76" s="313">
        <f>'Level Calculation Drone Survey'!$Z517</f>
        <v>263.29952380952392</v>
      </c>
      <c r="DN76" s="313">
        <f>'Level Calculation Drone Survey'!$Z517</f>
        <v>263.29952380952392</v>
      </c>
      <c r="DO76" s="313">
        <f>'Level Calculation Drone Survey'!$Z517</f>
        <v>263.29952380952392</v>
      </c>
      <c r="DP76" s="313">
        <f>'Level Calculation Drone Survey'!$Z517</f>
        <v>263.29952380952392</v>
      </c>
      <c r="DQ76" s="313">
        <f>'Level Calculation Drone Survey'!$Z517</f>
        <v>263.29952380952392</v>
      </c>
      <c r="DR76" s="313">
        <f>'Level Calculation Drone Survey'!$Z517</f>
        <v>263.29952380952392</v>
      </c>
      <c r="DS76" s="313">
        <f>'Level Calculation Drone Survey'!$Z517</f>
        <v>263.29952380952392</v>
      </c>
      <c r="DT76" s="313">
        <f>'Level Calculation Drone Survey'!$Z517</f>
        <v>263.29952380952392</v>
      </c>
      <c r="DU76" s="313">
        <f>'Level Calculation Drone Survey'!$Z517</f>
        <v>263.29952380952392</v>
      </c>
      <c r="DV76" s="313">
        <f>'Level Calculation Drone Survey'!$Z517</f>
        <v>263.29952380952392</v>
      </c>
      <c r="DW76" s="313">
        <f>'Level Calculation Drone Survey'!$Z517</f>
        <v>263.29952380952392</v>
      </c>
      <c r="DX76" s="313">
        <f>'Level Calculation Drone Survey'!$Z517</f>
        <v>263.29952380952392</v>
      </c>
      <c r="DY76" s="313">
        <f>'Level Calculation Drone Survey'!$Z517</f>
        <v>263.29952380952392</v>
      </c>
      <c r="DZ76" s="313">
        <f>'Level Calculation Drone Survey'!$Z517</f>
        <v>263.29952380952392</v>
      </c>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row>
    <row r="77" spans="1:155" ht="45" customHeight="1" x14ac:dyDescent="0.45">
      <c r="A77" s="277">
        <v>380</v>
      </c>
      <c r="B77" s="191"/>
      <c r="C77" s="191"/>
      <c r="D77" s="191"/>
      <c r="E77" s="305"/>
      <c r="F77" s="305">
        <f>'Level Calculation Drone Survey'!$Z315</f>
        <v>264.07514444444439</v>
      </c>
      <c r="G77" s="305">
        <f>'Level Calculation Drone Survey'!$Z315</f>
        <v>264.07514444444439</v>
      </c>
      <c r="H77" s="279">
        <f>'Level Calculation Drone Survey'!$Z252</f>
        <v>264.17514444444441</v>
      </c>
      <c r="I77" s="279">
        <f>'Level Calculation Drone Survey'!$Z252</f>
        <v>264.17514444444441</v>
      </c>
      <c r="J77" s="279">
        <f>'Level Calculation Drone Survey'!$Z252</f>
        <v>264.17514444444441</v>
      </c>
      <c r="K77" s="279">
        <f>'Level Calculation Drone Survey'!$Z252</f>
        <v>264.17514444444441</v>
      </c>
      <c r="L77" s="279">
        <f>'Level Calculation Drone Survey'!$Z252</f>
        <v>264.17514444444441</v>
      </c>
      <c r="M77" s="279">
        <f>'Level Calculation Drone Survey'!$Z252</f>
        <v>264.17514444444441</v>
      </c>
      <c r="N77" s="279">
        <f>'Level Calculation Drone Survey'!$Z252</f>
        <v>264.17514444444441</v>
      </c>
      <c r="O77" s="279">
        <f>'Level Calculation Drone Survey'!$Z252</f>
        <v>264.17514444444441</v>
      </c>
      <c r="P77" s="279">
        <f>'Level Calculation Drone Survey'!$Z252</f>
        <v>264.17514444444441</v>
      </c>
      <c r="Q77" s="279">
        <f>'Level Calculation Drone Survey'!$Z252</f>
        <v>264.17514444444441</v>
      </c>
      <c r="R77" s="279">
        <f>'Level Calculation Drone Survey'!$Z252</f>
        <v>264.17514444444441</v>
      </c>
      <c r="S77" s="279">
        <f>'Level Calculation Drone Survey'!$Z252</f>
        <v>264.17514444444441</v>
      </c>
      <c r="T77" s="279">
        <f>'Level Calculation Drone Survey'!$Z252</f>
        <v>264.17514444444441</v>
      </c>
      <c r="U77" s="279">
        <f>'Level Calculation Drone Survey'!$Z252</f>
        <v>264.17514444444441</v>
      </c>
      <c r="V77" s="279">
        <f>'Level Calculation Drone Survey'!$Z252</f>
        <v>264.17514444444441</v>
      </c>
      <c r="W77" s="279">
        <f>'Level Calculation Drone Survey'!$Z252</f>
        <v>264.17514444444441</v>
      </c>
      <c r="X77" s="279">
        <f>'Level Calculation Drone Survey'!$Z252</f>
        <v>264.17514444444441</v>
      </c>
      <c r="Y77" s="279">
        <f>'Level Calculation Drone Survey'!$Z252</f>
        <v>264.17514444444441</v>
      </c>
      <c r="Z77" s="305">
        <f>'Level Calculation Drone Survey'!$Z356</f>
        <v>263.71484285714274</v>
      </c>
      <c r="AA77" s="279">
        <f>'Level Calculation Drone Survey'!$Z220</f>
        <v>263.71484285714268</v>
      </c>
      <c r="AB77" s="279">
        <f>'Level Calculation Drone Survey'!$Z220</f>
        <v>263.71484285714268</v>
      </c>
      <c r="AC77" s="279">
        <f>'Level Calculation Drone Survey'!$Z220</f>
        <v>263.71484285714268</v>
      </c>
      <c r="AD77" s="279">
        <f>'Level Calculation Drone Survey'!$Z220</f>
        <v>263.71484285714268</v>
      </c>
      <c r="AE77" s="279">
        <f>'Level Calculation Drone Survey'!$Z220</f>
        <v>263.71484285714268</v>
      </c>
      <c r="AF77" s="279">
        <f>'Level Calculation Drone Survey'!$Z220</f>
        <v>263.71484285714268</v>
      </c>
      <c r="AG77" s="279">
        <f>'Level Calculation Drone Survey'!$Z220</f>
        <v>263.71484285714268</v>
      </c>
      <c r="AH77" s="279">
        <f>'Level Calculation Drone Survey'!$Z220</f>
        <v>263.71484285714268</v>
      </c>
      <c r="AI77" s="279">
        <f>'Level Calculation Drone Survey'!$Z220</f>
        <v>263.71484285714268</v>
      </c>
      <c r="AJ77" s="279">
        <f>'Level Calculation Drone Survey'!$Z220</f>
        <v>263.71484285714268</v>
      </c>
      <c r="AK77" s="279">
        <f>'Level Calculation Drone Survey'!$Z220</f>
        <v>263.71484285714268</v>
      </c>
      <c r="AL77" s="279">
        <f>'Level Calculation Drone Survey'!$Z220</f>
        <v>263.71484285714268</v>
      </c>
      <c r="AM77" s="279">
        <f>'Level Calculation Drone Survey'!$Z220</f>
        <v>263.71484285714268</v>
      </c>
      <c r="AN77" s="279">
        <f>'Level Calculation Drone Survey'!$Z220</f>
        <v>263.71484285714268</v>
      </c>
      <c r="AO77" s="279">
        <f>'Level Calculation Drone Survey'!$Z220</f>
        <v>263.71484285714268</v>
      </c>
      <c r="AP77" s="279">
        <f>'Level Calculation Drone Survey'!$Z220</f>
        <v>263.71484285714268</v>
      </c>
      <c r="AQ77" s="279">
        <f>'Level Calculation Drone Survey'!$Z220</f>
        <v>263.71484285714268</v>
      </c>
      <c r="AR77" s="279">
        <f>'Level Calculation Drone Survey'!$Z220</f>
        <v>263.71484285714268</v>
      </c>
      <c r="AS77" s="279">
        <f>'Level Calculation Drone Survey'!$Z220</f>
        <v>263.71484285714268</v>
      </c>
      <c r="AT77" s="279">
        <f>'Level Calculation Drone Survey'!$Z220</f>
        <v>263.71484285714268</v>
      </c>
      <c r="AU77" s="279">
        <f>'Level Calculation Drone Survey'!$Z220</f>
        <v>263.71484285714268</v>
      </c>
      <c r="AV77" s="305">
        <f>'Level Calculation Drone Survey'!$Z407</f>
        <v>263.66484285714267</v>
      </c>
      <c r="AW77" s="305">
        <v>263.66500000000002</v>
      </c>
      <c r="AX77" s="279">
        <f>'Level Calculation Drone Survey'!$Z202</f>
        <v>263.91475238095222</v>
      </c>
      <c r="AY77" s="279">
        <f>'Level Calculation Drone Survey'!$Z202</f>
        <v>263.91475238095222</v>
      </c>
      <c r="AZ77" s="279">
        <f>'Level Calculation Drone Survey'!$Z202</f>
        <v>263.91475238095222</v>
      </c>
      <c r="BA77" s="279">
        <f>'Level Calculation Drone Survey'!$Z202</f>
        <v>263.91475238095222</v>
      </c>
      <c r="BB77" s="279">
        <f>'Level Calculation Drone Survey'!$Z202</f>
        <v>263.91475238095222</v>
      </c>
      <c r="BC77" s="279">
        <f>'Level Calculation Drone Survey'!$Z202</f>
        <v>263.91475238095222</v>
      </c>
      <c r="BD77" s="279">
        <f>'Level Calculation Drone Survey'!$Z202</f>
        <v>263.91475238095222</v>
      </c>
      <c r="BE77" s="279">
        <f>'Level Calculation Drone Survey'!$Z202</f>
        <v>263.91475238095222</v>
      </c>
      <c r="BF77" s="279">
        <f>'Level Calculation Drone Survey'!$Z202</f>
        <v>263.91475238095222</v>
      </c>
      <c r="BG77" s="279">
        <f>'Level Calculation Drone Survey'!$Z202</f>
        <v>263.91475238095222</v>
      </c>
      <c r="BH77" s="279">
        <f>'Level Calculation Drone Survey'!$Z202</f>
        <v>263.91475238095222</v>
      </c>
      <c r="BI77" s="279">
        <f>'Level Calculation Drone Survey'!$Z202</f>
        <v>263.91475238095222</v>
      </c>
      <c r="BJ77" s="279">
        <f>'Level Calculation Drone Survey'!$Z202</f>
        <v>263.91475238095222</v>
      </c>
      <c r="BK77" s="279">
        <f>'Level Calculation Drone Survey'!$Z202</f>
        <v>263.91475238095222</v>
      </c>
      <c r="BL77" s="279">
        <f>'Level Calculation Drone Survey'!$Z202</f>
        <v>263.91475238095222</v>
      </c>
      <c r="BM77" s="279">
        <f>'Level Calculation Drone Survey'!$Z202</f>
        <v>263.91475238095222</v>
      </c>
      <c r="BN77" s="279">
        <f>'Level Calculation Drone Survey'!$Z202</f>
        <v>263.91475238095222</v>
      </c>
      <c r="BO77" s="279">
        <f>'Level Calculation Drone Survey'!$Z202</f>
        <v>263.91475238095222</v>
      </c>
      <c r="BP77" s="279">
        <f>'Level Calculation Drone Survey'!$Z202</f>
        <v>263.91475238095222</v>
      </c>
      <c r="BQ77" s="279">
        <f>'Level Calculation Drone Survey'!$Z202</f>
        <v>263.91475238095222</v>
      </c>
      <c r="BR77" s="279">
        <f>'Level Calculation Drone Survey'!$Z202</f>
        <v>263.91475238095222</v>
      </c>
      <c r="BS77" s="312">
        <f>'Level Calculation Drone Survey'!$Z435</f>
        <v>263.77496818181828</v>
      </c>
      <c r="BT77" s="312">
        <f>'Level Calculation Drone Survey'!$Z435</f>
        <v>263.77496818181828</v>
      </c>
      <c r="BU77" s="312">
        <f>'Level Calculation Drone Survey'!$Z435</f>
        <v>263.77496818181828</v>
      </c>
      <c r="BV77" s="312">
        <f>'Level Calculation Drone Survey'!$Z435</f>
        <v>263.77496818181828</v>
      </c>
      <c r="BW77" s="312">
        <f>'Level Calculation Drone Survey'!$Z435</f>
        <v>263.77496818181828</v>
      </c>
      <c r="BX77" s="312">
        <f>'Level Calculation Drone Survey'!$Z435</f>
        <v>263.77496818181828</v>
      </c>
      <c r="BY77" s="312">
        <f>'Level Calculation Drone Survey'!$Z435</f>
        <v>263.77496818181828</v>
      </c>
      <c r="BZ77" s="312">
        <f>'Level Calculation Drone Survey'!$Z435</f>
        <v>263.77496818181828</v>
      </c>
      <c r="CA77" s="305">
        <f>'Level Calculation Drone Survey'!$Z467</f>
        <v>263.77496818181828</v>
      </c>
      <c r="CB77" s="305">
        <f>'Level Calculation Drone Survey'!$Z467</f>
        <v>263.77496818181828</v>
      </c>
      <c r="CC77" s="305">
        <f>'Level Calculation Drone Survey'!$Z467</f>
        <v>263.77496818181828</v>
      </c>
      <c r="CD77" s="305">
        <f>'Level Calculation Drone Survey'!$Z467</f>
        <v>263.77496818181828</v>
      </c>
      <c r="CE77" s="305">
        <f>'Level Calculation Drone Survey'!$Z467</f>
        <v>263.77496818181828</v>
      </c>
      <c r="CF77" s="305">
        <f>'Level Calculation Drone Survey'!$Z467</f>
        <v>263.77496818181828</v>
      </c>
      <c r="CG77" s="305">
        <f>'Level Calculation Drone Survey'!$Z467</f>
        <v>263.77496818181828</v>
      </c>
      <c r="CH77" s="305">
        <f>'Level Calculation Drone Survey'!$Z467</f>
        <v>263.77496818181828</v>
      </c>
      <c r="CI77" s="305">
        <f>'Level Calculation Drone Survey'!$Z467</f>
        <v>263.77496818181828</v>
      </c>
      <c r="CJ77" s="305">
        <f>'Level Calculation Drone Survey'!$Z467</f>
        <v>263.77496818181828</v>
      </c>
      <c r="CK77" s="305">
        <f>'Level Calculation Drone Survey'!$Z467</f>
        <v>263.77496818181828</v>
      </c>
      <c r="CL77" s="305">
        <f>'Level Calculation Drone Survey'!$Z467</f>
        <v>263.77496818181828</v>
      </c>
      <c r="CM77" s="305"/>
      <c r="CN77" s="305"/>
      <c r="CO77" s="305"/>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191"/>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row>
    <row r="78" spans="1:155" ht="45" customHeight="1" x14ac:dyDescent="0.45">
      <c r="A78" s="277">
        <v>385</v>
      </c>
      <c r="B78" s="191"/>
      <c r="C78" s="191"/>
      <c r="D78" s="191"/>
      <c r="E78" s="305"/>
      <c r="F78" s="305">
        <f>'Level Calculation Drone Survey'!$Z316</f>
        <v>264.02514444444438</v>
      </c>
      <c r="G78" s="305">
        <f>'Level Calculation Drone Survey'!$Z316</f>
        <v>264.02514444444438</v>
      </c>
      <c r="H78" s="279">
        <f>'Level Calculation Drone Survey'!$Z253</f>
        <v>264.1251444444444</v>
      </c>
      <c r="I78" s="279">
        <f>'Level Calculation Drone Survey'!$Z253</f>
        <v>264.1251444444444</v>
      </c>
      <c r="J78" s="279">
        <f>'Level Calculation Drone Survey'!$Z253</f>
        <v>264.1251444444444</v>
      </c>
      <c r="K78" s="279">
        <f>'Level Calculation Drone Survey'!$Z253</f>
        <v>264.1251444444444</v>
      </c>
      <c r="L78" s="279">
        <f>'Level Calculation Drone Survey'!$Z253</f>
        <v>264.1251444444444</v>
      </c>
      <c r="M78" s="279">
        <f>'Level Calculation Drone Survey'!$Z253</f>
        <v>264.1251444444444</v>
      </c>
      <c r="N78" s="279">
        <f>'Level Calculation Drone Survey'!$Z253</f>
        <v>264.1251444444444</v>
      </c>
      <c r="O78" s="279">
        <f>'Level Calculation Drone Survey'!$Z253</f>
        <v>264.1251444444444</v>
      </c>
      <c r="P78" s="279">
        <f>'Level Calculation Drone Survey'!$Z253</f>
        <v>264.1251444444444</v>
      </c>
      <c r="Q78" s="279">
        <f>'Level Calculation Drone Survey'!$Z253</f>
        <v>264.1251444444444</v>
      </c>
      <c r="R78" s="279">
        <f>'Level Calculation Drone Survey'!$Z253</f>
        <v>264.1251444444444</v>
      </c>
      <c r="S78" s="279">
        <f>'Level Calculation Drone Survey'!$Z253</f>
        <v>264.1251444444444</v>
      </c>
      <c r="T78" s="279">
        <f>'Level Calculation Drone Survey'!$Z253</f>
        <v>264.1251444444444</v>
      </c>
      <c r="U78" s="279">
        <f>'Level Calculation Drone Survey'!$Z253</f>
        <v>264.1251444444444</v>
      </c>
      <c r="V78" s="279">
        <f>'Level Calculation Drone Survey'!$Z253</f>
        <v>264.1251444444444</v>
      </c>
      <c r="W78" s="279">
        <f>'Level Calculation Drone Survey'!$Z253</f>
        <v>264.1251444444444</v>
      </c>
      <c r="X78" s="279">
        <f>'Level Calculation Drone Survey'!$Z253</f>
        <v>264.1251444444444</v>
      </c>
      <c r="Y78" s="279">
        <f>'Level Calculation Drone Survey'!$Z253</f>
        <v>264.1251444444444</v>
      </c>
      <c r="Z78" s="305">
        <f>'Level Calculation Drone Survey'!$Z357</f>
        <v>263.66484285714273</v>
      </c>
      <c r="AA78" s="305">
        <f>'Level Calculation Drone Survey'!$Z387</f>
        <v>263.61484285714266</v>
      </c>
      <c r="AB78" s="305">
        <f>'Level Calculation Drone Survey'!$Z387</f>
        <v>263.61484285714266</v>
      </c>
      <c r="AC78" s="305">
        <f>'Level Calculation Drone Survey'!$Z387</f>
        <v>263.61484285714266</v>
      </c>
      <c r="AD78" s="305">
        <f>'Level Calculation Drone Survey'!$Z387</f>
        <v>263.61484285714266</v>
      </c>
      <c r="AE78" s="305">
        <f>'Level Calculation Drone Survey'!$Z387</f>
        <v>263.61484285714266</v>
      </c>
      <c r="AF78" s="305">
        <f>'Level Calculation Drone Survey'!$Z387</f>
        <v>263.61484285714266</v>
      </c>
      <c r="AG78" s="305">
        <f>'Level Calculation Drone Survey'!$Z387</f>
        <v>263.61484285714266</v>
      </c>
      <c r="AH78" s="305">
        <f>'Level Calculation Drone Survey'!$Z387</f>
        <v>263.61484285714266</v>
      </c>
      <c r="AI78" s="305">
        <f>'Level Calculation Drone Survey'!$Z387</f>
        <v>263.61484285714266</v>
      </c>
      <c r="AJ78" s="305">
        <f>'Level Calculation Drone Survey'!$Z387</f>
        <v>263.61484285714266</v>
      </c>
      <c r="AK78" s="305">
        <f>'Level Calculation Drone Survey'!$Z387</f>
        <v>263.61484285714266</v>
      </c>
      <c r="AL78" s="305">
        <f>'Level Calculation Drone Survey'!$Z387</f>
        <v>263.61484285714266</v>
      </c>
      <c r="AM78" s="305">
        <f>'Level Calculation Drone Survey'!$Z387</f>
        <v>263.61484285714266</v>
      </c>
      <c r="AN78" s="305">
        <f>'Level Calculation Drone Survey'!$Z387</f>
        <v>263.61484285714266</v>
      </c>
      <c r="AO78" s="305">
        <f>'Level Calculation Drone Survey'!$Z387</f>
        <v>263.61484285714266</v>
      </c>
      <c r="AP78" s="305">
        <f>'Level Calculation Drone Survey'!$Z387</f>
        <v>263.61484285714266</v>
      </c>
      <c r="AQ78" s="305">
        <f>'Level Calculation Drone Survey'!$Z387</f>
        <v>263.61484285714266</v>
      </c>
      <c r="AR78" s="305">
        <f>'Level Calculation Drone Survey'!$Z387</f>
        <v>263.61484285714266</v>
      </c>
      <c r="AS78" s="305">
        <f>'Level Calculation Drone Survey'!$Z387</f>
        <v>263.61484285714266</v>
      </c>
      <c r="AT78" s="305">
        <f>'Level Calculation Drone Survey'!$Z387</f>
        <v>263.61484285714266</v>
      </c>
      <c r="AU78" s="305">
        <f>'Level Calculation Drone Survey'!$Z387</f>
        <v>263.61484285714266</v>
      </c>
      <c r="AV78" s="305">
        <f>'Level Calculation Drone Survey'!$Z387</f>
        <v>263.61484285714266</v>
      </c>
      <c r="AW78" s="305">
        <f>'Level Calculation Drone Survey'!$Z387</f>
        <v>263.61484285714266</v>
      </c>
      <c r="AX78" s="279">
        <f>'Level Calculation Drone Survey'!$Z203</f>
        <v>263.86475238095221</v>
      </c>
      <c r="AY78" s="279">
        <f>'Level Calculation Drone Survey'!$Z203</f>
        <v>263.86475238095221</v>
      </c>
      <c r="AZ78" s="279">
        <f>'Level Calculation Drone Survey'!$Z203</f>
        <v>263.86475238095221</v>
      </c>
      <c r="BA78" s="279">
        <f>'Level Calculation Drone Survey'!$Z203</f>
        <v>263.86475238095221</v>
      </c>
      <c r="BB78" s="279">
        <f>'Level Calculation Drone Survey'!$Z203</f>
        <v>263.86475238095221</v>
      </c>
      <c r="BC78" s="279">
        <f>'Level Calculation Drone Survey'!$Z203</f>
        <v>263.86475238095221</v>
      </c>
      <c r="BD78" s="279">
        <f>'Level Calculation Drone Survey'!$Z203</f>
        <v>263.86475238095221</v>
      </c>
      <c r="BE78" s="279">
        <f>'Level Calculation Drone Survey'!$Z203</f>
        <v>263.86475238095221</v>
      </c>
      <c r="BF78" s="279">
        <f>'Level Calculation Drone Survey'!$Z203</f>
        <v>263.86475238095221</v>
      </c>
      <c r="BG78" s="279">
        <f>'Level Calculation Drone Survey'!$Z203</f>
        <v>263.86475238095221</v>
      </c>
      <c r="BH78" s="279">
        <f>'Level Calculation Drone Survey'!$Z203</f>
        <v>263.86475238095221</v>
      </c>
      <c r="BI78" s="279">
        <f>'Level Calculation Drone Survey'!$Z203</f>
        <v>263.86475238095221</v>
      </c>
      <c r="BJ78" s="279">
        <f>'Level Calculation Drone Survey'!$Z203</f>
        <v>263.86475238095221</v>
      </c>
      <c r="BK78" s="279">
        <f>'Level Calculation Drone Survey'!$Z203</f>
        <v>263.86475238095221</v>
      </c>
      <c r="BL78" s="279">
        <f>'Level Calculation Drone Survey'!$Z203</f>
        <v>263.86475238095221</v>
      </c>
      <c r="BM78" s="279">
        <f>'Level Calculation Drone Survey'!$Z203</f>
        <v>263.86475238095221</v>
      </c>
      <c r="BN78" s="279">
        <f>'Level Calculation Drone Survey'!$Z203</f>
        <v>263.86475238095221</v>
      </c>
      <c r="BO78" s="279">
        <f>'Level Calculation Drone Survey'!$Z203</f>
        <v>263.86475238095221</v>
      </c>
      <c r="BP78" s="279">
        <f>'Level Calculation Drone Survey'!$Z203</f>
        <v>263.86475238095221</v>
      </c>
      <c r="BQ78" s="279">
        <f>'Level Calculation Drone Survey'!$Z203</f>
        <v>263.86475238095221</v>
      </c>
      <c r="BR78" s="279">
        <f>'Level Calculation Drone Survey'!$Z203</f>
        <v>263.86475238095221</v>
      </c>
      <c r="BS78" s="312">
        <f>'Level Calculation Drone Survey'!$Z436</f>
        <v>263.77496818181828</v>
      </c>
      <c r="BT78" s="312">
        <f>'Level Calculation Drone Survey'!$Z436</f>
        <v>263.77496818181828</v>
      </c>
      <c r="BU78" s="312">
        <f>'Level Calculation Drone Survey'!$Z436</f>
        <v>263.77496818181828</v>
      </c>
      <c r="BV78" s="312">
        <f>'Level Calculation Drone Survey'!$Z436</f>
        <v>263.77496818181828</v>
      </c>
      <c r="BW78" s="312">
        <f>'Level Calculation Drone Survey'!$Z436</f>
        <v>263.77496818181828</v>
      </c>
      <c r="BX78" s="312">
        <f>'Level Calculation Drone Survey'!$Z436</f>
        <v>263.77496818181828</v>
      </c>
      <c r="BY78" s="312">
        <f>'Level Calculation Drone Survey'!$Z436</f>
        <v>263.77496818181828</v>
      </c>
      <c r="BZ78" s="305"/>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191"/>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row>
    <row r="79" spans="1:155" ht="45" customHeight="1" x14ac:dyDescent="0.45">
      <c r="A79" s="277">
        <v>390</v>
      </c>
      <c r="B79" s="191"/>
      <c r="C79" s="191"/>
      <c r="D79" s="191"/>
      <c r="E79" s="305"/>
      <c r="F79" s="305">
        <f>'Level Calculation Drone Survey'!$Z317</f>
        <v>263.97514444444437</v>
      </c>
      <c r="G79" s="305">
        <f>'Level Calculation Drone Survey'!$Z317</f>
        <v>263.97514444444437</v>
      </c>
      <c r="H79" s="279">
        <f>'Level Calculation Drone Survey'!$Z254</f>
        <v>264.07514444444439</v>
      </c>
      <c r="I79" s="279">
        <f>'Level Calculation Drone Survey'!$Z254</f>
        <v>264.07514444444439</v>
      </c>
      <c r="J79" s="279">
        <f>'Level Calculation Drone Survey'!$Z254</f>
        <v>264.07514444444439</v>
      </c>
      <c r="K79" s="279">
        <f>'Level Calculation Drone Survey'!$Z254</f>
        <v>264.07514444444439</v>
      </c>
      <c r="L79" s="279">
        <f>'Level Calculation Drone Survey'!$Z254</f>
        <v>264.07514444444439</v>
      </c>
      <c r="M79" s="279">
        <f>'Level Calculation Drone Survey'!$Z254</f>
        <v>264.07514444444439</v>
      </c>
      <c r="N79" s="279">
        <f>'Level Calculation Drone Survey'!$Z254</f>
        <v>264.07514444444439</v>
      </c>
      <c r="O79" s="279">
        <f>'Level Calculation Drone Survey'!$Z254</f>
        <v>264.07514444444439</v>
      </c>
      <c r="P79" s="279">
        <f>'Level Calculation Drone Survey'!$Z254</f>
        <v>264.07514444444439</v>
      </c>
      <c r="Q79" s="279">
        <f>'Level Calculation Drone Survey'!$Z254</f>
        <v>264.07514444444439</v>
      </c>
      <c r="R79" s="279">
        <f>'Level Calculation Drone Survey'!$Z254</f>
        <v>264.07514444444439</v>
      </c>
      <c r="S79" s="279">
        <f>'Level Calculation Drone Survey'!$Z254</f>
        <v>264.07514444444439</v>
      </c>
      <c r="T79" s="279">
        <f>'Level Calculation Drone Survey'!$Z254</f>
        <v>264.07514444444439</v>
      </c>
      <c r="U79" s="279">
        <f>'Level Calculation Drone Survey'!$Z254</f>
        <v>264.07514444444439</v>
      </c>
      <c r="V79" s="279">
        <f>'Level Calculation Drone Survey'!$Z254</f>
        <v>264.07514444444439</v>
      </c>
      <c r="W79" s="279">
        <f>'Level Calculation Drone Survey'!$Z254</f>
        <v>264.07514444444439</v>
      </c>
      <c r="X79" s="279">
        <f>'Level Calculation Drone Survey'!$Z254</f>
        <v>264.07514444444439</v>
      </c>
      <c r="Y79" s="279">
        <f>'Level Calculation Drone Survey'!$Z254</f>
        <v>264.07514444444439</v>
      </c>
      <c r="Z79" s="305">
        <f>Z80+5/100</f>
        <v>263.8751444444444</v>
      </c>
      <c r="AA79" s="305"/>
      <c r="AB79" s="305"/>
      <c r="AC79" s="305"/>
      <c r="AD79" s="305"/>
      <c r="AE79" s="305"/>
      <c r="AF79" s="305"/>
      <c r="AG79" s="305"/>
      <c r="AH79" s="305"/>
      <c r="AI79" s="305"/>
      <c r="AJ79" s="305"/>
      <c r="AK79" s="305"/>
      <c r="AL79" s="305"/>
      <c r="AM79" s="305"/>
      <c r="AN79" s="305"/>
      <c r="AO79" s="305"/>
      <c r="AP79" s="305"/>
      <c r="AQ79" s="305"/>
      <c r="AR79" s="305"/>
      <c r="AS79" s="305"/>
      <c r="AT79" s="305">
        <f>'Level Calculation Drone Survey'!$Z388</f>
        <v>263.61484285714266</v>
      </c>
      <c r="AU79" s="305">
        <f>'Level Calculation Drone Survey'!$Z388</f>
        <v>263.61484285714266</v>
      </c>
      <c r="AV79" s="305">
        <f>'Level Calculation Drone Survey'!$Z388</f>
        <v>263.61484285714266</v>
      </c>
      <c r="AW79" s="305">
        <f>'Level Calculation Drone Survey'!$Z388</f>
        <v>263.61484285714266</v>
      </c>
      <c r="AX79" s="279">
        <f>'Level Calculation Drone Survey'!$Z204</f>
        <v>263.8147523809522</v>
      </c>
      <c r="AY79" s="279">
        <f>'Level Calculation Drone Survey'!$Z204</f>
        <v>263.8147523809522</v>
      </c>
      <c r="AZ79" s="279">
        <f>'Level Calculation Drone Survey'!$Z204</f>
        <v>263.8147523809522</v>
      </c>
      <c r="BA79" s="279">
        <f>'Level Calculation Drone Survey'!$Z204</f>
        <v>263.8147523809522</v>
      </c>
      <c r="BB79" s="279">
        <f>'Level Calculation Drone Survey'!$Z204</f>
        <v>263.8147523809522</v>
      </c>
      <c r="BC79" s="279">
        <f>'Level Calculation Drone Survey'!$Z204</f>
        <v>263.8147523809522</v>
      </c>
      <c r="BD79" s="279">
        <f>'Level Calculation Drone Survey'!$Z204</f>
        <v>263.8147523809522</v>
      </c>
      <c r="BE79" s="279">
        <f>'Level Calculation Drone Survey'!$Z204</f>
        <v>263.8147523809522</v>
      </c>
      <c r="BF79" s="279">
        <f>'Level Calculation Drone Survey'!$Z204</f>
        <v>263.8147523809522</v>
      </c>
      <c r="BG79" s="279">
        <f>'Level Calculation Drone Survey'!$Z204</f>
        <v>263.8147523809522</v>
      </c>
      <c r="BH79" s="279">
        <f>'Level Calculation Drone Survey'!$Z204</f>
        <v>263.8147523809522</v>
      </c>
      <c r="BI79" s="279">
        <f>'Level Calculation Drone Survey'!$Z204</f>
        <v>263.8147523809522</v>
      </c>
      <c r="BJ79" s="279">
        <f>'Level Calculation Drone Survey'!$Z204</f>
        <v>263.8147523809522</v>
      </c>
      <c r="BK79" s="279">
        <f>'Level Calculation Drone Survey'!$Z204</f>
        <v>263.8147523809522</v>
      </c>
      <c r="BL79" s="279">
        <f>'Level Calculation Drone Survey'!$Z204</f>
        <v>263.8147523809522</v>
      </c>
      <c r="BM79" s="279">
        <f>'Level Calculation Drone Survey'!$Z204</f>
        <v>263.8147523809522</v>
      </c>
      <c r="BN79" s="279">
        <f>'Level Calculation Drone Survey'!$Z204</f>
        <v>263.8147523809522</v>
      </c>
      <c r="BO79" s="279">
        <f>'Level Calculation Drone Survey'!$Z204</f>
        <v>263.8147523809522</v>
      </c>
      <c r="BP79" s="279">
        <f>'Level Calculation Drone Survey'!$Z204</f>
        <v>263.8147523809522</v>
      </c>
      <c r="BQ79" s="279">
        <f>'Level Calculation Drone Survey'!$Z204</f>
        <v>263.8147523809522</v>
      </c>
      <c r="BR79" s="279">
        <f>'Level Calculation Drone Survey'!$Z204</f>
        <v>263.8147523809522</v>
      </c>
      <c r="BS79" s="312">
        <f>'Level Calculation Drone Survey'!$Z437</f>
        <v>263.77496818181828</v>
      </c>
      <c r="BT79" s="312">
        <f>'Level Calculation Drone Survey'!$Z437</f>
        <v>263.77496818181828</v>
      </c>
      <c r="BU79" s="312">
        <f>'Level Calculation Drone Survey'!$Z437</f>
        <v>263.77496818181828</v>
      </c>
      <c r="BV79" s="312">
        <f>'Level Calculation Drone Survey'!$Z437</f>
        <v>263.77496818181828</v>
      </c>
      <c r="BW79" s="312">
        <f>'Level Calculation Drone Survey'!$Z437</f>
        <v>263.77496818181828</v>
      </c>
      <c r="BX79" s="312">
        <f>'Level Calculation Drone Survey'!$Z437</f>
        <v>263.77496818181828</v>
      </c>
      <c r="BY79" s="312">
        <f>'Level Calculation Drone Survey'!$Z437</f>
        <v>263.77496818181828</v>
      </c>
      <c r="BZ79" s="305"/>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191"/>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row>
    <row r="80" spans="1:155" ht="45" customHeight="1" x14ac:dyDescent="0.45">
      <c r="A80" s="277">
        <v>395</v>
      </c>
      <c r="B80" s="191"/>
      <c r="C80" s="191"/>
      <c r="D80" s="191"/>
      <c r="E80" s="305"/>
      <c r="F80" s="305">
        <f>'Level Calculation Drone Survey'!$Z318</f>
        <v>263.92514444444436</v>
      </c>
      <c r="G80" s="305">
        <f>'Level Calculation Drone Survey'!$Z318</f>
        <v>263.92514444444436</v>
      </c>
      <c r="H80" s="279">
        <f>'Level Calculation Drone Survey'!$Z255</f>
        <v>264.02514444444438</v>
      </c>
      <c r="I80" s="279">
        <f>'Level Calculation Drone Survey'!$Z255</f>
        <v>264.02514444444438</v>
      </c>
      <c r="J80" s="279">
        <f>'Level Calculation Drone Survey'!$Z255</f>
        <v>264.02514444444438</v>
      </c>
      <c r="K80" s="279">
        <f>'Level Calculation Drone Survey'!$Z255</f>
        <v>264.02514444444438</v>
      </c>
      <c r="L80" s="279">
        <f>'Level Calculation Drone Survey'!$Z255</f>
        <v>264.02514444444438</v>
      </c>
      <c r="M80" s="279">
        <f>'Level Calculation Drone Survey'!$Z255</f>
        <v>264.02514444444438</v>
      </c>
      <c r="N80" s="279">
        <f>'Level Calculation Drone Survey'!$Z255</f>
        <v>264.02514444444438</v>
      </c>
      <c r="O80" s="279">
        <f>'Level Calculation Drone Survey'!$Z255</f>
        <v>264.02514444444438</v>
      </c>
      <c r="P80" s="279">
        <f>'Level Calculation Drone Survey'!$Z255</f>
        <v>264.02514444444438</v>
      </c>
      <c r="Q80" s="279">
        <f>'Level Calculation Drone Survey'!$Z255</f>
        <v>264.02514444444438</v>
      </c>
      <c r="R80" s="279">
        <f>'Level Calculation Drone Survey'!$Z255</f>
        <v>264.02514444444438</v>
      </c>
      <c r="S80" s="279">
        <f>'Level Calculation Drone Survey'!$Z255</f>
        <v>264.02514444444438</v>
      </c>
      <c r="T80" s="279">
        <f>'Level Calculation Drone Survey'!$Z255</f>
        <v>264.02514444444438</v>
      </c>
      <c r="U80" s="279">
        <f>'Level Calculation Drone Survey'!$Z255</f>
        <v>264.02514444444438</v>
      </c>
      <c r="V80" s="279">
        <f>'Level Calculation Drone Survey'!$Z255</f>
        <v>264.02514444444438</v>
      </c>
      <c r="W80" s="279">
        <f>'Level Calculation Drone Survey'!$Z255</f>
        <v>264.02514444444438</v>
      </c>
      <c r="X80" s="279">
        <f>'Level Calculation Drone Survey'!$Z255</f>
        <v>264.02514444444438</v>
      </c>
      <c r="Y80" s="279">
        <f>'Level Calculation Drone Survey'!$Z255</f>
        <v>264.02514444444438</v>
      </c>
      <c r="Z80" s="305">
        <f>'Level Calculation Drone Survey'!$Z331</f>
        <v>263.82514444444439</v>
      </c>
      <c r="AA80" s="305"/>
      <c r="AB80" s="305"/>
      <c r="AC80" s="305"/>
      <c r="AD80" s="305"/>
      <c r="AE80" s="305"/>
      <c r="AF80" s="305"/>
      <c r="AG80" s="305"/>
      <c r="AH80" s="305"/>
      <c r="AI80" s="305"/>
      <c r="AJ80" s="305"/>
      <c r="AK80" s="305"/>
      <c r="AL80" s="305"/>
      <c r="AM80" s="305"/>
      <c r="AN80" s="305"/>
      <c r="AO80" s="305"/>
      <c r="AP80" s="305"/>
      <c r="AQ80" s="305"/>
      <c r="AR80" s="305"/>
      <c r="AS80" s="305"/>
      <c r="AT80" s="305"/>
      <c r="AU80" s="305"/>
      <c r="AV80" s="305"/>
      <c r="AW80" s="305">
        <f>'Level Calculation Drone Survey'!$Z389</f>
        <v>263.61484285714266</v>
      </c>
      <c r="AX80" s="305">
        <f>'Level Calculation Drone Survey'!$Z411</f>
        <v>263.71475238095218</v>
      </c>
      <c r="AY80" s="305">
        <f>'Level Calculation Drone Survey'!$Z411</f>
        <v>263.71475238095218</v>
      </c>
      <c r="AZ80" s="305">
        <f>'Level Calculation Drone Survey'!$Z411</f>
        <v>263.71475238095218</v>
      </c>
      <c r="BA80" s="305">
        <f>'Level Calculation Drone Survey'!$Z411</f>
        <v>263.71475238095218</v>
      </c>
      <c r="BB80" s="305">
        <f>'Level Calculation Drone Survey'!$Z411</f>
        <v>263.71475238095218</v>
      </c>
      <c r="BC80" s="305">
        <f>'Level Calculation Drone Survey'!$Z411</f>
        <v>263.71475238095218</v>
      </c>
      <c r="BD80" s="305">
        <f>'Level Calculation Drone Survey'!$Z411</f>
        <v>263.71475238095218</v>
      </c>
      <c r="BE80" s="305">
        <f>'Level Calculation Drone Survey'!$Z411</f>
        <v>263.71475238095218</v>
      </c>
      <c r="BF80" s="305">
        <f>'Level Calculation Drone Survey'!$Z411</f>
        <v>263.71475238095218</v>
      </c>
      <c r="BG80" s="305">
        <f>'Level Calculation Drone Survey'!$Z411</f>
        <v>263.71475238095218</v>
      </c>
      <c r="BH80" s="305">
        <f>'Level Calculation Drone Survey'!$Z411</f>
        <v>263.71475238095218</v>
      </c>
      <c r="BI80" s="305">
        <f>'Level Calculation Drone Survey'!$Z411</f>
        <v>263.71475238095218</v>
      </c>
      <c r="BJ80" s="305">
        <f>'Level Calculation Drone Survey'!$Z411</f>
        <v>263.71475238095218</v>
      </c>
      <c r="BK80" s="305">
        <f>'Level Calculation Drone Survey'!$Z411</f>
        <v>263.71475238095218</v>
      </c>
      <c r="BL80" s="305">
        <f>'Level Calculation Drone Survey'!$Z411</f>
        <v>263.71475238095218</v>
      </c>
      <c r="BM80" s="305">
        <f>'Level Calculation Drone Survey'!$Z411</f>
        <v>263.71475238095218</v>
      </c>
      <c r="BN80" s="305">
        <f>'Level Calculation Drone Survey'!$Z411</f>
        <v>263.71475238095218</v>
      </c>
      <c r="BO80" s="305">
        <f>'Level Calculation Drone Survey'!$Z411</f>
        <v>263.71475238095218</v>
      </c>
      <c r="BP80" s="305">
        <f>'Level Calculation Drone Survey'!$Z411</f>
        <v>263.71475238095218</v>
      </c>
      <c r="BQ80" s="305">
        <f>'Level Calculation Drone Survey'!$Z411</f>
        <v>263.71475238095218</v>
      </c>
      <c r="BR80" s="305">
        <f>'Level Calculation Drone Survey'!$Z411</f>
        <v>263.71475238095218</v>
      </c>
      <c r="BS80" s="312">
        <f>'Level Calculation Drone Survey'!$Z438</f>
        <v>263.77496818181828</v>
      </c>
      <c r="BT80" s="312">
        <f>'Level Calculation Drone Survey'!$Z438</f>
        <v>263.77496818181828</v>
      </c>
      <c r="BU80" s="312">
        <f>'Level Calculation Drone Survey'!$Z438</f>
        <v>263.77496818181828</v>
      </c>
      <c r="BV80" s="312">
        <f>'Level Calculation Drone Survey'!$Z438</f>
        <v>263.77496818181828</v>
      </c>
      <c r="BW80" s="312">
        <f>'Level Calculation Drone Survey'!$Z438</f>
        <v>263.77496818181828</v>
      </c>
      <c r="BX80" s="312">
        <f>'Level Calculation Drone Survey'!$Z438</f>
        <v>263.77496818181828</v>
      </c>
      <c r="BY80" s="305"/>
      <c r="BZ80" s="305"/>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191"/>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row>
    <row r="81" spans="1:155" ht="45" customHeight="1" x14ac:dyDescent="0.45">
      <c r="A81" s="277">
        <v>400</v>
      </c>
      <c r="B81" s="191"/>
      <c r="C81" s="191"/>
      <c r="D81" s="191"/>
      <c r="E81" s="305"/>
      <c r="F81" s="305">
        <f>'Level Calculation Drone Survey'!$Z319</f>
        <v>263.87514444444435</v>
      </c>
      <c r="G81" s="305">
        <f>'Level Calculation Drone Survey'!$Z319</f>
        <v>263.87514444444435</v>
      </c>
      <c r="H81" s="279">
        <f>'Level Calculation Drone Survey'!$Z256</f>
        <v>263.97514444444437</v>
      </c>
      <c r="I81" s="279">
        <f>'Level Calculation Drone Survey'!$Z256</f>
        <v>263.97514444444437</v>
      </c>
      <c r="J81" s="279">
        <f>'Level Calculation Drone Survey'!$Z256</f>
        <v>263.97514444444437</v>
      </c>
      <c r="K81" s="279">
        <f>'Level Calculation Drone Survey'!$Z256</f>
        <v>263.97514444444437</v>
      </c>
      <c r="L81" s="279">
        <f>'Level Calculation Drone Survey'!$Z256</f>
        <v>263.97514444444437</v>
      </c>
      <c r="M81" s="279">
        <f>'Level Calculation Drone Survey'!$Z256</f>
        <v>263.97514444444437</v>
      </c>
      <c r="N81" s="279">
        <f>'Level Calculation Drone Survey'!$Z256</f>
        <v>263.97514444444437</v>
      </c>
      <c r="O81" s="279">
        <f>'Level Calculation Drone Survey'!$Z256</f>
        <v>263.97514444444437</v>
      </c>
      <c r="P81" s="279">
        <f>'Level Calculation Drone Survey'!$Z256</f>
        <v>263.97514444444437</v>
      </c>
      <c r="Q81" s="279">
        <f>'Level Calculation Drone Survey'!$Z256</f>
        <v>263.97514444444437</v>
      </c>
      <c r="R81" s="279">
        <f>'Level Calculation Drone Survey'!$Z256</f>
        <v>263.97514444444437</v>
      </c>
      <c r="S81" s="279">
        <f>'Level Calculation Drone Survey'!$Z256</f>
        <v>263.97514444444437</v>
      </c>
      <c r="T81" s="279">
        <f>'Level Calculation Drone Survey'!$Z256</f>
        <v>263.97514444444437</v>
      </c>
      <c r="U81" s="279">
        <f>'Level Calculation Drone Survey'!$Z256</f>
        <v>263.97514444444437</v>
      </c>
      <c r="V81" s="279">
        <f>'Level Calculation Drone Survey'!$Z256</f>
        <v>263.97514444444437</v>
      </c>
      <c r="W81" s="279">
        <f>'Level Calculation Drone Survey'!$Z256</f>
        <v>263.97514444444437</v>
      </c>
      <c r="X81" s="279">
        <f>'Level Calculation Drone Survey'!$Z256</f>
        <v>263.97514444444437</v>
      </c>
      <c r="Y81" s="279">
        <f>'Level Calculation Drone Survey'!$Z256</f>
        <v>263.97514444444437</v>
      </c>
      <c r="Z81" s="305">
        <f>'Level Calculation Drone Survey'!$Z332</f>
        <v>263.77514444444438</v>
      </c>
      <c r="AA81" s="191"/>
      <c r="AB81" s="191"/>
      <c r="AC81" s="191"/>
      <c r="AD81" s="191"/>
      <c r="AE81" s="191"/>
      <c r="AF81" s="191"/>
      <c r="AG81" s="191"/>
      <c r="AH81" s="191"/>
      <c r="AI81" s="191"/>
      <c r="AJ81" s="191"/>
      <c r="AK81" s="191"/>
      <c r="AL81" s="191"/>
      <c r="AM81" s="191"/>
      <c r="AN81" s="191"/>
      <c r="AO81" s="191"/>
      <c r="AP81" s="191"/>
      <c r="AQ81" s="191"/>
      <c r="AR81" s="191"/>
      <c r="AS81" s="191"/>
      <c r="AT81" s="191"/>
      <c r="AU81" s="191"/>
      <c r="AV81" s="191"/>
      <c r="AW81" s="191"/>
      <c r="AX81" s="305"/>
      <c r="AY81" s="305"/>
      <c r="AZ81" s="305">
        <f>'Level Calculation Drone Survey'!$Z412</f>
        <v>263.71475238095218</v>
      </c>
      <c r="BA81" s="305">
        <f>'Level Calculation Drone Survey'!$Z412</f>
        <v>263.71475238095218</v>
      </c>
      <c r="BB81" s="305">
        <f>'Level Calculation Drone Survey'!$Z412</f>
        <v>263.71475238095218</v>
      </c>
      <c r="BC81" s="305">
        <f>'Level Calculation Drone Survey'!$Z412</f>
        <v>263.71475238095218</v>
      </c>
      <c r="BD81" s="305">
        <f>'Level Calculation Drone Survey'!$Z412</f>
        <v>263.71475238095218</v>
      </c>
      <c r="BE81" s="305">
        <f>'Level Calculation Drone Survey'!$Z412</f>
        <v>263.71475238095218</v>
      </c>
      <c r="BF81" s="305">
        <f>'Level Calculation Drone Survey'!$Z412</f>
        <v>263.71475238095218</v>
      </c>
      <c r="BG81" s="305">
        <f>'Level Calculation Drone Survey'!$Z412</f>
        <v>263.71475238095218</v>
      </c>
      <c r="BH81" s="305">
        <f>'Level Calculation Drone Survey'!$Z412</f>
        <v>263.71475238095218</v>
      </c>
      <c r="BI81" s="305">
        <f>'Level Calculation Drone Survey'!$Z412</f>
        <v>263.71475238095218</v>
      </c>
      <c r="BJ81" s="305">
        <f>'Level Calculation Drone Survey'!$Z412</f>
        <v>263.71475238095218</v>
      </c>
      <c r="BK81" s="305">
        <f>'Level Calculation Drone Survey'!$Z412</f>
        <v>263.71475238095218</v>
      </c>
      <c r="BL81" s="305">
        <f>'Level Calculation Drone Survey'!$Z412</f>
        <v>263.71475238095218</v>
      </c>
      <c r="BM81" s="305">
        <f>'Level Calculation Drone Survey'!$Z412</f>
        <v>263.71475238095218</v>
      </c>
      <c r="BN81" s="305">
        <f>'Level Calculation Drone Survey'!$Z412</f>
        <v>263.71475238095218</v>
      </c>
      <c r="BO81" s="305">
        <f>'Level Calculation Drone Survey'!$Z412</f>
        <v>263.71475238095218</v>
      </c>
      <c r="BP81" s="305">
        <f>'Level Calculation Drone Survey'!$Z412</f>
        <v>263.71475238095218</v>
      </c>
      <c r="BQ81" s="305">
        <f>'Level Calculation Drone Survey'!$Z412</f>
        <v>263.71475238095218</v>
      </c>
      <c r="BR81" s="305">
        <f>'Level Calculation Drone Survey'!$Z412</f>
        <v>263.71475238095218</v>
      </c>
      <c r="BS81" s="312">
        <f>'Level Calculation Drone Survey'!$Z439</f>
        <v>263.77496818181828</v>
      </c>
      <c r="BT81" s="312">
        <f>'Level Calculation Drone Survey'!$Z439</f>
        <v>263.77496818181828</v>
      </c>
      <c r="BU81" s="312">
        <f>'Level Calculation Drone Survey'!$Z439</f>
        <v>263.77496818181828</v>
      </c>
      <c r="BV81" s="312">
        <f>'Level Calculation Drone Survey'!$Z439</f>
        <v>263.77496818181828</v>
      </c>
      <c r="BW81" s="312">
        <f>'Level Calculation Drone Survey'!$Z439</f>
        <v>263.77496818181828</v>
      </c>
      <c r="BX81" s="312">
        <f>'Level Calculation Drone Survey'!$Z439</f>
        <v>263.77496818181828</v>
      </c>
      <c r="BY81" s="305"/>
      <c r="BZ81" s="305"/>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191"/>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row>
    <row r="82" spans="1:155" ht="45" customHeight="1" x14ac:dyDescent="0.45">
      <c r="A82" s="277">
        <v>405</v>
      </c>
      <c r="B82" s="191"/>
      <c r="C82" s="191"/>
      <c r="D82" s="191"/>
      <c r="E82" s="305"/>
      <c r="F82" s="305"/>
      <c r="G82" s="305">
        <f>'Level Calculation Drone Survey'!$Z320</f>
        <v>263.82514444444433</v>
      </c>
      <c r="H82" s="279">
        <f>'Level Calculation Drone Survey'!$Z257</f>
        <v>263.92514444444436</v>
      </c>
      <c r="I82" s="279">
        <f>'Level Calculation Drone Survey'!$Z257</f>
        <v>263.92514444444436</v>
      </c>
      <c r="J82" s="279">
        <f>'Level Calculation Drone Survey'!$Z257</f>
        <v>263.92514444444436</v>
      </c>
      <c r="K82" s="279">
        <f>'Level Calculation Drone Survey'!$Z257</f>
        <v>263.92514444444436</v>
      </c>
      <c r="L82" s="279">
        <f>'Level Calculation Drone Survey'!$Z257</f>
        <v>263.92514444444436</v>
      </c>
      <c r="M82" s="279">
        <f>'Level Calculation Drone Survey'!$Z257</f>
        <v>263.92514444444436</v>
      </c>
      <c r="N82" s="279">
        <f>'Level Calculation Drone Survey'!$Z257</f>
        <v>263.92514444444436</v>
      </c>
      <c r="O82" s="279">
        <f>'Level Calculation Drone Survey'!$Z257</f>
        <v>263.92514444444436</v>
      </c>
      <c r="P82" s="279">
        <f>'Level Calculation Drone Survey'!$Z257</f>
        <v>263.92514444444436</v>
      </c>
      <c r="Q82" s="279">
        <f>'Level Calculation Drone Survey'!$Z257</f>
        <v>263.92514444444436</v>
      </c>
      <c r="R82" s="279">
        <f>'Level Calculation Drone Survey'!$Z257</f>
        <v>263.92514444444436</v>
      </c>
      <c r="S82" s="279">
        <f>'Level Calculation Drone Survey'!$Z257</f>
        <v>263.92514444444436</v>
      </c>
      <c r="T82" s="279">
        <f>'Level Calculation Drone Survey'!$Z257</f>
        <v>263.92514444444436</v>
      </c>
      <c r="U82" s="279">
        <f>'Level Calculation Drone Survey'!$Z257</f>
        <v>263.92514444444436</v>
      </c>
      <c r="V82" s="279">
        <f>'Level Calculation Drone Survey'!$Z257</f>
        <v>263.92514444444436</v>
      </c>
      <c r="W82" s="279">
        <f>'Level Calculation Drone Survey'!$Z257</f>
        <v>263.92514444444436</v>
      </c>
      <c r="X82" s="279">
        <f>'Level Calculation Drone Survey'!$Z257</f>
        <v>263.92514444444436</v>
      </c>
      <c r="Y82" s="279">
        <f>'Level Calculation Drone Survey'!$Z257</f>
        <v>263.92514444444436</v>
      </c>
      <c r="Z82" s="305">
        <f>'Level Calculation Drone Survey'!$Z333</f>
        <v>263.72514444444437</v>
      </c>
      <c r="AA82" s="191"/>
      <c r="AB82" s="191"/>
      <c r="AC82" s="191"/>
      <c r="AD82" s="191"/>
      <c r="AE82" s="191"/>
      <c r="AF82" s="191"/>
      <c r="AG82" s="191"/>
      <c r="AH82" s="191"/>
      <c r="AI82" s="191"/>
      <c r="AJ82" s="191"/>
      <c r="AK82" s="191"/>
      <c r="AL82" s="191"/>
      <c r="AM82" s="191"/>
      <c r="AN82" s="191"/>
      <c r="AO82" s="191"/>
      <c r="AP82" s="191"/>
      <c r="AQ82" s="191"/>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N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191"/>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row>
    <row r="83" spans="1:155" ht="45" customHeight="1" x14ac:dyDescent="0.45">
      <c r="A83" s="277">
        <v>410</v>
      </c>
      <c r="B83" s="191"/>
      <c r="C83" s="191"/>
      <c r="D83" s="191"/>
      <c r="E83" s="305"/>
      <c r="F83" s="305"/>
      <c r="G83" s="305">
        <f>'Level Calculation Drone Survey'!$Z321</f>
        <v>263.77514444444432</v>
      </c>
      <c r="H83" s="279">
        <f>'Level Calculation Drone Survey'!$Z258</f>
        <v>263.87514444444435</v>
      </c>
      <c r="I83" s="279">
        <f>'Level Calculation Drone Survey'!$Z258</f>
        <v>263.87514444444435</v>
      </c>
      <c r="J83" s="279">
        <f>'Level Calculation Drone Survey'!$Z258</f>
        <v>263.87514444444435</v>
      </c>
      <c r="K83" s="279">
        <f>'Level Calculation Drone Survey'!$Z258</f>
        <v>263.87514444444435</v>
      </c>
      <c r="L83" s="279">
        <f>'Level Calculation Drone Survey'!$Z258</f>
        <v>263.87514444444435</v>
      </c>
      <c r="M83" s="279">
        <f>'Level Calculation Drone Survey'!$Z258</f>
        <v>263.87514444444435</v>
      </c>
      <c r="N83" s="279">
        <f>'Level Calculation Drone Survey'!$Z258</f>
        <v>263.87514444444435</v>
      </c>
      <c r="O83" s="279">
        <f>'Level Calculation Drone Survey'!$Z258</f>
        <v>263.87514444444435</v>
      </c>
      <c r="P83" s="279">
        <f>'Level Calculation Drone Survey'!$Z258</f>
        <v>263.87514444444435</v>
      </c>
      <c r="Q83" s="279">
        <f>'Level Calculation Drone Survey'!$Z258</f>
        <v>263.87514444444435</v>
      </c>
      <c r="R83" s="279">
        <f>'Level Calculation Drone Survey'!$Z258</f>
        <v>263.87514444444435</v>
      </c>
      <c r="S83" s="279">
        <f>'Level Calculation Drone Survey'!$Z258</f>
        <v>263.87514444444435</v>
      </c>
      <c r="T83" s="279">
        <f>'Level Calculation Drone Survey'!$Z258</f>
        <v>263.87514444444435</v>
      </c>
      <c r="U83" s="279">
        <f>'Level Calculation Drone Survey'!$Z258</f>
        <v>263.87514444444435</v>
      </c>
      <c r="V83" s="279">
        <f>'Level Calculation Drone Survey'!$Z258</f>
        <v>263.87514444444435</v>
      </c>
      <c r="W83" s="279">
        <f>'Level Calculation Drone Survey'!$Z258</f>
        <v>263.87514444444435</v>
      </c>
      <c r="X83" s="279">
        <f>'Level Calculation Drone Survey'!$Z258</f>
        <v>263.87514444444435</v>
      </c>
      <c r="Y83" s="279">
        <f>'Level Calculation Drone Survey'!$Z258</f>
        <v>263.87514444444435</v>
      </c>
      <c r="Z83" s="305">
        <f>'Level Calculation Drone Survey'!$Z334</f>
        <v>263.67514444444436</v>
      </c>
      <c r="AA83" s="191"/>
      <c r="AB83" s="191"/>
      <c r="AC83" s="191"/>
      <c r="AD83" s="191"/>
      <c r="AE83" s="191"/>
      <c r="AF83" s="191"/>
      <c r="AG83" s="191"/>
      <c r="AH83" s="191"/>
      <c r="AI83" s="191"/>
      <c r="AJ83" s="191"/>
      <c r="AK83" s="191"/>
      <c r="AL83" s="191"/>
      <c r="AM83" s="191"/>
      <c r="AN83" s="191"/>
      <c r="AO83" s="191"/>
      <c r="AP83" s="191"/>
      <c r="AQ83" s="191"/>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N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191"/>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row>
    <row r="84" spans="1:155" ht="45" customHeight="1" x14ac:dyDescent="0.45">
      <c r="A84" s="277">
        <v>415</v>
      </c>
      <c r="B84" s="191"/>
      <c r="C84" s="191"/>
      <c r="D84" s="191"/>
      <c r="E84" s="305"/>
      <c r="F84" s="305"/>
      <c r="G84" s="305">
        <f>'Level Calculation Drone Survey'!$Z322</f>
        <v>263.72514444444431</v>
      </c>
      <c r="H84" s="279">
        <f>'Level Calculation Drone Survey'!$Z259</f>
        <v>263.82514444444433</v>
      </c>
      <c r="I84" s="279">
        <f>'Level Calculation Drone Survey'!$Z259</f>
        <v>263.82514444444433</v>
      </c>
      <c r="J84" s="279">
        <f>'Level Calculation Drone Survey'!$Z259</f>
        <v>263.82514444444433</v>
      </c>
      <c r="K84" s="279">
        <f>'Level Calculation Drone Survey'!$Z259</f>
        <v>263.82514444444433</v>
      </c>
      <c r="L84" s="279">
        <f>'Level Calculation Drone Survey'!$Z259</f>
        <v>263.82514444444433</v>
      </c>
      <c r="M84" s="279">
        <f>'Level Calculation Drone Survey'!$Z259</f>
        <v>263.82514444444433</v>
      </c>
      <c r="N84" s="279">
        <f>'Level Calculation Drone Survey'!$Z259</f>
        <v>263.82514444444433</v>
      </c>
      <c r="O84" s="279">
        <f>'Level Calculation Drone Survey'!$Z259</f>
        <v>263.82514444444433</v>
      </c>
      <c r="P84" s="279">
        <f>'Level Calculation Drone Survey'!$Z259</f>
        <v>263.82514444444433</v>
      </c>
      <c r="Q84" s="279">
        <f>'Level Calculation Drone Survey'!$Z259</f>
        <v>263.82514444444433</v>
      </c>
      <c r="R84" s="279">
        <f>'Level Calculation Drone Survey'!$Z259</f>
        <v>263.82514444444433</v>
      </c>
      <c r="S84" s="279">
        <f>'Level Calculation Drone Survey'!$Z259</f>
        <v>263.82514444444433</v>
      </c>
      <c r="T84" s="279">
        <f>'Level Calculation Drone Survey'!$Z259</f>
        <v>263.82514444444433</v>
      </c>
      <c r="U84" s="279">
        <f>'Level Calculation Drone Survey'!$Z259</f>
        <v>263.82514444444433</v>
      </c>
      <c r="V84" s="279">
        <f>'Level Calculation Drone Survey'!$Z259</f>
        <v>263.82514444444433</v>
      </c>
      <c r="W84" s="279">
        <f>'Level Calculation Drone Survey'!$Z259</f>
        <v>263.82514444444433</v>
      </c>
      <c r="X84" s="279">
        <f>'Level Calculation Drone Survey'!$Z259</f>
        <v>263.82514444444433</v>
      </c>
      <c r="Y84" s="279">
        <f>'Level Calculation Drone Survey'!$Z259</f>
        <v>263.82514444444433</v>
      </c>
      <c r="Z84" s="305">
        <f>'Level Calculation Drone Survey'!$Z335</f>
        <v>263.62514444444435</v>
      </c>
      <c r="AA84" s="191"/>
      <c r="AB84" s="191"/>
      <c r="AC84" s="191"/>
      <c r="AD84" s="191"/>
      <c r="AE84" s="191"/>
      <c r="AF84" s="191"/>
      <c r="AG84" s="191"/>
      <c r="AH84" s="191"/>
      <c r="AI84" s="191"/>
      <c r="AJ84" s="191"/>
      <c r="AK84" s="191"/>
      <c r="AL84" s="191"/>
      <c r="AM84" s="191"/>
      <c r="AN84" s="191"/>
      <c r="AO84" s="191"/>
      <c r="AP84" s="191"/>
      <c r="AQ84" s="191"/>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N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191"/>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row>
    <row r="85" spans="1:155" ht="45" customHeight="1" x14ac:dyDescent="0.45">
      <c r="A85" s="277">
        <v>420</v>
      </c>
      <c r="B85" s="191"/>
      <c r="C85" s="191"/>
      <c r="D85" s="191"/>
      <c r="E85" s="305"/>
      <c r="F85" s="305"/>
      <c r="G85" s="305">
        <f>G84-5/100</f>
        <v>263.6751444444443</v>
      </c>
      <c r="H85" s="279">
        <f>'Level Calculation Drone Survey'!$Z260</f>
        <v>263.77514444444432</v>
      </c>
      <c r="I85" s="279">
        <f>'Level Calculation Drone Survey'!$Z260</f>
        <v>263.77514444444432</v>
      </c>
      <c r="J85" s="279">
        <f>'Level Calculation Drone Survey'!$Z260</f>
        <v>263.77514444444432</v>
      </c>
      <c r="K85" s="279">
        <f>'Level Calculation Drone Survey'!$Z260</f>
        <v>263.77514444444432</v>
      </c>
      <c r="L85" s="279">
        <f>'Level Calculation Drone Survey'!$Z260</f>
        <v>263.77514444444432</v>
      </c>
      <c r="M85" s="279">
        <f>'Level Calculation Drone Survey'!$Z260</f>
        <v>263.77514444444432</v>
      </c>
      <c r="N85" s="279">
        <f>'Level Calculation Drone Survey'!$Z260</f>
        <v>263.77514444444432</v>
      </c>
      <c r="O85" s="279">
        <f>'Level Calculation Drone Survey'!$Z260</f>
        <v>263.77514444444432</v>
      </c>
      <c r="P85" s="279">
        <f>'Level Calculation Drone Survey'!$Z260</f>
        <v>263.77514444444432</v>
      </c>
      <c r="Q85" s="279">
        <f>'Level Calculation Drone Survey'!$Z260</f>
        <v>263.77514444444432</v>
      </c>
      <c r="R85" s="279">
        <f>'Level Calculation Drone Survey'!$Z260</f>
        <v>263.77514444444432</v>
      </c>
      <c r="S85" s="279">
        <f>'Level Calculation Drone Survey'!$Z260</f>
        <v>263.77514444444432</v>
      </c>
      <c r="T85" s="279">
        <f>'Level Calculation Drone Survey'!$Z260</f>
        <v>263.77514444444432</v>
      </c>
      <c r="U85" s="279">
        <f>'Level Calculation Drone Survey'!$Z260</f>
        <v>263.77514444444432</v>
      </c>
      <c r="V85" s="279">
        <f>'Level Calculation Drone Survey'!$Z260</f>
        <v>263.77514444444432</v>
      </c>
      <c r="W85" s="279">
        <f>'Level Calculation Drone Survey'!$Z260</f>
        <v>263.77514444444432</v>
      </c>
      <c r="X85" s="279">
        <f>'Level Calculation Drone Survey'!$Z260</f>
        <v>263.77514444444432</v>
      </c>
      <c r="Y85" s="279">
        <f>'Level Calculation Drone Survey'!$Z260</f>
        <v>263.77514444444432</v>
      </c>
      <c r="Z85" s="305">
        <f>'Level Calculation Drone Survey'!$Z336</f>
        <v>263.57514444444433</v>
      </c>
      <c r="AA85" s="191"/>
      <c r="AB85" s="191"/>
      <c r="AC85" s="191"/>
      <c r="AD85" s="191"/>
      <c r="AE85" s="191"/>
      <c r="AF85" s="191"/>
      <c r="AG85" s="191"/>
      <c r="AH85" s="191"/>
      <c r="AI85" s="191"/>
      <c r="AJ85" s="191"/>
      <c r="AK85" s="191"/>
      <c r="AL85" s="191"/>
      <c r="AM85" s="191"/>
      <c r="AN85" s="191"/>
      <c r="AO85" s="191"/>
      <c r="AP85" s="191"/>
      <c r="AQ85" s="191"/>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N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191"/>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row>
    <row r="86" spans="1:155" ht="45" customHeight="1" x14ac:dyDescent="0.45">
      <c r="A86" s="277">
        <v>425</v>
      </c>
      <c r="B86" s="191"/>
      <c r="C86" s="191"/>
      <c r="D86" s="191"/>
      <c r="E86" s="191"/>
      <c r="F86" s="191"/>
      <c r="G86" s="305">
        <f>'Level Calculation Drone Survey'!$Z$327</f>
        <v>263.57514444444433</v>
      </c>
      <c r="H86" s="305">
        <f>'Level Calculation Drone Survey'!$Z$327</f>
        <v>263.57514444444433</v>
      </c>
      <c r="I86" s="305">
        <f>'Level Calculation Drone Survey'!$Z$327</f>
        <v>263.57514444444433</v>
      </c>
      <c r="J86" s="305">
        <f>'Level Calculation Drone Survey'!$Z$327</f>
        <v>263.57514444444433</v>
      </c>
      <c r="K86" s="305">
        <f>'Level Calculation Drone Survey'!$Z$327</f>
        <v>263.57514444444433</v>
      </c>
      <c r="L86" s="305">
        <f>'Level Calculation Drone Survey'!$Z$327</f>
        <v>263.57514444444433</v>
      </c>
      <c r="M86" s="305">
        <f>'Level Calculation Drone Survey'!$Z$327</f>
        <v>263.57514444444433</v>
      </c>
      <c r="N86" s="305">
        <f>'Level Calculation Drone Survey'!$Z$327</f>
        <v>263.57514444444433</v>
      </c>
      <c r="O86" s="305">
        <f>'Level Calculation Drone Survey'!$Z$327</f>
        <v>263.57514444444433</v>
      </c>
      <c r="P86" s="305">
        <f>'Level Calculation Drone Survey'!$Z$327</f>
        <v>263.57514444444433</v>
      </c>
      <c r="Q86" s="305">
        <f>'Level Calculation Drone Survey'!$Z$327</f>
        <v>263.57514444444433</v>
      </c>
      <c r="R86" s="305">
        <f>'Level Calculation Drone Survey'!$Z$327</f>
        <v>263.57514444444433</v>
      </c>
      <c r="S86" s="305">
        <f>'Level Calculation Drone Survey'!$Z$327</f>
        <v>263.57514444444433</v>
      </c>
      <c r="T86" s="305">
        <f>'Level Calculation Drone Survey'!$Z$327</f>
        <v>263.57514444444433</v>
      </c>
      <c r="U86" s="305">
        <f>'Level Calculation Drone Survey'!$Z$327</f>
        <v>263.57514444444433</v>
      </c>
      <c r="V86" s="305">
        <f>'Level Calculation Drone Survey'!$Z$327</f>
        <v>263.57514444444433</v>
      </c>
      <c r="W86" s="305">
        <f>'Level Calculation Drone Survey'!$Z$327</f>
        <v>263.57514444444433</v>
      </c>
      <c r="X86" s="305">
        <f>'Level Calculation Drone Survey'!$Z$327</f>
        <v>263.57514444444433</v>
      </c>
      <c r="Y86" s="305">
        <f>'Level Calculation Drone Survey'!$Z$327</f>
        <v>263.57514444444433</v>
      </c>
      <c r="Z86" s="305">
        <f>'Level Calculation Drone Survey'!$Z$327</f>
        <v>263.57514444444433</v>
      </c>
      <c r="AA86" s="191"/>
      <c r="AB86" s="191"/>
      <c r="AC86" s="191"/>
      <c r="AD86" s="191"/>
      <c r="AE86" s="191"/>
      <c r="AF86" s="191"/>
      <c r="AG86" s="191"/>
      <c r="AH86" s="191"/>
      <c r="AI86" s="191"/>
      <c r="AJ86" s="191"/>
      <c r="AK86" s="191"/>
      <c r="AL86" s="191"/>
      <c r="AM86" s="191"/>
      <c r="AN86" s="191"/>
      <c r="AO86" s="191"/>
      <c r="AP86" s="191"/>
      <c r="AQ86" s="191"/>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N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191"/>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row>
    <row r="87" spans="1:155" ht="45" customHeight="1" x14ac:dyDescent="0.45">
      <c r="A87" s="277">
        <v>430</v>
      </c>
      <c r="B87" s="191"/>
      <c r="C87" s="191"/>
      <c r="D87" s="191"/>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1"/>
      <c r="AG87" s="191"/>
      <c r="AH87" s="191"/>
      <c r="AI87" s="191"/>
      <c r="AJ87" s="191"/>
      <c r="AK87" s="191"/>
      <c r="AL87" s="191"/>
      <c r="AM87" s="191"/>
      <c r="AN87" s="191"/>
      <c r="AO87" s="191"/>
      <c r="AP87" s="191"/>
      <c r="AQ87" s="191"/>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N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191"/>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row>
    <row r="88" spans="1:155" ht="45" customHeight="1" x14ac:dyDescent="0.45">
      <c r="A88" s="277">
        <v>435</v>
      </c>
      <c r="B88" s="191"/>
      <c r="C88" s="191"/>
      <c r="D88" s="191"/>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1"/>
      <c r="AG88" s="191"/>
      <c r="AH88" s="191"/>
      <c r="AI88" s="191"/>
      <c r="AJ88" s="191"/>
      <c r="AK88" s="191"/>
      <c r="AL88" s="191"/>
      <c r="AM88" s="191"/>
      <c r="AN88" s="191"/>
      <c r="AO88" s="191"/>
      <c r="AP88" s="191"/>
      <c r="AQ88" s="191"/>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N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191"/>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row>
    <row r="89" spans="1:155" ht="45" customHeight="1" x14ac:dyDescent="0.45">
      <c r="A89" s="277">
        <v>440</v>
      </c>
      <c r="B89" s="191"/>
      <c r="C89" s="191"/>
      <c r="D89" s="191"/>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1"/>
      <c r="AG89" s="191"/>
      <c r="AH89" s="191"/>
      <c r="AI89" s="191"/>
      <c r="AJ89" s="191"/>
      <c r="AK89" s="191"/>
      <c r="AL89" s="191"/>
      <c r="AM89" s="191"/>
      <c r="AN89" s="191"/>
      <c r="AO89" s="191"/>
      <c r="AP89" s="191"/>
      <c r="AQ89" s="191"/>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N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191"/>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row>
    <row r="90" spans="1:155" ht="45" customHeight="1" x14ac:dyDescent="0.45">
      <c r="A90" s="277">
        <v>445</v>
      </c>
      <c r="B90" s="191"/>
      <c r="C90" s="191"/>
      <c r="D90" s="191"/>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191"/>
      <c r="AH90" s="191"/>
      <c r="AI90" s="191"/>
      <c r="AJ90" s="191"/>
      <c r="AK90" s="191"/>
      <c r="AL90" s="191"/>
      <c r="AM90" s="191"/>
      <c r="AN90" s="191"/>
      <c r="AO90" s="191"/>
      <c r="AP90" s="191"/>
      <c r="AQ90" s="191"/>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N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191"/>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row>
    <row r="91" spans="1:155" ht="45" customHeight="1" x14ac:dyDescent="0.45">
      <c r="A91" s="277">
        <v>450</v>
      </c>
      <c r="B91" s="191"/>
      <c r="C91" s="191"/>
      <c r="D91" s="191"/>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1"/>
      <c r="AG91" s="191"/>
      <c r="AH91" s="191"/>
      <c r="AI91" s="191"/>
      <c r="AJ91" s="191"/>
      <c r="AK91" s="191"/>
      <c r="AL91" s="191"/>
      <c r="AM91" s="191"/>
      <c r="AN91" s="191"/>
      <c r="AO91" s="191"/>
      <c r="AP91" s="191"/>
      <c r="AQ91" s="191"/>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N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191"/>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row>
    <row r="92" spans="1:155" ht="45" customHeight="1" x14ac:dyDescent="0.45">
      <c r="A92" s="277">
        <v>455</v>
      </c>
      <c r="B92" s="191"/>
      <c r="C92" s="191"/>
      <c r="D92" s="191"/>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1"/>
      <c r="AG92" s="191"/>
      <c r="AH92" s="191"/>
      <c r="AI92" s="191"/>
      <c r="AJ92" s="191"/>
      <c r="AK92" s="191"/>
      <c r="AL92" s="191"/>
      <c r="AM92" s="191"/>
      <c r="AN92" s="191"/>
      <c r="AO92" s="191"/>
      <c r="AP92" s="191"/>
      <c r="AQ92" s="191"/>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N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191"/>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row>
  </sheetData>
  <pageMargins left="3.937007874015748E-2" right="3.937007874015748E-2" top="0.15748031496062992" bottom="0.15748031496062992" header="0" footer="0"/>
  <pageSetup paperSize="8" scale="35" orientation="landscape"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AEAD8-3ED4-455D-8082-E4FAE43D00FD}">
  <sheetPr>
    <tabColor rgb="FFFFD5D5"/>
  </sheetPr>
  <dimension ref="A1:EY92"/>
  <sheetViews>
    <sheetView topLeftCell="BY29" zoomScale="48" zoomScaleNormal="50" workbookViewId="0">
      <selection activeCell="BY29" sqref="BY29"/>
    </sheetView>
  </sheetViews>
  <sheetFormatPr defaultColWidth="8" defaultRowHeight="45" customHeight="1" x14ac:dyDescent="0.45"/>
  <cols>
    <col min="1" max="141" width="8" style="79"/>
    <col min="142" max="142" width="8" style="79" customWidth="1"/>
    <col min="143" max="16384" width="8" style="79"/>
  </cols>
  <sheetData>
    <row r="1" spans="1:155" ht="45" customHeight="1" x14ac:dyDescent="0.45">
      <c r="A1" s="277">
        <v>0</v>
      </c>
      <c r="B1" s="277">
        <v>5</v>
      </c>
      <c r="C1" s="277">
        <v>10</v>
      </c>
      <c r="D1" s="277">
        <v>15</v>
      </c>
      <c r="E1" s="277">
        <v>20</v>
      </c>
      <c r="F1" s="277">
        <v>25</v>
      </c>
      <c r="G1" s="277">
        <v>30</v>
      </c>
      <c r="H1" s="277">
        <v>35</v>
      </c>
      <c r="I1" s="277">
        <v>40</v>
      </c>
      <c r="J1" s="277">
        <v>45</v>
      </c>
      <c r="K1" s="277">
        <v>50</v>
      </c>
      <c r="L1" s="277">
        <v>55</v>
      </c>
      <c r="M1" s="277">
        <v>60</v>
      </c>
      <c r="N1" s="277">
        <v>65</v>
      </c>
      <c r="O1" s="277">
        <v>70</v>
      </c>
      <c r="P1" s="277">
        <v>75</v>
      </c>
      <c r="Q1" s="277">
        <v>80</v>
      </c>
      <c r="R1" s="277">
        <v>85</v>
      </c>
      <c r="S1" s="277">
        <v>90</v>
      </c>
      <c r="T1" s="277">
        <v>95</v>
      </c>
      <c r="U1" s="277">
        <v>100</v>
      </c>
      <c r="V1" s="277">
        <v>105</v>
      </c>
      <c r="W1" s="277">
        <v>110</v>
      </c>
      <c r="X1" s="277">
        <v>115</v>
      </c>
      <c r="Y1" s="277">
        <v>120</v>
      </c>
      <c r="Z1" s="277">
        <v>125</v>
      </c>
      <c r="AA1" s="277">
        <v>130</v>
      </c>
      <c r="AB1" s="277">
        <v>135</v>
      </c>
      <c r="AC1" s="277">
        <v>140</v>
      </c>
      <c r="AD1" s="277">
        <v>145</v>
      </c>
      <c r="AE1" s="277">
        <v>150</v>
      </c>
      <c r="AF1" s="277">
        <v>155</v>
      </c>
      <c r="AG1" s="277">
        <v>160</v>
      </c>
      <c r="AH1" s="277">
        <v>165</v>
      </c>
      <c r="AI1" s="277">
        <v>170</v>
      </c>
      <c r="AJ1" s="277">
        <v>175</v>
      </c>
      <c r="AK1" s="277">
        <v>180</v>
      </c>
      <c r="AL1" s="277">
        <v>185</v>
      </c>
      <c r="AM1" s="277">
        <v>190</v>
      </c>
      <c r="AN1" s="277">
        <v>195</v>
      </c>
      <c r="AO1" s="277">
        <v>200</v>
      </c>
      <c r="AP1" s="277">
        <v>205</v>
      </c>
      <c r="AQ1" s="277">
        <v>210</v>
      </c>
      <c r="AR1" s="277">
        <v>215</v>
      </c>
      <c r="AS1" s="277">
        <v>220</v>
      </c>
      <c r="AT1" s="277">
        <v>225</v>
      </c>
      <c r="AU1" s="277">
        <v>230</v>
      </c>
      <c r="AV1" s="277">
        <v>235</v>
      </c>
      <c r="AW1" s="277">
        <v>240</v>
      </c>
      <c r="AX1" s="277">
        <v>245</v>
      </c>
      <c r="AY1" s="277">
        <v>250</v>
      </c>
      <c r="AZ1" s="277">
        <v>255</v>
      </c>
      <c r="BA1" s="277">
        <v>260</v>
      </c>
      <c r="BB1" s="277">
        <v>265</v>
      </c>
      <c r="BC1" s="277">
        <v>270</v>
      </c>
      <c r="BD1" s="277">
        <v>275</v>
      </c>
      <c r="BE1" s="277">
        <v>280</v>
      </c>
      <c r="BF1" s="277">
        <v>285</v>
      </c>
      <c r="BG1" s="277">
        <v>290</v>
      </c>
      <c r="BH1" s="277">
        <v>295</v>
      </c>
      <c r="BI1" s="277">
        <v>300</v>
      </c>
      <c r="BJ1" s="277">
        <v>305</v>
      </c>
      <c r="BK1" s="277">
        <v>310</v>
      </c>
      <c r="BL1" s="277">
        <v>315</v>
      </c>
      <c r="BM1" s="277">
        <v>320</v>
      </c>
      <c r="BN1" s="277">
        <v>325</v>
      </c>
      <c r="BO1" s="277">
        <v>330</v>
      </c>
      <c r="BP1" s="277">
        <v>335</v>
      </c>
      <c r="BQ1" s="277">
        <v>340</v>
      </c>
      <c r="BR1" s="277">
        <v>345</v>
      </c>
      <c r="BS1" s="277">
        <v>350</v>
      </c>
      <c r="BT1" s="277">
        <v>355</v>
      </c>
      <c r="BU1" s="277">
        <v>360</v>
      </c>
      <c r="BV1" s="277">
        <v>365</v>
      </c>
      <c r="BW1" s="277">
        <v>370</v>
      </c>
      <c r="BX1" s="277">
        <v>375</v>
      </c>
      <c r="BY1" s="277">
        <v>380</v>
      </c>
      <c r="BZ1" s="277">
        <v>385</v>
      </c>
      <c r="CA1" s="277">
        <v>390</v>
      </c>
      <c r="CB1" s="277">
        <v>395</v>
      </c>
      <c r="CC1" s="277">
        <v>400</v>
      </c>
      <c r="CD1" s="277">
        <v>405</v>
      </c>
      <c r="CE1" s="277">
        <v>410</v>
      </c>
      <c r="CF1" s="277">
        <v>415</v>
      </c>
      <c r="CG1" s="277">
        <v>420</v>
      </c>
      <c r="CH1" s="277">
        <v>425</v>
      </c>
      <c r="CI1" s="277">
        <v>430</v>
      </c>
      <c r="CJ1" s="277">
        <v>435</v>
      </c>
      <c r="CK1" s="277">
        <v>440</v>
      </c>
      <c r="CL1" s="277">
        <v>445</v>
      </c>
      <c r="CM1" s="277">
        <v>450</v>
      </c>
      <c r="CN1" s="277">
        <v>455</v>
      </c>
      <c r="CO1" s="277">
        <v>460</v>
      </c>
      <c r="CP1" s="277">
        <v>465</v>
      </c>
      <c r="CQ1" s="277">
        <v>470</v>
      </c>
      <c r="CR1" s="277">
        <v>475</v>
      </c>
      <c r="CS1" s="277">
        <v>480</v>
      </c>
      <c r="CT1" s="277">
        <v>485</v>
      </c>
      <c r="CU1" s="277">
        <v>490</v>
      </c>
      <c r="CV1" s="277">
        <v>495</v>
      </c>
      <c r="CW1" s="277">
        <v>500</v>
      </c>
      <c r="CX1" s="277">
        <v>505</v>
      </c>
      <c r="CY1" s="277">
        <v>510</v>
      </c>
      <c r="CZ1" s="277">
        <v>515</v>
      </c>
      <c r="DA1" s="277">
        <v>520</v>
      </c>
      <c r="DB1" s="277">
        <v>525</v>
      </c>
      <c r="DC1" s="277">
        <v>530</v>
      </c>
      <c r="DD1" s="277">
        <v>535</v>
      </c>
      <c r="DE1" s="277">
        <v>540</v>
      </c>
      <c r="DF1" s="277">
        <v>545</v>
      </c>
      <c r="DG1" s="277">
        <v>550</v>
      </c>
      <c r="DH1" s="277">
        <v>555</v>
      </c>
      <c r="DI1" s="277">
        <v>560</v>
      </c>
      <c r="DJ1" s="277">
        <v>565</v>
      </c>
      <c r="DK1" s="277">
        <v>570</v>
      </c>
      <c r="DL1" s="277">
        <v>575</v>
      </c>
      <c r="DM1" s="277">
        <v>580</v>
      </c>
      <c r="DN1" s="277">
        <v>585</v>
      </c>
      <c r="DO1" s="277">
        <v>590</v>
      </c>
      <c r="DP1" s="277">
        <v>595</v>
      </c>
      <c r="DQ1" s="277">
        <v>600</v>
      </c>
      <c r="DR1" s="277">
        <v>605</v>
      </c>
      <c r="DS1" s="277">
        <v>610</v>
      </c>
      <c r="DT1" s="277">
        <v>615</v>
      </c>
      <c r="DU1" s="277">
        <v>620</v>
      </c>
      <c r="DV1" s="277">
        <v>625</v>
      </c>
      <c r="DW1" s="277">
        <v>630</v>
      </c>
      <c r="DX1" s="277">
        <v>635</v>
      </c>
      <c r="DY1" s="277">
        <v>640</v>
      </c>
      <c r="DZ1" s="277">
        <v>645</v>
      </c>
      <c r="EA1" s="277">
        <v>650</v>
      </c>
      <c r="EB1" s="277">
        <v>655</v>
      </c>
      <c r="EC1" s="277">
        <v>660</v>
      </c>
      <c r="ED1" s="277">
        <v>665</v>
      </c>
      <c r="EE1" s="277">
        <v>670</v>
      </c>
      <c r="EF1" s="277">
        <v>675</v>
      </c>
      <c r="EG1" s="277">
        <v>680</v>
      </c>
      <c r="EH1" s="277">
        <v>685</v>
      </c>
      <c r="EI1" s="277">
        <v>690</v>
      </c>
      <c r="EJ1" s="277">
        <v>695</v>
      </c>
      <c r="EK1" s="277">
        <v>700</v>
      </c>
      <c r="EL1" s="277">
        <v>705</v>
      </c>
      <c r="EM1" s="277">
        <v>710</v>
      </c>
      <c r="EN1" s="277">
        <v>715</v>
      </c>
      <c r="EO1" s="277">
        <v>720</v>
      </c>
      <c r="EP1" s="277">
        <v>725</v>
      </c>
      <c r="EQ1" s="277">
        <v>730</v>
      </c>
      <c r="ER1" s="277">
        <v>735</v>
      </c>
      <c r="ES1" s="277">
        <v>740</v>
      </c>
      <c r="ET1" s="277">
        <v>745</v>
      </c>
      <c r="EU1" s="277">
        <v>750</v>
      </c>
      <c r="EV1" s="277">
        <v>755</v>
      </c>
      <c r="EW1" s="277">
        <v>760</v>
      </c>
      <c r="EX1" s="277">
        <v>765</v>
      </c>
      <c r="EY1" s="277">
        <v>770</v>
      </c>
    </row>
    <row r="2" spans="1:155" ht="45" customHeight="1" x14ac:dyDescent="0.45">
      <c r="A2" s="277">
        <v>5</v>
      </c>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c r="AL2" s="191"/>
      <c r="AM2" s="191"/>
      <c r="AN2" s="191"/>
      <c r="AO2" s="191"/>
      <c r="AP2" s="191"/>
      <c r="AQ2" s="191"/>
      <c r="AR2" s="191"/>
      <c r="AS2" s="191"/>
      <c r="AT2" s="191"/>
      <c r="AU2" s="191"/>
      <c r="AV2" s="191"/>
      <c r="AW2" s="191"/>
      <c r="AX2" s="191"/>
      <c r="AY2" s="191"/>
      <c r="AZ2" s="191"/>
      <c r="BA2" s="191"/>
      <c r="BB2" s="191"/>
      <c r="BC2" s="191"/>
      <c r="BD2" s="191"/>
      <c r="BE2" s="191"/>
      <c r="BF2" s="191"/>
      <c r="BG2" s="191"/>
      <c r="BH2" s="191"/>
      <c r="BI2" s="191"/>
      <c r="BJ2" s="191"/>
      <c r="BK2" s="191"/>
      <c r="BL2" s="191"/>
      <c r="BM2" s="191"/>
      <c r="BN2" s="191"/>
      <c r="BO2" s="191"/>
      <c r="BP2" s="191"/>
      <c r="BQ2" s="191"/>
      <c r="BR2" s="191"/>
      <c r="BS2" s="191"/>
      <c r="BT2" s="191"/>
      <c r="BU2" s="191"/>
      <c r="BV2" s="191"/>
      <c r="BW2" s="191"/>
      <c r="BX2" s="191"/>
      <c r="BY2" s="191"/>
      <c r="BZ2" s="191"/>
      <c r="CA2" s="191"/>
      <c r="CB2" s="191"/>
      <c r="CC2" s="191"/>
      <c r="CD2" s="191"/>
      <c r="CE2" s="191"/>
      <c r="CF2" s="191"/>
      <c r="CG2" s="191"/>
      <c r="CH2" s="191"/>
      <c r="CI2" s="191"/>
      <c r="CJ2" s="191"/>
      <c r="CK2" s="191"/>
      <c r="CL2" s="191"/>
      <c r="CM2" s="191"/>
      <c r="CN2" s="191"/>
      <c r="CO2" s="191"/>
      <c r="CP2" s="191"/>
      <c r="CQ2" s="191"/>
      <c r="CR2" s="191"/>
      <c r="CS2" s="191"/>
      <c r="CT2" s="191"/>
      <c r="CU2" s="191"/>
      <c r="CV2" s="191"/>
      <c r="CW2" s="191"/>
      <c r="CX2" s="191"/>
      <c r="CY2" s="191"/>
      <c r="CZ2" s="191"/>
      <c r="DA2" s="191"/>
      <c r="DB2" s="191"/>
      <c r="DC2" s="191"/>
      <c r="DD2" s="191"/>
      <c r="DE2" s="191"/>
      <c r="DF2" s="191"/>
      <c r="DG2" s="191"/>
      <c r="DH2" s="191"/>
      <c r="DI2" s="191"/>
      <c r="DJ2" s="191"/>
      <c r="DK2" s="191"/>
      <c r="DL2" s="191"/>
      <c r="DM2" s="191"/>
      <c r="DN2" s="191"/>
      <c r="DO2" s="191"/>
      <c r="DP2" s="191"/>
      <c r="DQ2" s="191"/>
      <c r="DR2" s="191"/>
      <c r="DS2" s="191"/>
      <c r="DT2" s="191"/>
      <c r="DU2" s="191"/>
      <c r="DV2" s="191"/>
      <c r="DW2" s="191"/>
      <c r="DX2" s="191"/>
      <c r="DY2" s="191"/>
      <c r="DZ2" s="191"/>
      <c r="EA2" s="191"/>
      <c r="EB2" s="191"/>
      <c r="EC2" s="191"/>
      <c r="ED2" s="191"/>
      <c r="EE2" s="191"/>
      <c r="EF2" s="191"/>
      <c r="EG2" s="191"/>
      <c r="EH2" s="191"/>
      <c r="EI2" s="191"/>
      <c r="EJ2" s="191"/>
      <c r="EK2" s="191"/>
      <c r="EL2" s="191"/>
      <c r="EM2" s="191"/>
      <c r="EN2" s="191"/>
      <c r="EO2" s="191"/>
      <c r="EP2" s="191"/>
      <c r="EQ2" s="191"/>
      <c r="ER2" s="191"/>
      <c r="ES2" s="191"/>
      <c r="ET2" s="191"/>
      <c r="EU2" s="191"/>
      <c r="EV2" s="191"/>
      <c r="EW2" s="191"/>
      <c r="EX2" s="191"/>
      <c r="EY2" s="191"/>
    </row>
    <row r="3" spans="1:155" ht="45" customHeight="1" x14ac:dyDescent="0.45">
      <c r="A3" s="277">
        <v>10</v>
      </c>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1"/>
      <c r="AM3" s="191"/>
      <c r="AN3" s="191"/>
      <c r="AO3" s="191"/>
      <c r="AP3" s="191"/>
      <c r="AQ3" s="191"/>
      <c r="AR3" s="191"/>
      <c r="AS3" s="191"/>
      <c r="AT3" s="191"/>
      <c r="AU3" s="191"/>
      <c r="AV3" s="191"/>
      <c r="AW3" s="191"/>
      <c r="AX3" s="191"/>
      <c r="AY3" s="191"/>
      <c r="AZ3" s="191"/>
      <c r="BA3" s="191"/>
      <c r="BB3" s="191"/>
      <c r="BC3" s="191"/>
      <c r="BD3" s="191"/>
      <c r="BE3" s="191"/>
      <c r="BF3" s="191"/>
      <c r="BG3" s="191"/>
      <c r="BH3" s="191"/>
      <c r="BI3" s="191"/>
      <c r="BJ3" s="191"/>
      <c r="BK3" s="191"/>
      <c r="BL3" s="191"/>
      <c r="BM3" s="191"/>
      <c r="BN3" s="191"/>
      <c r="BO3" s="191"/>
      <c r="BP3" s="191"/>
      <c r="BQ3" s="191"/>
      <c r="BR3" s="191"/>
      <c r="BS3" s="191"/>
      <c r="BT3" s="191"/>
      <c r="BU3" s="191"/>
      <c r="BV3" s="191"/>
      <c r="BW3" s="191"/>
      <c r="BX3" s="191"/>
      <c r="BY3" s="191"/>
      <c r="BZ3" s="191"/>
      <c r="CA3" s="191"/>
      <c r="CB3" s="191"/>
      <c r="CC3" s="191"/>
      <c r="CD3" s="191"/>
      <c r="CE3" s="191"/>
      <c r="CF3" s="191"/>
      <c r="CG3" s="191"/>
      <c r="CH3" s="191"/>
      <c r="CI3" s="191"/>
      <c r="CJ3" s="191"/>
      <c r="CK3" s="191"/>
      <c r="CL3" s="191"/>
      <c r="CM3" s="191"/>
      <c r="CN3" s="191"/>
      <c r="CO3" s="191"/>
      <c r="CP3" s="191"/>
      <c r="CQ3" s="191"/>
      <c r="CR3" s="191"/>
      <c r="CS3" s="191"/>
      <c r="CT3" s="191"/>
      <c r="CU3" s="191"/>
      <c r="CV3" s="191"/>
      <c r="CW3" s="191"/>
      <c r="CX3" s="191"/>
      <c r="CY3" s="191"/>
      <c r="CZ3" s="191"/>
      <c r="DA3" s="191"/>
      <c r="DB3" s="191"/>
      <c r="DC3" s="191"/>
      <c r="DD3" s="191"/>
      <c r="DE3" s="191"/>
      <c r="DF3" s="191"/>
      <c r="DG3" s="191"/>
      <c r="DH3" s="191"/>
      <c r="DI3" s="191"/>
      <c r="DJ3" s="191"/>
      <c r="DK3" s="191"/>
      <c r="DL3" s="191"/>
      <c r="DM3" s="191"/>
      <c r="DN3" s="191"/>
      <c r="DO3" s="191"/>
      <c r="DP3" s="191"/>
      <c r="DQ3" s="191"/>
      <c r="DR3" s="191"/>
      <c r="DS3" s="191"/>
      <c r="DT3" s="191"/>
      <c r="DU3" s="191"/>
      <c r="DV3" s="191"/>
      <c r="DW3" s="191"/>
      <c r="DX3" s="191"/>
      <c r="DY3" s="191"/>
      <c r="DZ3" s="191"/>
      <c r="EA3" s="191"/>
      <c r="EB3" s="191"/>
      <c r="EC3" s="191"/>
      <c r="ED3" s="191"/>
      <c r="EE3" s="191"/>
      <c r="EF3" s="191"/>
      <c r="EG3" s="191"/>
      <c r="EH3" s="191"/>
      <c r="EI3" s="191"/>
      <c r="EJ3" s="191"/>
      <c r="EK3" s="191"/>
      <c r="EL3" s="191"/>
      <c r="EM3" s="191"/>
      <c r="EN3" s="191"/>
      <c r="EO3" s="191"/>
      <c r="EP3" s="191"/>
      <c r="EQ3" s="191"/>
      <c r="ER3" s="191"/>
      <c r="ES3" s="191"/>
      <c r="ET3" s="191"/>
      <c r="EU3" s="191"/>
      <c r="EV3" s="191"/>
      <c r="EW3" s="191"/>
      <c r="EX3" s="191"/>
      <c r="EY3" s="191"/>
    </row>
    <row r="4" spans="1:155" ht="45" customHeight="1" x14ac:dyDescent="0.45">
      <c r="A4" s="277">
        <v>15</v>
      </c>
      <c r="B4" s="191"/>
      <c r="C4" s="191"/>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c r="BB4" s="191"/>
      <c r="BC4" s="191"/>
      <c r="BD4" s="191"/>
      <c r="BE4" s="191"/>
      <c r="BF4" s="191"/>
      <c r="BG4" s="191"/>
      <c r="BH4" s="191"/>
      <c r="BI4" s="191"/>
      <c r="BJ4" s="191"/>
      <c r="BK4" s="191"/>
      <c r="BL4" s="191"/>
      <c r="BM4" s="191"/>
      <c r="BN4" s="191"/>
      <c r="BO4" s="191"/>
      <c r="BP4" s="191"/>
      <c r="BQ4" s="191"/>
      <c r="BR4" s="191"/>
      <c r="BS4" s="191"/>
      <c r="BT4" s="191"/>
      <c r="BU4" s="191"/>
      <c r="BV4" s="191"/>
      <c r="BW4" s="191"/>
      <c r="BX4" s="191"/>
      <c r="BY4" s="191"/>
      <c r="BZ4" s="191"/>
      <c r="CA4" s="191"/>
      <c r="CB4" s="191"/>
      <c r="CC4" s="191"/>
      <c r="CD4" s="191"/>
      <c r="CE4" s="191"/>
      <c r="CF4" s="191"/>
      <c r="CG4" s="191"/>
      <c r="CH4" s="191"/>
      <c r="CI4" s="191"/>
      <c r="CJ4" s="191"/>
      <c r="CK4" s="191"/>
      <c r="CL4" s="191"/>
      <c r="CM4" s="191"/>
      <c r="CN4" s="191"/>
      <c r="CO4" s="191"/>
      <c r="CP4" s="191"/>
      <c r="CQ4" s="191"/>
      <c r="CR4" s="191"/>
      <c r="CS4" s="191"/>
      <c r="CT4" s="191"/>
      <c r="CU4" s="191"/>
      <c r="CV4" s="191"/>
      <c r="CW4" s="191"/>
      <c r="CX4" s="191"/>
      <c r="CY4" s="191"/>
      <c r="CZ4" s="191"/>
      <c r="DA4" s="191"/>
      <c r="DB4" s="191"/>
      <c r="DC4" s="191"/>
      <c r="DD4" s="191"/>
      <c r="DE4" s="191"/>
      <c r="DF4" s="191"/>
      <c r="DG4" s="191"/>
      <c r="DH4" s="191"/>
      <c r="DI4" s="191"/>
      <c r="DJ4" s="191"/>
      <c r="DK4" s="191"/>
      <c r="DL4" s="191"/>
      <c r="DM4" s="191"/>
      <c r="DN4" s="191"/>
      <c r="DO4" s="191"/>
      <c r="DP4" s="191"/>
      <c r="DQ4" s="191"/>
      <c r="DR4" s="191"/>
      <c r="DS4" s="191"/>
      <c r="DT4" s="191"/>
      <c r="DU4" s="191"/>
      <c r="DV4" s="191"/>
      <c r="DW4" s="191"/>
      <c r="DX4" s="191"/>
      <c r="DY4" s="191"/>
      <c r="DZ4" s="191"/>
      <c r="EA4" s="191"/>
      <c r="EB4" s="191"/>
      <c r="EC4" s="191"/>
      <c r="ED4" s="191"/>
      <c r="EE4" s="191"/>
      <c r="EF4" s="191"/>
      <c r="EG4" s="191"/>
      <c r="EH4" s="191"/>
      <c r="EI4" s="191"/>
      <c r="EJ4" s="191"/>
      <c r="EK4" s="191"/>
      <c r="EL4" s="191"/>
      <c r="EM4" s="191"/>
      <c r="EN4" s="191"/>
      <c r="EO4" s="191"/>
      <c r="EP4" s="191"/>
      <c r="EQ4" s="191"/>
      <c r="ER4" s="191"/>
      <c r="ES4" s="191"/>
      <c r="ET4" s="191"/>
      <c r="EU4" s="191"/>
      <c r="EV4" s="191"/>
      <c r="EW4" s="191"/>
      <c r="EX4" s="191"/>
      <c r="EY4" s="191"/>
    </row>
    <row r="5" spans="1:155" ht="45" customHeight="1" x14ac:dyDescent="0.45">
      <c r="A5" s="277">
        <v>20</v>
      </c>
      <c r="B5" s="191"/>
      <c r="C5" s="191"/>
      <c r="D5" s="191"/>
      <c r="E5" s="191"/>
      <c r="F5" s="191"/>
      <c r="G5" s="191"/>
      <c r="H5" s="191"/>
      <c r="I5" s="191"/>
      <c r="J5" s="191"/>
      <c r="K5" s="191"/>
      <c r="L5" s="191"/>
      <c r="M5" s="191"/>
      <c r="N5" s="191"/>
      <c r="O5" s="191"/>
      <c r="P5" s="191"/>
      <c r="Q5" s="191"/>
      <c r="R5" s="191"/>
      <c r="S5" s="191"/>
      <c r="T5" s="191"/>
      <c r="U5" s="191"/>
      <c r="V5" s="191"/>
      <c r="W5" s="191"/>
      <c r="X5" s="191"/>
      <c r="Y5" s="191"/>
      <c r="Z5" s="191"/>
      <c r="AA5" s="191"/>
      <c r="AB5" s="191"/>
      <c r="AC5" s="191"/>
      <c r="AD5" s="191"/>
      <c r="AE5" s="191"/>
      <c r="AF5" s="191"/>
      <c r="AG5" s="191"/>
      <c r="AH5" s="191"/>
      <c r="AI5" s="191"/>
      <c r="AJ5" s="191"/>
      <c r="AK5" s="191"/>
      <c r="AL5" s="191"/>
      <c r="AM5" s="191"/>
      <c r="AN5" s="191"/>
      <c r="AO5" s="191"/>
      <c r="AP5" s="191"/>
      <c r="AQ5" s="191"/>
      <c r="AR5" s="191"/>
      <c r="AS5" s="191"/>
      <c r="AT5" s="191"/>
      <c r="AU5" s="191"/>
      <c r="AV5" s="191"/>
      <c r="AW5" s="191"/>
      <c r="AX5" s="191"/>
      <c r="AY5" s="191"/>
      <c r="AZ5" s="191"/>
      <c r="BA5" s="191"/>
      <c r="BB5" s="191"/>
      <c r="BC5" s="191"/>
      <c r="BD5" s="191"/>
      <c r="BE5" s="191"/>
      <c r="BF5" s="191"/>
      <c r="BG5" s="191"/>
      <c r="BH5" s="191"/>
      <c r="BI5" s="191"/>
      <c r="BJ5" s="191"/>
      <c r="BK5" s="191"/>
      <c r="BL5" s="191"/>
      <c r="BM5" s="191"/>
      <c r="BN5" s="191"/>
      <c r="BO5" s="191"/>
      <c r="BP5" s="191"/>
      <c r="BQ5" s="191"/>
      <c r="BR5" s="191"/>
      <c r="BS5" s="191"/>
      <c r="BT5" s="191"/>
      <c r="BU5" s="191"/>
      <c r="BV5" s="191"/>
      <c r="BW5" s="191"/>
      <c r="BX5" s="191"/>
      <c r="BY5" s="191"/>
      <c r="BZ5" s="191"/>
      <c r="CA5" s="191"/>
      <c r="CB5" s="191"/>
      <c r="CC5" s="191"/>
      <c r="CD5" s="191"/>
      <c r="CE5" s="191"/>
      <c r="CF5" s="191"/>
      <c r="CG5" s="191"/>
      <c r="CH5" s="191"/>
      <c r="CI5" s="191"/>
      <c r="CJ5" s="191"/>
      <c r="CK5" s="191"/>
      <c r="CL5" s="191"/>
      <c r="CM5" s="191"/>
      <c r="CN5" s="191"/>
      <c r="CO5" s="191"/>
      <c r="CP5" s="191"/>
      <c r="CQ5" s="191"/>
      <c r="CR5" s="191"/>
      <c r="CS5" s="191"/>
      <c r="CT5" s="191"/>
      <c r="CU5" s="191"/>
      <c r="CV5" s="191"/>
      <c r="CW5" s="191"/>
      <c r="CX5" s="191"/>
      <c r="CY5" s="191"/>
      <c r="CZ5" s="191"/>
      <c r="DA5" s="191"/>
      <c r="DB5" s="191"/>
      <c r="DC5" s="191"/>
      <c r="DD5" s="191"/>
      <c r="DE5" s="191"/>
      <c r="DF5" s="191"/>
      <c r="DG5" s="191"/>
      <c r="DH5" s="191"/>
      <c r="DI5" s="191"/>
      <c r="DJ5" s="191"/>
      <c r="DK5" s="191"/>
      <c r="DL5" s="191"/>
      <c r="DM5" s="191"/>
      <c r="DN5" s="191"/>
      <c r="DO5" s="191"/>
      <c r="DP5" s="191"/>
      <c r="DQ5" s="191"/>
      <c r="DR5" s="191"/>
      <c r="DS5" s="191"/>
      <c r="DT5" s="191"/>
      <c r="DU5" s="191"/>
      <c r="DV5" s="191"/>
      <c r="DW5" s="191"/>
      <c r="DX5" s="191"/>
      <c r="DY5" s="191"/>
      <c r="DZ5" s="191"/>
      <c r="EA5" s="191"/>
      <c r="EB5" s="191"/>
      <c r="EC5" s="191"/>
      <c r="ED5" s="191"/>
      <c r="EE5" s="191"/>
      <c r="EF5" s="191"/>
      <c r="EG5" s="191"/>
      <c r="EH5" s="191"/>
      <c r="EI5" s="191"/>
      <c r="EJ5" s="191"/>
      <c r="EK5" s="191"/>
      <c r="EL5" s="191"/>
      <c r="EM5" s="191"/>
      <c r="EN5" s="191"/>
      <c r="EO5" s="191"/>
      <c r="EP5" s="191"/>
      <c r="EQ5" s="191"/>
      <c r="ER5" s="191"/>
      <c r="ES5" s="191"/>
      <c r="ET5" s="191"/>
      <c r="EU5" s="191"/>
      <c r="EV5" s="191"/>
      <c r="EW5" s="191"/>
      <c r="EX5" s="191"/>
      <c r="EY5" s="191"/>
    </row>
    <row r="6" spans="1:155" ht="45" customHeight="1" x14ac:dyDescent="0.45">
      <c r="A6" s="277">
        <v>25</v>
      </c>
      <c r="B6" s="191"/>
      <c r="C6" s="191"/>
      <c r="D6" s="191"/>
      <c r="E6" s="191"/>
      <c r="F6" s="191"/>
      <c r="G6" s="191"/>
      <c r="H6" s="191"/>
      <c r="I6" s="191"/>
      <c r="J6" s="191"/>
      <c r="K6" s="191"/>
      <c r="L6" s="191"/>
      <c r="M6" s="191"/>
      <c r="N6" s="191"/>
      <c r="O6" s="191"/>
      <c r="P6" s="191"/>
      <c r="Q6" s="191"/>
      <c r="R6" s="191"/>
      <c r="S6" s="191"/>
      <c r="T6" s="191"/>
      <c r="U6" s="191"/>
      <c r="V6" s="191"/>
      <c r="W6" s="191"/>
      <c r="X6" s="191"/>
      <c r="Y6" s="191"/>
      <c r="Z6" s="191"/>
      <c r="AA6" s="191"/>
      <c r="AB6" s="191"/>
      <c r="AC6" s="191"/>
      <c r="AD6" s="191"/>
      <c r="AE6" s="191"/>
      <c r="AF6" s="191"/>
      <c r="AG6" s="191"/>
      <c r="AH6" s="191"/>
      <c r="AI6" s="191"/>
      <c r="AJ6" s="191"/>
      <c r="AK6" s="191"/>
      <c r="AL6" s="191"/>
      <c r="AM6" s="191"/>
      <c r="AN6" s="191"/>
      <c r="AO6" s="191"/>
      <c r="AP6" s="191"/>
      <c r="AQ6" s="191"/>
      <c r="AR6" s="191"/>
      <c r="AS6" s="191"/>
      <c r="AT6" s="191"/>
      <c r="AU6" s="191"/>
      <c r="AV6" s="191"/>
      <c r="AW6" s="191"/>
      <c r="AX6" s="191"/>
      <c r="AY6" s="191"/>
      <c r="AZ6" s="191"/>
      <c r="BA6" s="191"/>
      <c r="BB6" s="191"/>
      <c r="BC6" s="191"/>
      <c r="BD6" s="191"/>
      <c r="BE6" s="191"/>
      <c r="BF6" s="191"/>
      <c r="BG6" s="191"/>
      <c r="BH6" s="191"/>
      <c r="BI6" s="191"/>
      <c r="BJ6" s="191"/>
      <c r="BK6" s="191"/>
      <c r="BL6" s="191"/>
      <c r="BM6" s="191"/>
      <c r="BN6" s="191"/>
      <c r="BO6" s="191"/>
      <c r="BP6" s="191"/>
      <c r="BQ6" s="191"/>
      <c r="BR6" s="191"/>
      <c r="BS6" s="191"/>
      <c r="BT6" s="191"/>
      <c r="BU6" s="191"/>
      <c r="BV6" s="191"/>
      <c r="BW6" s="191"/>
      <c r="BX6" s="191"/>
      <c r="BY6" s="191"/>
      <c r="BZ6" s="191"/>
      <c r="CA6" s="191"/>
      <c r="CB6" s="191"/>
      <c r="CC6" s="191"/>
      <c r="CD6" s="191"/>
      <c r="CE6" s="191"/>
      <c r="CF6" s="191"/>
      <c r="CG6" s="191"/>
      <c r="CH6" s="191"/>
      <c r="CI6" s="191"/>
      <c r="CJ6" s="191"/>
      <c r="CK6" s="191"/>
      <c r="CL6" s="191"/>
      <c r="CM6" s="191"/>
      <c r="CN6" s="191"/>
      <c r="CO6" s="191"/>
      <c r="CP6" s="191"/>
      <c r="CQ6" s="191"/>
      <c r="CR6" s="191"/>
      <c r="CS6" s="191"/>
      <c r="CT6" s="191"/>
      <c r="CU6" s="191"/>
      <c r="CV6" s="191"/>
      <c r="CW6" s="191"/>
      <c r="CX6" s="191"/>
      <c r="CY6" s="191"/>
      <c r="CZ6" s="191"/>
      <c r="DA6" s="191"/>
      <c r="DB6" s="191"/>
      <c r="DC6" s="191"/>
      <c r="DD6" s="191"/>
      <c r="DE6" s="191"/>
      <c r="DF6" s="191"/>
      <c r="DG6" s="191"/>
      <c r="DH6" s="191"/>
      <c r="DI6" s="191"/>
      <c r="DJ6" s="191"/>
      <c r="DK6" s="191"/>
      <c r="DL6" s="191"/>
      <c r="DM6" s="191"/>
      <c r="DN6" s="191"/>
      <c r="DO6" s="191"/>
      <c r="DP6" s="191"/>
      <c r="DQ6" s="191"/>
      <c r="DR6" s="191"/>
      <c r="DS6" s="191"/>
      <c r="DT6" s="191"/>
      <c r="DU6" s="191"/>
      <c r="DV6" s="191"/>
      <c r="DW6" s="191"/>
      <c r="DX6" s="191"/>
      <c r="DY6" s="191"/>
      <c r="DZ6" s="191"/>
      <c r="EA6" s="191"/>
      <c r="EB6" s="191"/>
      <c r="EC6" s="191"/>
      <c r="ED6" s="191"/>
      <c r="EE6" s="191"/>
      <c r="EF6" s="191"/>
      <c r="EG6" s="191"/>
      <c r="EH6" s="191"/>
      <c r="EI6" s="191"/>
      <c r="EJ6" s="191"/>
      <c r="EK6" s="191"/>
      <c r="EL6" s="191"/>
      <c r="EM6" s="191"/>
      <c r="EN6" s="191"/>
      <c r="EO6" s="191"/>
      <c r="EP6" s="191"/>
      <c r="EQ6" s="191"/>
      <c r="ER6" s="191"/>
      <c r="ES6" s="191"/>
      <c r="ET6" s="191"/>
      <c r="EU6" s="191"/>
      <c r="EV6" s="191"/>
      <c r="EW6" s="191"/>
      <c r="EX6" s="191"/>
      <c r="EY6" s="191"/>
    </row>
    <row r="7" spans="1:155" ht="45" customHeight="1" x14ac:dyDescent="0.45">
      <c r="A7" s="277">
        <v>30</v>
      </c>
      <c r="B7" s="191"/>
      <c r="C7" s="191"/>
      <c r="D7" s="191"/>
      <c r="E7" s="191"/>
      <c r="F7" s="191"/>
      <c r="G7" s="191"/>
      <c r="H7" s="191"/>
      <c r="I7" s="191"/>
      <c r="J7" s="191"/>
      <c r="K7" s="191"/>
      <c r="L7" s="191"/>
      <c r="M7" s="191"/>
      <c r="N7" s="191"/>
      <c r="O7" s="191"/>
      <c r="P7" s="191"/>
      <c r="Q7" s="191"/>
      <c r="R7" s="191"/>
      <c r="S7" s="191"/>
      <c r="T7" s="191"/>
      <c r="U7" s="191"/>
      <c r="V7" s="191"/>
      <c r="W7" s="191"/>
      <c r="X7" s="191"/>
      <c r="Y7" s="191"/>
      <c r="Z7" s="191"/>
      <c r="AA7" s="191"/>
      <c r="AB7" s="191"/>
      <c r="AC7" s="191"/>
      <c r="AD7" s="191"/>
      <c r="AE7" s="191"/>
      <c r="AF7" s="191"/>
      <c r="AG7" s="191"/>
      <c r="AH7" s="191"/>
      <c r="AI7" s="191"/>
      <c r="AJ7" s="191"/>
      <c r="AK7" s="191"/>
      <c r="AL7" s="191"/>
      <c r="AM7" s="191"/>
      <c r="AN7" s="191"/>
      <c r="AO7" s="191"/>
      <c r="AP7" s="191"/>
      <c r="AQ7" s="191"/>
      <c r="AR7" s="191"/>
      <c r="AS7" s="191"/>
      <c r="AT7" s="191"/>
      <c r="AU7" s="191"/>
      <c r="AV7" s="191"/>
      <c r="AW7" s="191"/>
      <c r="AX7" s="191"/>
      <c r="AY7" s="191"/>
      <c r="AZ7" s="191"/>
      <c r="BA7" s="191"/>
      <c r="BB7" s="191"/>
      <c r="BC7" s="191"/>
      <c r="BD7" s="191"/>
      <c r="BE7" s="191"/>
      <c r="BF7" s="191"/>
      <c r="BG7" s="191"/>
      <c r="BH7" s="191"/>
      <c r="BI7" s="191"/>
      <c r="BJ7" s="191"/>
      <c r="BK7" s="191"/>
      <c r="BL7" s="191"/>
      <c r="BM7" s="191"/>
      <c r="BN7" s="191"/>
      <c r="BO7" s="191"/>
      <c r="BP7" s="191"/>
      <c r="BQ7" s="191"/>
      <c r="BR7" s="191"/>
      <c r="BS7" s="191"/>
      <c r="BT7" s="191"/>
      <c r="BU7" s="191"/>
      <c r="BV7" s="191"/>
      <c r="BW7" s="191"/>
      <c r="BX7" s="191"/>
      <c r="BY7" s="191"/>
      <c r="BZ7" s="191"/>
      <c r="CA7" s="191"/>
      <c r="CB7" s="191"/>
      <c r="CC7" s="191"/>
      <c r="CD7" s="191"/>
      <c r="CE7" s="191"/>
      <c r="CF7" s="191"/>
      <c r="CG7" s="191"/>
      <c r="CH7" s="191"/>
      <c r="CI7" s="191"/>
      <c r="CJ7" s="191"/>
      <c r="CK7" s="191"/>
      <c r="CL7" s="191"/>
      <c r="CM7" s="191"/>
      <c r="CN7" s="191"/>
      <c r="CO7" s="191"/>
      <c r="CP7" s="191"/>
      <c r="CQ7" s="191"/>
      <c r="CR7" s="191"/>
      <c r="CS7" s="191"/>
      <c r="CT7" s="191"/>
      <c r="CU7" s="191"/>
      <c r="CV7" s="191"/>
      <c r="CW7" s="191"/>
      <c r="CX7" s="191"/>
      <c r="CY7" s="191"/>
      <c r="CZ7" s="191"/>
      <c r="DA7" s="191"/>
      <c r="DB7" s="191"/>
      <c r="DC7" s="191"/>
      <c r="DD7" s="191"/>
      <c r="DE7" s="191"/>
      <c r="DF7" s="191"/>
      <c r="DG7" s="191"/>
      <c r="DH7" s="191"/>
      <c r="DI7" s="191"/>
      <c r="DJ7" s="191"/>
      <c r="DK7" s="191"/>
      <c r="DL7" s="191"/>
      <c r="DM7" s="191"/>
      <c r="DN7" s="191"/>
      <c r="DO7" s="191"/>
      <c r="DP7" s="191"/>
      <c r="DQ7" s="191"/>
      <c r="DR7" s="191"/>
      <c r="DS7" s="191"/>
      <c r="DT7" s="191"/>
      <c r="DU7" s="191"/>
      <c r="DV7" s="191"/>
      <c r="DW7" s="191"/>
      <c r="DX7" s="278">
        <v>264.09530000000001</v>
      </c>
      <c r="DY7" s="278">
        <v>262.98270000000002</v>
      </c>
      <c r="DZ7" s="278">
        <v>263.5693</v>
      </c>
      <c r="EA7" s="278">
        <v>263.02960000000002</v>
      </c>
      <c r="EB7" s="278">
        <v>263.07420000000002</v>
      </c>
      <c r="EC7" s="278">
        <v>262.61239999999998</v>
      </c>
      <c r="ED7" s="278">
        <v>263.12759999999997</v>
      </c>
      <c r="EE7" s="278">
        <v>263.55399999999997</v>
      </c>
      <c r="EF7" s="278">
        <v>263.69279999999998</v>
      </c>
      <c r="EG7" s="191"/>
      <c r="EH7" s="191"/>
      <c r="EI7" s="191"/>
      <c r="EJ7" s="191"/>
      <c r="EK7" s="191"/>
      <c r="EL7" s="191"/>
      <c r="EM7" s="191"/>
      <c r="EN7" s="191"/>
      <c r="EO7" s="191"/>
      <c r="EP7" s="191"/>
      <c r="EQ7" s="191"/>
      <c r="ER7" s="191"/>
      <c r="ES7" s="191"/>
      <c r="ET7" s="191"/>
      <c r="EU7" s="191"/>
      <c r="EV7" s="191"/>
      <c r="EW7" s="191"/>
      <c r="EX7" s="191"/>
      <c r="EY7" s="191"/>
    </row>
    <row r="8" spans="1:155" ht="45" customHeight="1" x14ac:dyDescent="0.45">
      <c r="A8" s="277">
        <v>35</v>
      </c>
      <c r="B8" s="191"/>
      <c r="C8" s="191"/>
      <c r="D8" s="191"/>
      <c r="E8" s="191"/>
      <c r="F8" s="191"/>
      <c r="G8" s="191"/>
      <c r="H8" s="191"/>
      <c r="I8" s="191"/>
      <c r="J8" s="191"/>
      <c r="K8" s="191"/>
      <c r="L8" s="191"/>
      <c r="M8" s="191"/>
      <c r="N8" s="191"/>
      <c r="O8" s="191"/>
      <c r="P8" s="191"/>
      <c r="Q8" s="191"/>
      <c r="R8" s="191"/>
      <c r="S8" s="191"/>
      <c r="T8" s="191"/>
      <c r="U8" s="191"/>
      <c r="V8" s="191"/>
      <c r="W8" s="191"/>
      <c r="X8" s="191"/>
      <c r="Y8" s="191"/>
      <c r="Z8" s="191"/>
      <c r="AA8" s="191"/>
      <c r="AB8" s="191"/>
      <c r="AC8" s="191"/>
      <c r="AD8" s="191"/>
      <c r="AE8" s="191"/>
      <c r="AF8" s="191"/>
      <c r="AG8" s="191"/>
      <c r="AH8" s="191"/>
      <c r="AI8" s="191"/>
      <c r="AJ8" s="191"/>
      <c r="AK8" s="191"/>
      <c r="AL8" s="191"/>
      <c r="AM8" s="191"/>
      <c r="AN8" s="191"/>
      <c r="AO8" s="191"/>
      <c r="AP8" s="191"/>
      <c r="AQ8" s="191"/>
      <c r="AR8" s="191"/>
      <c r="AS8" s="191"/>
      <c r="AT8" s="191"/>
      <c r="AU8" s="191"/>
      <c r="AV8" s="191"/>
      <c r="AW8" s="191"/>
      <c r="AX8" s="191"/>
      <c r="AY8" s="191"/>
      <c r="AZ8" s="191"/>
      <c r="BA8" s="191"/>
      <c r="BB8" s="191"/>
      <c r="BC8" s="191"/>
      <c r="BD8" s="191"/>
      <c r="BE8" s="191"/>
      <c r="BF8" s="191"/>
      <c r="BG8" s="191"/>
      <c r="BH8" s="191"/>
      <c r="BI8" s="191"/>
      <c r="BJ8" s="191"/>
      <c r="BK8" s="191"/>
      <c r="BL8" s="191"/>
      <c r="BM8" s="191"/>
      <c r="BN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191"/>
      <c r="DN8" s="191"/>
      <c r="DO8" s="191"/>
      <c r="DP8" s="191"/>
      <c r="DQ8" s="191"/>
      <c r="DR8" s="191"/>
      <c r="DS8" s="191"/>
      <c r="DT8" s="191"/>
      <c r="DU8" s="191"/>
      <c r="DV8" s="278">
        <v>263.91289999999998</v>
      </c>
      <c r="DW8" s="278">
        <v>263.06380000000001</v>
      </c>
      <c r="DX8" s="191">
        <v>263.49119999999999</v>
      </c>
      <c r="DY8" s="191">
        <v>264.31299999999999</v>
      </c>
      <c r="DZ8" s="191">
        <v>263.92329999999998</v>
      </c>
      <c r="EA8" s="191">
        <v>263.74810000000002</v>
      </c>
      <c r="EB8" s="191">
        <v>263.6789</v>
      </c>
      <c r="EC8" s="191">
        <v>263.66809999999998</v>
      </c>
      <c r="ED8" s="191">
        <v>263.80239999999998</v>
      </c>
      <c r="EE8" s="191">
        <v>263.68830000000003</v>
      </c>
      <c r="EF8" s="191">
        <v>263.95999999999998</v>
      </c>
      <c r="EG8" s="278">
        <v>264.2758</v>
      </c>
      <c r="EH8" s="278">
        <v>264.05939999999998</v>
      </c>
      <c r="EI8" s="278">
        <v>262.77359999999999</v>
      </c>
      <c r="EJ8" s="191"/>
      <c r="EK8" s="191"/>
      <c r="EL8" s="191"/>
      <c r="EM8" s="191"/>
      <c r="EN8" s="191"/>
      <c r="EO8" s="191"/>
      <c r="EP8" s="191"/>
      <c r="EQ8" s="191"/>
      <c r="ER8" s="191"/>
      <c r="ES8" s="191"/>
      <c r="ET8" s="191"/>
      <c r="EU8" s="191"/>
      <c r="EV8" s="191"/>
      <c r="EW8" s="191"/>
      <c r="EX8" s="191"/>
      <c r="EY8" s="191"/>
    </row>
    <row r="9" spans="1:155" ht="45" customHeight="1" x14ac:dyDescent="0.45">
      <c r="A9" s="277">
        <v>40</v>
      </c>
      <c r="B9" s="191"/>
      <c r="C9" s="191"/>
      <c r="D9" s="191"/>
      <c r="E9" s="191"/>
      <c r="F9" s="191"/>
      <c r="G9" s="191"/>
      <c r="H9" s="191"/>
      <c r="I9" s="191"/>
      <c r="J9" s="191"/>
      <c r="K9" s="191"/>
      <c r="L9" s="191"/>
      <c r="M9" s="191"/>
      <c r="N9" s="191"/>
      <c r="O9" s="191"/>
      <c r="P9" s="191"/>
      <c r="Q9" s="191"/>
      <c r="R9" s="191"/>
      <c r="S9" s="191"/>
      <c r="T9" s="191"/>
      <c r="U9" s="191"/>
      <c r="V9" s="191"/>
      <c r="W9" s="191"/>
      <c r="X9" s="191"/>
      <c r="Y9" s="191"/>
      <c r="Z9" s="191"/>
      <c r="AA9" s="191"/>
      <c r="AB9" s="191"/>
      <c r="AC9" s="191"/>
      <c r="AD9" s="191"/>
      <c r="AE9" s="191"/>
      <c r="AF9" s="191"/>
      <c r="AG9" s="191"/>
      <c r="AH9" s="191"/>
      <c r="AI9" s="191"/>
      <c r="AJ9" s="191"/>
      <c r="AK9" s="191"/>
      <c r="AL9" s="191"/>
      <c r="AM9" s="191"/>
      <c r="AN9" s="191"/>
      <c r="AO9" s="191"/>
      <c r="AP9" s="191"/>
      <c r="AQ9" s="191"/>
      <c r="AR9" s="191"/>
      <c r="AS9" s="191"/>
      <c r="AT9" s="191"/>
      <c r="AU9" s="191"/>
      <c r="AV9" s="191"/>
      <c r="AW9" s="191"/>
      <c r="AX9" s="191"/>
      <c r="AY9" s="191"/>
      <c r="AZ9" s="191"/>
      <c r="BA9" s="191"/>
      <c r="BB9" s="191"/>
      <c r="BC9" s="191"/>
      <c r="BD9" s="191"/>
      <c r="BE9" s="191"/>
      <c r="BF9" s="191"/>
      <c r="BG9" s="191"/>
      <c r="BH9" s="191"/>
      <c r="BI9" s="191"/>
      <c r="BJ9" s="191"/>
      <c r="BK9" s="191"/>
      <c r="BL9" s="191"/>
      <c r="BM9" s="191"/>
      <c r="BN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191"/>
      <c r="DN9" s="191"/>
      <c r="DO9" s="191"/>
      <c r="DP9" s="191"/>
      <c r="DQ9" s="191"/>
      <c r="DR9" s="191"/>
      <c r="DS9" s="191"/>
      <c r="DT9" s="191"/>
      <c r="DU9" s="191"/>
      <c r="DV9" s="278">
        <v>263.44830000000002</v>
      </c>
      <c r="DW9" s="191">
        <v>264.10629999999998</v>
      </c>
      <c r="DX9" s="191">
        <v>263.74829999999997</v>
      </c>
      <c r="DY9" s="191">
        <v>263.62259999999998</v>
      </c>
      <c r="DZ9" s="191">
        <v>263.50630000000001</v>
      </c>
      <c r="EA9" s="191">
        <v>263.57600000000002</v>
      </c>
      <c r="EB9" s="191">
        <v>263.46730000000002</v>
      </c>
      <c r="EC9" s="191">
        <v>263.49189999999999</v>
      </c>
      <c r="ED9" s="191">
        <v>263.20260000000002</v>
      </c>
      <c r="EE9" s="191">
        <v>263.24950000000001</v>
      </c>
      <c r="EF9" s="191">
        <v>263.29500000000002</v>
      </c>
      <c r="EG9" s="191">
        <v>263.404</v>
      </c>
      <c r="EH9" s="191">
        <v>263.54050000000001</v>
      </c>
      <c r="EI9" s="191">
        <v>264.4864</v>
      </c>
      <c r="EJ9" s="278">
        <v>263.18259999999998</v>
      </c>
      <c r="EK9" s="191"/>
      <c r="EL9" s="191"/>
      <c r="EM9" s="191"/>
      <c r="EN9" s="191"/>
      <c r="EO9" s="191"/>
      <c r="EP9" s="191"/>
      <c r="EQ9" s="191"/>
      <c r="ER9" s="191"/>
      <c r="ES9" s="191"/>
      <c r="ET9" s="191"/>
      <c r="EU9" s="191"/>
      <c r="EV9" s="191"/>
      <c r="EW9" s="191"/>
      <c r="EX9" s="191"/>
      <c r="EY9" s="191"/>
    </row>
    <row r="10" spans="1:155" ht="45" customHeight="1" x14ac:dyDescent="0.45">
      <c r="A10" s="277">
        <v>45</v>
      </c>
      <c r="B10" s="191"/>
      <c r="C10" s="191"/>
      <c r="D10" s="191"/>
      <c r="E10" s="191"/>
      <c r="F10" s="191"/>
      <c r="G10" s="191"/>
      <c r="H10" s="191"/>
      <c r="I10" s="191"/>
      <c r="J10" s="191"/>
      <c r="K10" s="191"/>
      <c r="L10" s="191"/>
      <c r="M10" s="191"/>
      <c r="N10" s="191"/>
      <c r="O10" s="191"/>
      <c r="P10" s="191"/>
      <c r="Q10" s="191"/>
      <c r="R10" s="191"/>
      <c r="S10" s="191"/>
      <c r="T10" s="191"/>
      <c r="U10" s="191"/>
      <c r="V10" s="191"/>
      <c r="W10" s="191"/>
      <c r="X10" s="191"/>
      <c r="Y10" s="191"/>
      <c r="Z10" s="191"/>
      <c r="AA10" s="191"/>
      <c r="AB10" s="191"/>
      <c r="AC10" s="191"/>
      <c r="AD10" s="191"/>
      <c r="AE10" s="191"/>
      <c r="AF10" s="191"/>
      <c r="AG10" s="191"/>
      <c r="AH10" s="191"/>
      <c r="AI10" s="191"/>
      <c r="AJ10" s="191"/>
      <c r="AK10" s="191"/>
      <c r="AL10" s="191"/>
      <c r="AM10" s="191"/>
      <c r="AN10" s="191"/>
      <c r="AO10" s="191"/>
      <c r="AP10" s="191"/>
      <c r="AQ10" s="191"/>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N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191"/>
      <c r="DN10" s="191"/>
      <c r="DO10" s="191"/>
      <c r="DP10" s="191"/>
      <c r="DQ10" s="191"/>
      <c r="DR10" s="191"/>
      <c r="DS10" s="191"/>
      <c r="DT10" s="191"/>
      <c r="DU10" s="191"/>
      <c r="DV10" s="278">
        <v>263.79320000000001</v>
      </c>
      <c r="DW10" s="279">
        <v>263.5222</v>
      </c>
      <c r="DX10" s="279">
        <v>263.57319999999999</v>
      </c>
      <c r="DY10" s="279">
        <v>263.64249999999998</v>
      </c>
      <c r="DZ10" s="279">
        <v>263.54860000000002</v>
      </c>
      <c r="EA10" s="279">
        <v>263.44069999999999</v>
      </c>
      <c r="EB10" s="279">
        <v>263.38850000000002</v>
      </c>
      <c r="EC10" s="279">
        <v>263.34160000000003</v>
      </c>
      <c r="ED10" s="279">
        <v>263.69240000000002</v>
      </c>
      <c r="EE10" s="279">
        <v>263.68520000000001</v>
      </c>
      <c r="EF10" s="279">
        <v>263.67230000000001</v>
      </c>
      <c r="EG10" s="279">
        <v>263.68490000000003</v>
      </c>
      <c r="EH10" s="279">
        <v>263.16669999999999</v>
      </c>
      <c r="EI10" s="191">
        <v>263.3777</v>
      </c>
      <c r="EJ10" s="278">
        <v>264.21769999999998</v>
      </c>
      <c r="EK10" s="191"/>
      <c r="EL10" s="191"/>
      <c r="EM10" s="191"/>
      <c r="EN10" s="191"/>
      <c r="EO10" s="191"/>
      <c r="EP10" s="191"/>
      <c r="EQ10" s="191"/>
      <c r="ER10" s="191"/>
      <c r="ES10" s="191"/>
      <c r="ET10" s="191"/>
      <c r="EU10" s="191"/>
      <c r="EV10" s="191"/>
      <c r="EW10" s="191"/>
      <c r="EX10" s="191"/>
      <c r="EY10" s="191"/>
    </row>
    <row r="11" spans="1:155" ht="45" customHeight="1" x14ac:dyDescent="0.45">
      <c r="A11" s="277">
        <v>50</v>
      </c>
      <c r="B11" s="191"/>
      <c r="C11" s="191"/>
      <c r="D11" s="191"/>
      <c r="E11" s="191"/>
      <c r="F11" s="191"/>
      <c r="G11" s="191"/>
      <c r="H11" s="191"/>
      <c r="I11" s="191"/>
      <c r="J11" s="191"/>
      <c r="K11" s="191"/>
      <c r="L11" s="191"/>
      <c r="M11" s="191"/>
      <c r="N11" s="191"/>
      <c r="O11" s="191"/>
      <c r="P11" s="191"/>
      <c r="Q11" s="191"/>
      <c r="R11" s="191"/>
      <c r="S11" s="191"/>
      <c r="T11" s="191"/>
      <c r="U11" s="191"/>
      <c r="V11" s="191"/>
      <c r="W11" s="191"/>
      <c r="X11" s="191"/>
      <c r="Y11" s="191"/>
      <c r="Z11" s="191"/>
      <c r="AA11" s="191"/>
      <c r="AB11" s="191"/>
      <c r="AC11" s="191"/>
      <c r="AD11" s="191"/>
      <c r="AE11" s="191"/>
      <c r="AF11" s="191"/>
      <c r="AG11" s="191"/>
      <c r="AH11" s="191"/>
      <c r="AI11" s="191"/>
      <c r="AJ11" s="191"/>
      <c r="AK11" s="191"/>
      <c r="AL11" s="191"/>
      <c r="AM11" s="191"/>
      <c r="AN11" s="191"/>
      <c r="AO11" s="191"/>
      <c r="AP11" s="191"/>
      <c r="AQ11" s="191"/>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N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191"/>
      <c r="DN11" s="191"/>
      <c r="DO11" s="191"/>
      <c r="DP11" s="191"/>
      <c r="DQ11" s="191"/>
      <c r="DR11" s="191"/>
      <c r="DS11" s="191"/>
      <c r="DT11" s="191"/>
      <c r="DU11" s="191"/>
      <c r="DV11" s="278">
        <v>264.27769999999998</v>
      </c>
      <c r="DW11" s="279">
        <v>263.27719999999999</v>
      </c>
      <c r="DX11" s="191">
        <v>263.51209999999998</v>
      </c>
      <c r="DY11" s="191">
        <v>263.50909999999999</v>
      </c>
      <c r="DZ11" s="191">
        <v>263.53640000000001</v>
      </c>
      <c r="EA11" s="191">
        <v>263.3485</v>
      </c>
      <c r="EB11" s="191">
        <v>263.1472</v>
      </c>
      <c r="EC11" s="191">
        <v>263.51569999999998</v>
      </c>
      <c r="ED11" s="191">
        <v>263.59739999999999</v>
      </c>
      <c r="EE11" s="191">
        <v>263.61070000000001</v>
      </c>
      <c r="EF11" s="191">
        <v>263.59429999999998</v>
      </c>
      <c r="EG11" s="191">
        <v>263.54360000000003</v>
      </c>
      <c r="EH11" s="279">
        <v>263.57510000000002</v>
      </c>
      <c r="EI11" s="191">
        <v>263.2414</v>
      </c>
      <c r="EJ11" s="191">
        <v>263.61869999999999</v>
      </c>
      <c r="EK11" s="278">
        <v>264.22469999999998</v>
      </c>
      <c r="EL11" s="278">
        <v>262.45819999999998</v>
      </c>
      <c r="EM11" s="191"/>
      <c r="EN11" s="191"/>
      <c r="EO11" s="191"/>
      <c r="EP11" s="191"/>
      <c r="EQ11" s="191"/>
      <c r="ER11" s="191"/>
      <c r="ES11" s="191"/>
      <c r="ET11" s="191"/>
      <c r="EU11" s="191"/>
      <c r="EV11" s="191"/>
      <c r="EW11" s="191"/>
      <c r="EX11" s="191"/>
      <c r="EY11" s="191"/>
    </row>
    <row r="12" spans="1:155" ht="45" customHeight="1" x14ac:dyDescent="0.45">
      <c r="A12" s="277">
        <v>55</v>
      </c>
      <c r="B12" s="191"/>
      <c r="C12" s="191"/>
      <c r="D12" s="191"/>
      <c r="E12" s="191"/>
      <c r="F12" s="191"/>
      <c r="G12" s="191"/>
      <c r="H12" s="191"/>
      <c r="I12" s="191"/>
      <c r="J12" s="191"/>
      <c r="K12" s="191"/>
      <c r="L12" s="191"/>
      <c r="M12" s="191"/>
      <c r="N12" s="191"/>
      <c r="O12" s="191"/>
      <c r="P12" s="191"/>
      <c r="Q12" s="191"/>
      <c r="R12" s="191"/>
      <c r="S12" s="191"/>
      <c r="T12" s="191"/>
      <c r="U12" s="191"/>
      <c r="V12" s="191"/>
      <c r="W12" s="191"/>
      <c r="X12" s="191"/>
      <c r="Y12" s="191"/>
      <c r="Z12" s="191"/>
      <c r="AA12" s="191"/>
      <c r="AB12" s="191"/>
      <c r="AC12" s="191"/>
      <c r="AD12" s="191"/>
      <c r="AE12" s="191"/>
      <c r="AF12" s="191"/>
      <c r="AG12" s="191"/>
      <c r="AH12" s="191"/>
      <c r="AI12" s="191"/>
      <c r="AJ12" s="191"/>
      <c r="AK12" s="191"/>
      <c r="AL12" s="191"/>
      <c r="AM12" s="191"/>
      <c r="AN12" s="191"/>
      <c r="AO12" s="191"/>
      <c r="AP12" s="191"/>
      <c r="AQ12" s="191"/>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N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191"/>
      <c r="DN12" s="191"/>
      <c r="DO12" s="191"/>
      <c r="DP12" s="191"/>
      <c r="DQ12" s="191"/>
      <c r="DR12" s="191"/>
      <c r="DS12" s="191"/>
      <c r="DT12" s="191"/>
      <c r="DU12" s="191"/>
      <c r="DV12" s="278">
        <v>263.73939999999999</v>
      </c>
      <c r="DW12" s="279">
        <v>263.44080000000002</v>
      </c>
      <c r="DX12" s="191">
        <v>263.61989999999997</v>
      </c>
      <c r="DY12" s="191">
        <v>263.60449999999997</v>
      </c>
      <c r="DZ12" s="191">
        <v>263.42759999999998</v>
      </c>
      <c r="EA12" s="191">
        <v>263.29719999999998</v>
      </c>
      <c r="EB12" s="191">
        <v>263.5539</v>
      </c>
      <c r="EC12" s="191">
        <v>263.37470000000002</v>
      </c>
      <c r="ED12" s="191">
        <v>263.6103</v>
      </c>
      <c r="EE12" s="191">
        <v>263.5557</v>
      </c>
      <c r="EF12" s="191">
        <v>263.41410000000002</v>
      </c>
      <c r="EG12" s="191">
        <v>263.48489999999998</v>
      </c>
      <c r="EH12" s="279">
        <v>263.53129999999999</v>
      </c>
      <c r="EI12" s="191">
        <v>263.34879999999998</v>
      </c>
      <c r="EJ12" s="191">
        <v>263.38619999999997</v>
      </c>
      <c r="EK12" s="191">
        <v>263.32159999999999</v>
      </c>
      <c r="EL12" s="191">
        <v>263.57470000000001</v>
      </c>
      <c r="EM12" s="278">
        <v>263.52620000000002</v>
      </c>
      <c r="EN12" s="278">
        <v>263.1155</v>
      </c>
      <c r="EO12" s="191"/>
      <c r="EP12" s="191"/>
      <c r="EQ12" s="191"/>
      <c r="ER12" s="191"/>
      <c r="ES12" s="191"/>
      <c r="ET12" s="191"/>
      <c r="EU12" s="191"/>
      <c r="EV12" s="191"/>
      <c r="EW12" s="191"/>
      <c r="EX12" s="191"/>
      <c r="EY12" s="191"/>
    </row>
    <row r="13" spans="1:155" ht="45" customHeight="1" x14ac:dyDescent="0.45">
      <c r="A13" s="277">
        <v>60</v>
      </c>
      <c r="B13" s="191"/>
      <c r="C13" s="191"/>
      <c r="D13" s="191"/>
      <c r="E13" s="191"/>
      <c r="F13" s="191"/>
      <c r="G13" s="191"/>
      <c r="H13" s="191"/>
      <c r="I13" s="191"/>
      <c r="J13" s="191"/>
      <c r="K13" s="191"/>
      <c r="L13" s="191"/>
      <c r="M13" s="191"/>
      <c r="N13" s="191"/>
      <c r="O13" s="191"/>
      <c r="P13" s="191"/>
      <c r="Q13" s="191"/>
      <c r="R13" s="191"/>
      <c r="S13" s="191"/>
      <c r="T13" s="191"/>
      <c r="U13" s="191"/>
      <c r="V13" s="191"/>
      <c r="W13" s="191"/>
      <c r="X13" s="191"/>
      <c r="Y13" s="191"/>
      <c r="Z13" s="191"/>
      <c r="AA13" s="191"/>
      <c r="AB13" s="191"/>
      <c r="AC13" s="191"/>
      <c r="AD13" s="191"/>
      <c r="AE13" s="191"/>
      <c r="AF13" s="191"/>
      <c r="AG13" s="191"/>
      <c r="AH13" s="191"/>
      <c r="AI13" s="191"/>
      <c r="AJ13" s="191"/>
      <c r="AK13" s="191"/>
      <c r="AL13" s="191"/>
      <c r="AM13" s="191"/>
      <c r="AN13" s="191"/>
      <c r="AO13" s="191"/>
      <c r="AP13" s="191"/>
      <c r="AQ13" s="191"/>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N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191"/>
      <c r="DN13" s="191"/>
      <c r="DO13" s="191"/>
      <c r="DP13" s="191"/>
      <c r="DQ13" s="191"/>
      <c r="DR13" s="191"/>
      <c r="DS13" s="191"/>
      <c r="DT13" s="191"/>
      <c r="DU13" s="191"/>
      <c r="DV13" s="278">
        <v>263.7011</v>
      </c>
      <c r="DW13" s="279">
        <v>263.41070000000002</v>
      </c>
      <c r="DX13" s="191">
        <v>263.53149999999999</v>
      </c>
      <c r="DY13" s="191">
        <v>263.2944</v>
      </c>
      <c r="DZ13" s="191">
        <v>263.33949999999999</v>
      </c>
      <c r="EA13" s="191">
        <v>263.24790000000002</v>
      </c>
      <c r="EB13" s="191">
        <v>263.6859</v>
      </c>
      <c r="EC13" s="191">
        <v>263.42329999999998</v>
      </c>
      <c r="ED13" s="191">
        <v>263.596</v>
      </c>
      <c r="EE13" s="191">
        <v>263.56380000000001</v>
      </c>
      <c r="EF13" s="191">
        <v>263.53440000000001</v>
      </c>
      <c r="EG13" s="191">
        <v>263.5009</v>
      </c>
      <c r="EH13" s="279">
        <v>263.36529999999999</v>
      </c>
      <c r="EI13" s="191">
        <v>263.5444</v>
      </c>
      <c r="EJ13" s="191">
        <v>263.1352</v>
      </c>
      <c r="EK13" s="191">
        <v>263.38299999999998</v>
      </c>
      <c r="EL13" s="191">
        <v>263.40629999999999</v>
      </c>
      <c r="EM13" s="191">
        <v>263.44380000000001</v>
      </c>
      <c r="EN13" s="191">
        <v>264.30419999999998</v>
      </c>
      <c r="EO13" s="278">
        <v>262.2491</v>
      </c>
      <c r="EP13" s="191"/>
      <c r="EQ13" s="191"/>
      <c r="ER13" s="191"/>
      <c r="ES13" s="191"/>
      <c r="ET13" s="191"/>
      <c r="EU13" s="191"/>
      <c r="EV13" s="191"/>
      <c r="EW13" s="191"/>
      <c r="EX13" s="191"/>
      <c r="EY13" s="191"/>
    </row>
    <row r="14" spans="1:155" ht="45" customHeight="1" x14ac:dyDescent="0.45">
      <c r="A14" s="277">
        <v>65</v>
      </c>
      <c r="B14" s="191"/>
      <c r="C14" s="191"/>
      <c r="D14" s="191"/>
      <c r="E14" s="191"/>
      <c r="F14" s="191"/>
      <c r="G14" s="191"/>
      <c r="H14" s="191"/>
      <c r="I14" s="191"/>
      <c r="J14" s="191"/>
      <c r="K14" s="191"/>
      <c r="L14" s="191"/>
      <c r="M14" s="191"/>
      <c r="N14" s="191"/>
      <c r="O14" s="191"/>
      <c r="P14" s="191"/>
      <c r="Q14" s="191"/>
      <c r="R14" s="191"/>
      <c r="S14" s="191"/>
      <c r="T14" s="191"/>
      <c r="U14" s="191"/>
      <c r="V14" s="191"/>
      <c r="W14" s="191"/>
      <c r="X14" s="191"/>
      <c r="Y14" s="191"/>
      <c r="Z14" s="191"/>
      <c r="AA14" s="191"/>
      <c r="AB14" s="191"/>
      <c r="AC14" s="191"/>
      <c r="AD14" s="191"/>
      <c r="AE14" s="191"/>
      <c r="AF14" s="191"/>
      <c r="AG14" s="191"/>
      <c r="AH14" s="191"/>
      <c r="AI14" s="191"/>
      <c r="AJ14" s="191"/>
      <c r="AK14" s="191"/>
      <c r="AL14" s="191"/>
      <c r="AM14" s="191"/>
      <c r="AN14" s="191"/>
      <c r="AO14" s="191"/>
      <c r="AP14" s="191"/>
      <c r="AQ14" s="191"/>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N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278">
        <v>264.65719999999999</v>
      </c>
      <c r="CQ14" s="278">
        <v>264.90609999999998</v>
      </c>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191"/>
      <c r="DN14" s="191"/>
      <c r="DO14" s="191"/>
      <c r="DP14" s="191"/>
      <c r="DQ14" s="191"/>
      <c r="DR14" s="191"/>
      <c r="DS14" s="191"/>
      <c r="DT14" s="191"/>
      <c r="DU14" s="191"/>
      <c r="DV14" s="278">
        <v>264.16930000000002</v>
      </c>
      <c r="DW14" s="279">
        <v>263.54239999999999</v>
      </c>
      <c r="DX14" s="191">
        <v>263.42180000000002</v>
      </c>
      <c r="DY14" s="191">
        <v>263.24059999999997</v>
      </c>
      <c r="DZ14" s="191">
        <v>263.09769999999997</v>
      </c>
      <c r="EA14" s="191">
        <v>263.31630000000001</v>
      </c>
      <c r="EB14" s="191">
        <v>263.3777</v>
      </c>
      <c r="EC14" s="191">
        <v>263.46620000000001</v>
      </c>
      <c r="ED14" s="191">
        <v>263.5385</v>
      </c>
      <c r="EE14" s="191">
        <v>263.60250000000002</v>
      </c>
      <c r="EF14" s="191">
        <v>263.43049999999999</v>
      </c>
      <c r="EG14" s="191">
        <v>263.29509999999999</v>
      </c>
      <c r="EH14" s="279">
        <v>263.46120000000002</v>
      </c>
      <c r="EI14" s="279">
        <v>263.3569</v>
      </c>
      <c r="EJ14" s="279">
        <v>263.28370000000001</v>
      </c>
      <c r="EK14" s="279">
        <v>263.2013</v>
      </c>
      <c r="EL14" s="279">
        <v>263.26769999999999</v>
      </c>
      <c r="EM14" s="279">
        <v>263.08690000000001</v>
      </c>
      <c r="EN14" s="191">
        <v>263.39249999999998</v>
      </c>
      <c r="EO14" s="191">
        <v>264.31979999999999</v>
      </c>
      <c r="EP14" s="278">
        <v>262.73950000000002</v>
      </c>
      <c r="EQ14" s="191"/>
      <c r="ER14" s="191"/>
      <c r="ES14" s="191"/>
      <c r="ET14" s="191"/>
      <c r="EU14" s="191"/>
      <c r="EV14" s="191"/>
      <c r="EW14" s="191"/>
      <c r="EX14" s="191"/>
      <c r="EY14" s="191"/>
    </row>
    <row r="15" spans="1:155" ht="45" customHeight="1" x14ac:dyDescent="0.45">
      <c r="A15" s="277">
        <v>70</v>
      </c>
      <c r="B15" s="191"/>
      <c r="C15" s="191"/>
      <c r="D15" s="191"/>
      <c r="E15" s="191"/>
      <c r="F15" s="191"/>
      <c r="G15" s="191"/>
      <c r="H15" s="191"/>
      <c r="I15" s="191"/>
      <c r="J15" s="191"/>
      <c r="K15" s="191"/>
      <c r="L15" s="191"/>
      <c r="M15" s="191"/>
      <c r="N15" s="191"/>
      <c r="O15" s="191"/>
      <c r="P15" s="191"/>
      <c r="Q15" s="191"/>
      <c r="R15" s="191"/>
      <c r="S15" s="191"/>
      <c r="T15" s="191"/>
      <c r="U15" s="191"/>
      <c r="V15" s="191"/>
      <c r="W15" s="191"/>
      <c r="X15" s="191"/>
      <c r="Y15" s="191"/>
      <c r="Z15" s="191"/>
      <c r="AA15" s="191"/>
      <c r="AB15" s="191"/>
      <c r="AC15" s="191"/>
      <c r="AD15" s="191"/>
      <c r="AE15" s="191"/>
      <c r="AF15" s="191"/>
      <c r="AG15" s="191"/>
      <c r="AH15" s="191"/>
      <c r="AI15" s="191"/>
      <c r="AJ15" s="191"/>
      <c r="AK15" s="191"/>
      <c r="AL15" s="191"/>
      <c r="AM15" s="191"/>
      <c r="AN15" s="191"/>
      <c r="AO15" s="191"/>
      <c r="AP15" s="191"/>
      <c r="AQ15" s="191"/>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N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278">
        <v>263.8929</v>
      </c>
      <c r="CP15" s="191">
        <v>264.5428</v>
      </c>
      <c r="CQ15" s="191">
        <v>264.70760000000001</v>
      </c>
      <c r="CR15" s="278">
        <v>264.08019999999999</v>
      </c>
      <c r="CS15" s="278">
        <v>263.33330000000001</v>
      </c>
      <c r="CT15" s="278">
        <v>263.31670000000003</v>
      </c>
      <c r="CU15" s="278">
        <v>263.79090000000002</v>
      </c>
      <c r="CV15" s="191"/>
      <c r="CW15" s="191"/>
      <c r="CX15" s="191"/>
      <c r="CY15" s="191"/>
      <c r="CZ15" s="191"/>
      <c r="DA15" s="191"/>
      <c r="DB15" s="191"/>
      <c r="DC15" s="278">
        <v>264.09969999999998</v>
      </c>
      <c r="DD15" s="278">
        <v>263.99250000000001</v>
      </c>
      <c r="DE15" s="278">
        <v>263.84679999999997</v>
      </c>
      <c r="DF15" s="278">
        <v>263.96109999999999</v>
      </c>
      <c r="DG15" s="278">
        <v>263.84859999999998</v>
      </c>
      <c r="DH15" s="278">
        <v>263.76650000000001</v>
      </c>
      <c r="DI15" s="278">
        <v>263.78750000000002</v>
      </c>
      <c r="DJ15" s="191"/>
      <c r="DK15" s="191"/>
      <c r="DL15" s="191"/>
      <c r="DM15" s="191"/>
      <c r="DN15" s="191"/>
      <c r="DO15" s="191"/>
      <c r="DP15" s="191"/>
      <c r="DQ15" s="191"/>
      <c r="DR15" s="191"/>
      <c r="DS15" s="191"/>
      <c r="DT15" s="191"/>
      <c r="DU15" s="191"/>
      <c r="DV15" s="278">
        <v>264.0686</v>
      </c>
      <c r="DW15" s="279">
        <v>263.40690000000001</v>
      </c>
      <c r="DX15" s="191">
        <v>263.49189999999999</v>
      </c>
      <c r="DY15" s="191">
        <v>263.26100000000002</v>
      </c>
      <c r="DZ15" s="191">
        <v>263.07260000000002</v>
      </c>
      <c r="EA15" s="191">
        <v>263.39359999999999</v>
      </c>
      <c r="EB15" s="191">
        <v>263.46699999999998</v>
      </c>
      <c r="EC15" s="191">
        <v>263.50220000000002</v>
      </c>
      <c r="ED15" s="191">
        <v>263.42059999999998</v>
      </c>
      <c r="EE15" s="191">
        <v>263.4753</v>
      </c>
      <c r="EF15" s="191">
        <v>263.36500000000001</v>
      </c>
      <c r="EG15" s="191">
        <v>263.30020000000002</v>
      </c>
      <c r="EH15" s="191">
        <v>263.40339999999998</v>
      </c>
      <c r="EI15" s="191">
        <v>263.36360000000002</v>
      </c>
      <c r="EJ15" s="191">
        <v>263.15230000000003</v>
      </c>
      <c r="EK15" s="191">
        <v>262.93049999999999</v>
      </c>
      <c r="EL15" s="191">
        <v>263.23320000000001</v>
      </c>
      <c r="EM15" s="279">
        <v>263.23070000000001</v>
      </c>
      <c r="EN15" s="191">
        <v>263.33569999999997</v>
      </c>
      <c r="EO15" s="191">
        <v>263.64659999999998</v>
      </c>
      <c r="EP15" s="278">
        <v>264.79259999999999</v>
      </c>
      <c r="EQ15" s="191"/>
      <c r="ER15" s="191"/>
      <c r="ES15" s="191"/>
      <c r="ET15" s="191"/>
      <c r="EU15" s="191"/>
      <c r="EV15" s="191"/>
      <c r="EW15" s="191"/>
      <c r="EX15" s="191"/>
      <c r="EY15" s="191"/>
    </row>
    <row r="16" spans="1:155" ht="45" customHeight="1" x14ac:dyDescent="0.45">
      <c r="A16" s="277">
        <v>75</v>
      </c>
      <c r="B16" s="191"/>
      <c r="C16" s="191"/>
      <c r="D16" s="191"/>
      <c r="E16" s="191"/>
      <c r="F16" s="191"/>
      <c r="G16" s="191"/>
      <c r="H16" s="191"/>
      <c r="I16" s="191"/>
      <c r="J16" s="191"/>
      <c r="K16" s="191"/>
      <c r="L16" s="191"/>
      <c r="M16" s="191"/>
      <c r="N16" s="191"/>
      <c r="O16" s="191"/>
      <c r="P16" s="191"/>
      <c r="Q16" s="191"/>
      <c r="R16" s="191"/>
      <c r="S16" s="191"/>
      <c r="T16" s="191"/>
      <c r="U16" s="191"/>
      <c r="V16" s="191"/>
      <c r="W16" s="191"/>
      <c r="X16" s="191"/>
      <c r="Y16" s="191"/>
      <c r="Z16" s="191"/>
      <c r="AA16" s="191"/>
      <c r="AB16" s="191"/>
      <c r="AC16" s="191"/>
      <c r="AD16" s="191"/>
      <c r="AE16" s="191"/>
      <c r="AF16" s="191"/>
      <c r="AG16" s="191"/>
      <c r="AH16" s="191"/>
      <c r="AI16" s="191"/>
      <c r="AJ16" s="191"/>
      <c r="AK16" s="191"/>
      <c r="AL16" s="191"/>
      <c r="AM16" s="191"/>
      <c r="AN16" s="191"/>
      <c r="AO16" s="191"/>
      <c r="AP16" s="191"/>
      <c r="AQ16" s="191"/>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N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278">
        <v>263.16410000000002</v>
      </c>
      <c r="CP16" s="191">
        <v>264.46190000000001</v>
      </c>
      <c r="CQ16" s="191">
        <v>264.33100000000002</v>
      </c>
      <c r="CR16" s="191">
        <v>264.2704</v>
      </c>
      <c r="CS16" s="191">
        <v>264.32850000000002</v>
      </c>
      <c r="CT16" s="191">
        <v>264.3723</v>
      </c>
      <c r="CU16" s="278">
        <v>264.3426</v>
      </c>
      <c r="CV16" s="191"/>
      <c r="CW16" s="191"/>
      <c r="CX16" s="191"/>
      <c r="CY16" s="191"/>
      <c r="CZ16" s="191"/>
      <c r="DA16" s="191"/>
      <c r="DB16" s="191"/>
      <c r="DC16" s="278">
        <v>263.85129999999998</v>
      </c>
      <c r="DD16" s="191">
        <v>264.26569999999998</v>
      </c>
      <c r="DE16" s="191">
        <v>264.13369999999998</v>
      </c>
      <c r="DF16" s="191">
        <v>263.95080000000002</v>
      </c>
      <c r="DG16" s="191">
        <v>263.83819999999997</v>
      </c>
      <c r="DH16" s="191">
        <v>263.59910000000002</v>
      </c>
      <c r="DI16" s="191">
        <v>263.96100000000001</v>
      </c>
      <c r="DJ16" s="278">
        <v>264.1343</v>
      </c>
      <c r="DK16" s="191"/>
      <c r="DL16" s="191"/>
      <c r="DM16" s="191"/>
      <c r="DN16" s="191"/>
      <c r="DO16" s="191"/>
      <c r="DP16" s="191"/>
      <c r="DQ16" s="191"/>
      <c r="DR16" s="191"/>
      <c r="DS16" s="191"/>
      <c r="DT16" s="191"/>
      <c r="DU16" s="278">
        <v>264.13350000000003</v>
      </c>
      <c r="DV16" s="191">
        <v>263.46589999999998</v>
      </c>
      <c r="DW16" s="279">
        <v>263.4932</v>
      </c>
      <c r="DX16" s="191">
        <v>263.38900000000001</v>
      </c>
      <c r="DY16" s="191">
        <v>263.36509999999998</v>
      </c>
      <c r="DZ16" s="191">
        <v>263.28989999999999</v>
      </c>
      <c r="EA16" s="191">
        <v>263.62720000000002</v>
      </c>
      <c r="EB16" s="191">
        <v>263.48840000000001</v>
      </c>
      <c r="EC16" s="191">
        <v>263.51139999999998</v>
      </c>
      <c r="ED16" s="191">
        <v>263.3578</v>
      </c>
      <c r="EE16" s="191">
        <v>263.29919999999998</v>
      </c>
      <c r="EF16" s="191">
        <v>263.23309999999998</v>
      </c>
      <c r="EG16" s="191">
        <v>263.27730000000003</v>
      </c>
      <c r="EH16" s="191">
        <v>263.23169999999999</v>
      </c>
      <c r="EI16" s="191">
        <v>263.31939999999997</v>
      </c>
      <c r="EJ16" s="191">
        <v>263.14510000000001</v>
      </c>
      <c r="EK16" s="191">
        <v>263.08449999999999</v>
      </c>
      <c r="EL16" s="191">
        <v>263.209</v>
      </c>
      <c r="EM16" s="279">
        <v>263.24509999999998</v>
      </c>
      <c r="EN16" s="191">
        <v>263.21730000000002</v>
      </c>
      <c r="EO16" s="191">
        <v>263.19839999999999</v>
      </c>
      <c r="EP16" s="191">
        <v>263.68729999999999</v>
      </c>
      <c r="EQ16" s="278">
        <v>262.37709999999998</v>
      </c>
      <c r="ER16" s="191"/>
      <c r="ES16" s="191"/>
      <c r="ET16" s="191"/>
      <c r="EU16" s="191"/>
      <c r="EV16" s="191"/>
      <c r="EW16" s="191"/>
      <c r="EX16" s="191"/>
      <c r="EY16" s="191"/>
    </row>
    <row r="17" spans="1:155" ht="45" customHeight="1" x14ac:dyDescent="0.45">
      <c r="A17" s="277">
        <v>80</v>
      </c>
      <c r="B17" s="191"/>
      <c r="C17" s="191"/>
      <c r="D17" s="191"/>
      <c r="E17" s="191"/>
      <c r="F17" s="191"/>
      <c r="G17" s="191"/>
      <c r="H17" s="191"/>
      <c r="I17" s="191"/>
      <c r="J17" s="191"/>
      <c r="K17" s="191"/>
      <c r="L17" s="191"/>
      <c r="M17" s="191"/>
      <c r="N17" s="191"/>
      <c r="O17" s="191"/>
      <c r="P17" s="191"/>
      <c r="Q17" s="191"/>
      <c r="R17" s="191"/>
      <c r="S17" s="191"/>
      <c r="T17" s="191"/>
      <c r="U17" s="191"/>
      <c r="V17" s="191"/>
      <c r="W17" s="191"/>
      <c r="X17" s="191"/>
      <c r="Y17" s="191"/>
      <c r="Z17" s="191"/>
      <c r="AA17" s="191"/>
      <c r="AB17" s="191"/>
      <c r="AC17" s="191"/>
      <c r="AD17" s="191"/>
      <c r="AE17" s="191"/>
      <c r="AF17" s="191"/>
      <c r="AG17" s="191"/>
      <c r="AH17" s="191"/>
      <c r="AI17" s="191"/>
      <c r="AJ17" s="191"/>
      <c r="AK17" s="191"/>
      <c r="AL17" s="191"/>
      <c r="AM17" s="191"/>
      <c r="AN17" s="191"/>
      <c r="AO17" s="191"/>
      <c r="AP17" s="191"/>
      <c r="AQ17" s="191"/>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N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278">
        <v>263.86970000000002</v>
      </c>
      <c r="CO17" s="191">
        <v>264.2133</v>
      </c>
      <c r="CP17" s="191">
        <v>263.98750000000001</v>
      </c>
      <c r="CQ17" s="191">
        <v>264.0949</v>
      </c>
      <c r="CR17" s="191">
        <v>264.18810000000002</v>
      </c>
      <c r="CS17" s="191">
        <v>264.21769999999998</v>
      </c>
      <c r="CT17" s="191">
        <v>264.28570000000002</v>
      </c>
      <c r="CU17" s="278">
        <v>264.4169</v>
      </c>
      <c r="CV17" s="191"/>
      <c r="CW17" s="191"/>
      <c r="CX17" s="191"/>
      <c r="CY17" s="191"/>
      <c r="CZ17" s="191"/>
      <c r="DA17" s="191"/>
      <c r="DB17" s="191"/>
      <c r="DC17" s="278">
        <v>264.25549999999998</v>
      </c>
      <c r="DD17" s="191">
        <v>264.12369999999999</v>
      </c>
      <c r="DE17" s="191">
        <v>264.0675</v>
      </c>
      <c r="DF17" s="191">
        <v>263.98630000000003</v>
      </c>
      <c r="DG17" s="191">
        <v>264.02159999999998</v>
      </c>
      <c r="DH17" s="191">
        <v>264.04500000000002</v>
      </c>
      <c r="DI17" s="191">
        <v>263.89949999999999</v>
      </c>
      <c r="DJ17" s="278">
        <v>263.73219999999998</v>
      </c>
      <c r="DK17" s="191"/>
      <c r="DL17" s="191"/>
      <c r="DM17" s="191"/>
      <c r="DN17" s="191"/>
      <c r="DO17" s="191"/>
      <c r="DP17" s="191"/>
      <c r="DQ17" s="191"/>
      <c r="DR17" s="191"/>
      <c r="DS17" s="191"/>
      <c r="DT17" s="191"/>
      <c r="DU17" s="278">
        <v>264.21859999999998</v>
      </c>
      <c r="DV17" s="191">
        <v>263.71820000000002</v>
      </c>
      <c r="DW17" s="279">
        <v>263.47390000000001</v>
      </c>
      <c r="DX17" s="191">
        <v>263.62610000000001</v>
      </c>
      <c r="DY17" s="191">
        <v>263.3972</v>
      </c>
      <c r="DZ17" s="191">
        <v>263.7013</v>
      </c>
      <c r="EA17" s="191">
        <v>263.65159999999997</v>
      </c>
      <c r="EB17" s="191">
        <v>263.68900000000002</v>
      </c>
      <c r="EC17" s="191">
        <v>263.58960000000002</v>
      </c>
      <c r="ED17" s="191">
        <v>263.57089999999999</v>
      </c>
      <c r="EE17" s="191">
        <v>263.29289999999997</v>
      </c>
      <c r="EF17" s="191">
        <v>263.34089999999998</v>
      </c>
      <c r="EG17" s="191">
        <v>263.30399999999997</v>
      </c>
      <c r="EH17" s="191">
        <v>263.37209999999999</v>
      </c>
      <c r="EI17" s="191">
        <v>263.42290000000003</v>
      </c>
      <c r="EJ17" s="191">
        <v>263.2244</v>
      </c>
      <c r="EK17" s="191">
        <v>263.06299999999999</v>
      </c>
      <c r="EL17" s="191">
        <v>262.99599999999998</v>
      </c>
      <c r="EM17" s="279">
        <v>263.39019999999999</v>
      </c>
      <c r="EN17" s="191">
        <v>263.32279999999997</v>
      </c>
      <c r="EO17" s="191">
        <v>263.32470000000001</v>
      </c>
      <c r="EP17" s="191">
        <v>263.3211</v>
      </c>
      <c r="EQ17" s="278">
        <v>262.77600000000001</v>
      </c>
      <c r="ER17" s="191"/>
      <c r="ES17" s="191"/>
      <c r="ET17" s="191"/>
      <c r="EU17" s="191"/>
      <c r="EV17" s="191"/>
      <c r="EW17" s="191"/>
      <c r="EX17" s="191"/>
      <c r="EY17" s="191"/>
    </row>
    <row r="18" spans="1:155" ht="45" customHeight="1" x14ac:dyDescent="0.45">
      <c r="A18" s="277">
        <v>85</v>
      </c>
      <c r="B18" s="191"/>
      <c r="C18" s="191"/>
      <c r="D18" s="191"/>
      <c r="E18" s="191"/>
      <c r="F18" s="191"/>
      <c r="G18" s="191"/>
      <c r="H18" s="191"/>
      <c r="I18" s="191"/>
      <c r="J18" s="191"/>
      <c r="K18" s="191"/>
      <c r="L18" s="191"/>
      <c r="M18" s="191"/>
      <c r="N18" s="191"/>
      <c r="O18" s="191"/>
      <c r="P18" s="191"/>
      <c r="Q18" s="191"/>
      <c r="R18" s="191"/>
      <c r="S18" s="191"/>
      <c r="T18" s="191"/>
      <c r="U18" s="191"/>
      <c r="V18" s="191"/>
      <c r="W18" s="191"/>
      <c r="X18" s="191"/>
      <c r="Y18" s="191"/>
      <c r="Z18" s="191"/>
      <c r="AA18" s="191"/>
      <c r="AB18" s="191"/>
      <c r="AC18" s="191"/>
      <c r="AD18" s="191"/>
      <c r="AE18" s="191"/>
      <c r="AF18" s="191"/>
      <c r="AG18" s="191"/>
      <c r="AH18" s="191"/>
      <c r="AI18" s="191"/>
      <c r="AJ18" s="191"/>
      <c r="AK18" s="191"/>
      <c r="AL18" s="191"/>
      <c r="AM18" s="191"/>
      <c r="AN18" s="191"/>
      <c r="AO18" s="191"/>
      <c r="AP18" s="191"/>
      <c r="AQ18" s="191"/>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N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278">
        <v>263.88819999999998</v>
      </c>
      <c r="CN18" s="191">
        <v>264.471</v>
      </c>
      <c r="CO18" s="191">
        <v>263.71839999999997</v>
      </c>
      <c r="CP18" s="191">
        <v>263.92649999999998</v>
      </c>
      <c r="CQ18" s="191">
        <v>263.65030000000002</v>
      </c>
      <c r="CR18" s="191">
        <v>264.1114</v>
      </c>
      <c r="CS18" s="191">
        <v>264.0822</v>
      </c>
      <c r="CT18" s="278">
        <v>264.14609999999999</v>
      </c>
      <c r="CU18" s="191"/>
      <c r="CV18" s="191"/>
      <c r="CW18" s="191"/>
      <c r="CX18" s="191"/>
      <c r="CY18" s="191"/>
      <c r="CZ18" s="191"/>
      <c r="DA18" s="191"/>
      <c r="DB18" s="191"/>
      <c r="DC18" s="278">
        <v>264.12569999999999</v>
      </c>
      <c r="DD18" s="191">
        <v>264.05130000000003</v>
      </c>
      <c r="DE18" s="191">
        <v>263.87389999999999</v>
      </c>
      <c r="DF18" s="191">
        <v>263.9572</v>
      </c>
      <c r="DG18" s="191">
        <v>264.07279999999997</v>
      </c>
      <c r="DH18" s="191">
        <v>263.89879999999999</v>
      </c>
      <c r="DI18" s="191">
        <v>263.99009999999998</v>
      </c>
      <c r="DJ18" s="191">
        <v>263.8449</v>
      </c>
      <c r="DK18" s="278">
        <v>263.62</v>
      </c>
      <c r="DL18" s="191"/>
      <c r="DM18" s="191"/>
      <c r="DN18" s="191"/>
      <c r="DO18" s="191"/>
      <c r="DP18" s="191"/>
      <c r="DQ18" s="191"/>
      <c r="DR18" s="191"/>
      <c r="DS18" s="191"/>
      <c r="DT18" s="191"/>
      <c r="DU18" s="278">
        <v>264.21409999999997</v>
      </c>
      <c r="DV18" s="191">
        <v>263.66969999999998</v>
      </c>
      <c r="DW18" s="279">
        <v>263.40519999999998</v>
      </c>
      <c r="DX18" s="191">
        <v>263.60520000000002</v>
      </c>
      <c r="DY18" s="191">
        <v>263.25040000000001</v>
      </c>
      <c r="DZ18" s="191">
        <v>263.5951</v>
      </c>
      <c r="EA18" s="191">
        <v>263.64620000000002</v>
      </c>
      <c r="EB18" s="191">
        <v>263.60520000000002</v>
      </c>
      <c r="EC18" s="191">
        <v>263.67450000000002</v>
      </c>
      <c r="ED18" s="191">
        <v>263.64999999999998</v>
      </c>
      <c r="EE18" s="191">
        <v>263.48</v>
      </c>
      <c r="EF18" s="191">
        <v>263.36090000000002</v>
      </c>
      <c r="EG18" s="191">
        <v>263.31470000000002</v>
      </c>
      <c r="EH18" s="191">
        <v>263.41759999999999</v>
      </c>
      <c r="EI18" s="191">
        <v>263.45080000000002</v>
      </c>
      <c r="EJ18" s="191">
        <v>263.33670000000001</v>
      </c>
      <c r="EK18" s="191">
        <v>262.90109999999999</v>
      </c>
      <c r="EL18" s="191">
        <v>262.99709999999999</v>
      </c>
      <c r="EM18" s="279">
        <v>263.24439999999998</v>
      </c>
      <c r="EN18" s="191">
        <v>263.14879999999999</v>
      </c>
      <c r="EO18" s="191">
        <v>263.3356</v>
      </c>
      <c r="EP18" s="191">
        <v>263.39609999999999</v>
      </c>
      <c r="EQ18" s="278">
        <v>263.59030000000001</v>
      </c>
      <c r="ER18" s="191"/>
      <c r="ES18" s="191"/>
      <c r="ET18" s="191"/>
      <c r="EU18" s="191"/>
      <c r="EV18" s="191"/>
      <c r="EW18" s="191"/>
      <c r="EX18" s="191"/>
      <c r="EY18" s="191"/>
    </row>
    <row r="19" spans="1:155" ht="45" customHeight="1" x14ac:dyDescent="0.45">
      <c r="A19" s="277">
        <v>90</v>
      </c>
      <c r="B19" s="191"/>
      <c r="C19" s="191"/>
      <c r="D19" s="191"/>
      <c r="E19" s="191"/>
      <c r="F19" s="191"/>
      <c r="G19" s="191"/>
      <c r="H19" s="191"/>
      <c r="I19" s="191"/>
      <c r="J19" s="191"/>
      <c r="K19" s="191"/>
      <c r="L19" s="191"/>
      <c r="M19" s="191"/>
      <c r="N19" s="191"/>
      <c r="O19" s="191"/>
      <c r="P19" s="191"/>
      <c r="Q19" s="191"/>
      <c r="R19" s="191"/>
      <c r="S19" s="191"/>
      <c r="T19" s="191"/>
      <c r="U19" s="191"/>
      <c r="V19" s="191"/>
      <c r="W19" s="191"/>
      <c r="X19" s="191"/>
      <c r="Y19" s="191"/>
      <c r="Z19" s="191"/>
      <c r="AA19" s="191"/>
      <c r="AB19" s="191"/>
      <c r="AC19" s="191"/>
      <c r="AD19" s="191"/>
      <c r="AE19" s="191"/>
      <c r="AF19" s="191"/>
      <c r="AG19" s="191"/>
      <c r="AH19" s="191"/>
      <c r="AI19" s="191"/>
      <c r="AJ19" s="191"/>
      <c r="AK19" s="191"/>
      <c r="AL19" s="191"/>
      <c r="AM19" s="191"/>
      <c r="AN19" s="191"/>
      <c r="AO19" s="191"/>
      <c r="AP19" s="191"/>
      <c r="AQ19" s="191"/>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N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278">
        <v>264.24549999999999</v>
      </c>
      <c r="CM19" s="191">
        <v>264.81790000000001</v>
      </c>
      <c r="CN19" s="191">
        <v>263.95920000000001</v>
      </c>
      <c r="CO19" s="191">
        <v>263.93639999999999</v>
      </c>
      <c r="CP19" s="191">
        <v>263.82690000000002</v>
      </c>
      <c r="CQ19" s="191">
        <v>263.61610000000002</v>
      </c>
      <c r="CR19" s="191">
        <v>264.15410000000003</v>
      </c>
      <c r="CS19" s="191">
        <v>264.0573</v>
      </c>
      <c r="CT19" s="278">
        <v>264.14550000000003</v>
      </c>
      <c r="CU19" s="191"/>
      <c r="CV19" s="191"/>
      <c r="CW19" s="191"/>
      <c r="CX19" s="191"/>
      <c r="CY19" s="191"/>
      <c r="CZ19" s="191"/>
      <c r="DA19" s="191"/>
      <c r="DB19" s="191"/>
      <c r="DC19" s="278">
        <v>264.04989999999998</v>
      </c>
      <c r="DD19" s="191">
        <v>263.9332</v>
      </c>
      <c r="DE19" s="191">
        <v>263.90600000000001</v>
      </c>
      <c r="DF19" s="191">
        <v>264.00720000000001</v>
      </c>
      <c r="DG19" s="191">
        <v>263.9948</v>
      </c>
      <c r="DH19" s="191">
        <v>263.76650000000001</v>
      </c>
      <c r="DI19" s="191">
        <v>263.89460000000003</v>
      </c>
      <c r="DJ19" s="191">
        <v>263.9307</v>
      </c>
      <c r="DK19" s="191">
        <v>263.73989999999998</v>
      </c>
      <c r="DL19" s="278">
        <v>264.01010000000002</v>
      </c>
      <c r="DM19" s="278">
        <v>264.2595</v>
      </c>
      <c r="DN19" s="278">
        <v>264.58280000000002</v>
      </c>
      <c r="DO19" s="278">
        <v>264.88780000000003</v>
      </c>
      <c r="DP19" s="278">
        <v>264.63</v>
      </c>
      <c r="DQ19" s="278">
        <v>264.53559999999999</v>
      </c>
      <c r="DR19" s="278">
        <v>264.49250000000001</v>
      </c>
      <c r="DS19" s="191"/>
      <c r="DT19" s="191"/>
      <c r="DU19" s="278">
        <v>264.49919999999997</v>
      </c>
      <c r="DV19" s="191">
        <v>263.66730000000001</v>
      </c>
      <c r="DW19" s="279">
        <v>263.3963</v>
      </c>
      <c r="DX19" s="279">
        <v>263.30340000000001</v>
      </c>
      <c r="DY19" s="279">
        <v>263.6474</v>
      </c>
      <c r="DZ19" s="279">
        <v>263.62169999999998</v>
      </c>
      <c r="EA19" s="279">
        <v>263.64089999999999</v>
      </c>
      <c r="EB19" s="279">
        <v>263.65440000000001</v>
      </c>
      <c r="EC19" s="279">
        <v>263.64879999999999</v>
      </c>
      <c r="ED19" s="279">
        <v>263.66340000000002</v>
      </c>
      <c r="EE19" s="279">
        <v>263.63569999999999</v>
      </c>
      <c r="EF19" s="279">
        <v>263.38580000000002</v>
      </c>
      <c r="EG19" s="279">
        <v>263.30689999999998</v>
      </c>
      <c r="EH19" s="279">
        <v>263.32769999999999</v>
      </c>
      <c r="EI19" s="279">
        <v>263.26150000000001</v>
      </c>
      <c r="EJ19" s="279">
        <v>263.26369999999997</v>
      </c>
      <c r="EK19" s="279">
        <v>262.99619999999999</v>
      </c>
      <c r="EL19" s="279">
        <v>262.9742</v>
      </c>
      <c r="EM19" s="279">
        <v>263.02969999999999</v>
      </c>
      <c r="EN19" s="191">
        <v>263.22809999999998</v>
      </c>
      <c r="EO19" s="191">
        <v>263.31040000000002</v>
      </c>
      <c r="EP19" s="191">
        <v>263.04399999999998</v>
      </c>
      <c r="EQ19" s="191">
        <v>263.37360000000001</v>
      </c>
      <c r="ER19" s="278">
        <v>263.7355</v>
      </c>
      <c r="ES19" s="191"/>
      <c r="ET19" s="191"/>
      <c r="EU19" s="191"/>
      <c r="EV19" s="191"/>
      <c r="EW19" s="191"/>
      <c r="EX19" s="191"/>
      <c r="EY19" s="191"/>
    </row>
    <row r="20" spans="1:155" ht="45" customHeight="1" x14ac:dyDescent="0.45">
      <c r="A20" s="277">
        <v>95</v>
      </c>
      <c r="B20" s="191"/>
      <c r="C20" s="191"/>
      <c r="D20" s="191"/>
      <c r="E20" s="191"/>
      <c r="F20" s="191"/>
      <c r="G20" s="191"/>
      <c r="H20" s="191"/>
      <c r="I20" s="191"/>
      <c r="J20" s="191"/>
      <c r="K20" s="191"/>
      <c r="L20" s="191"/>
      <c r="M20" s="191"/>
      <c r="N20" s="191"/>
      <c r="O20" s="191"/>
      <c r="P20" s="191"/>
      <c r="Q20" s="191"/>
      <c r="R20" s="191"/>
      <c r="S20" s="191"/>
      <c r="T20" s="191"/>
      <c r="U20" s="191"/>
      <c r="V20" s="191"/>
      <c r="W20" s="191"/>
      <c r="X20" s="191"/>
      <c r="Y20" s="191"/>
      <c r="Z20" s="191"/>
      <c r="AA20" s="191"/>
      <c r="AB20" s="191"/>
      <c r="AC20" s="191"/>
      <c r="AD20" s="191"/>
      <c r="AE20" s="191"/>
      <c r="AF20" s="191"/>
      <c r="AG20" s="191"/>
      <c r="AH20" s="191"/>
      <c r="AI20" s="191"/>
      <c r="AJ20" s="191"/>
      <c r="AK20" s="191"/>
      <c r="AL20" s="191"/>
      <c r="AM20" s="191"/>
      <c r="AN20" s="191"/>
      <c r="AO20" s="191"/>
      <c r="AP20" s="191"/>
      <c r="AQ20" s="191"/>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N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278">
        <v>264.07839999999999</v>
      </c>
      <c r="CK20" s="278">
        <v>264.69029999999998</v>
      </c>
      <c r="CL20" s="191">
        <v>264.3073</v>
      </c>
      <c r="CM20" s="191">
        <v>263.63979999999998</v>
      </c>
      <c r="CN20" s="191">
        <v>263.92320000000001</v>
      </c>
      <c r="CO20" s="191">
        <v>263.85129999999998</v>
      </c>
      <c r="CP20" s="191">
        <v>263.80650000000003</v>
      </c>
      <c r="CQ20" s="191">
        <v>263.74459999999999</v>
      </c>
      <c r="CR20" s="191">
        <v>263.6028</v>
      </c>
      <c r="CS20" s="191">
        <v>264.04570000000001</v>
      </c>
      <c r="CT20" s="278">
        <v>264.19009999999997</v>
      </c>
      <c r="CU20" s="191"/>
      <c r="CV20" s="191"/>
      <c r="CW20" s="191"/>
      <c r="CX20" s="191"/>
      <c r="CY20" s="191"/>
      <c r="CZ20" s="191"/>
      <c r="DA20" s="191"/>
      <c r="DB20" s="278">
        <v>263.79660000000001</v>
      </c>
      <c r="DC20" s="191">
        <v>263.97989999999999</v>
      </c>
      <c r="DD20" s="191">
        <v>264.01830000000001</v>
      </c>
      <c r="DE20" s="191">
        <v>263.97519999999997</v>
      </c>
      <c r="DF20" s="191">
        <v>264.04640000000001</v>
      </c>
      <c r="DG20" s="191">
        <v>263.92559999999997</v>
      </c>
      <c r="DH20" s="191">
        <v>263.8723</v>
      </c>
      <c r="DI20" s="191">
        <v>263.9049</v>
      </c>
      <c r="DJ20" s="191">
        <v>264.01100000000002</v>
      </c>
      <c r="DK20" s="191">
        <v>263.94749999999999</v>
      </c>
      <c r="DL20" s="191">
        <v>263.88510000000002</v>
      </c>
      <c r="DM20" s="191">
        <v>263.7174</v>
      </c>
      <c r="DN20" s="191">
        <v>263.92989999999998</v>
      </c>
      <c r="DO20" s="191">
        <v>263.84829999999999</v>
      </c>
      <c r="DP20" s="191">
        <v>263.84010000000001</v>
      </c>
      <c r="DQ20" s="191">
        <v>263.75200000000001</v>
      </c>
      <c r="DR20" s="191">
        <v>263.4366</v>
      </c>
      <c r="DS20" s="278">
        <v>263.23169999999999</v>
      </c>
      <c r="DT20" s="278">
        <v>263.16989999999998</v>
      </c>
      <c r="DU20" s="278">
        <v>263.22820000000002</v>
      </c>
      <c r="DV20" s="191">
        <v>263.5693</v>
      </c>
      <c r="DW20" s="191">
        <v>263.32400000000001</v>
      </c>
      <c r="DX20" s="191">
        <v>263.22890000000001</v>
      </c>
      <c r="DY20" s="191">
        <v>263.60180000000003</v>
      </c>
      <c r="DZ20" s="191">
        <v>263.46949999999998</v>
      </c>
      <c r="EA20" s="191">
        <v>263.49270000000001</v>
      </c>
      <c r="EB20" s="191">
        <v>263.47379999999998</v>
      </c>
      <c r="EC20" s="191">
        <v>263.44869999999997</v>
      </c>
      <c r="ED20" s="191">
        <v>263.40140000000002</v>
      </c>
      <c r="EE20" s="191">
        <v>263.45839999999998</v>
      </c>
      <c r="EF20" s="191">
        <v>263.4717</v>
      </c>
      <c r="EG20" s="191">
        <v>263.49959999999999</v>
      </c>
      <c r="EH20" s="191">
        <v>263.23090000000002</v>
      </c>
      <c r="EI20" s="191">
        <v>263.18650000000002</v>
      </c>
      <c r="EJ20" s="191">
        <v>262.98880000000003</v>
      </c>
      <c r="EK20" s="191">
        <v>263.19830000000002</v>
      </c>
      <c r="EL20" s="191">
        <v>262.96809999999999</v>
      </c>
      <c r="EM20" s="191">
        <v>263.07850000000002</v>
      </c>
      <c r="EN20" s="191">
        <v>263.21280000000002</v>
      </c>
      <c r="EO20" s="191">
        <v>263.01</v>
      </c>
      <c r="EP20" s="191">
        <v>263.12279999999998</v>
      </c>
      <c r="EQ20" s="191">
        <v>262.81</v>
      </c>
      <c r="ER20" s="191">
        <v>263.07569999999998</v>
      </c>
      <c r="ES20" s="278">
        <v>263.65589999999997</v>
      </c>
      <c r="ET20" s="278">
        <v>261.92919999999998</v>
      </c>
      <c r="EU20" s="278">
        <v>263.37979999999999</v>
      </c>
      <c r="EV20" s="191"/>
      <c r="EW20" s="191"/>
      <c r="EX20" s="191"/>
      <c r="EY20" s="191"/>
    </row>
    <row r="21" spans="1:155" ht="45" customHeight="1" x14ac:dyDescent="0.45">
      <c r="A21" s="277">
        <v>100</v>
      </c>
      <c r="B21" s="191"/>
      <c r="C21" s="191"/>
      <c r="D21" s="191"/>
      <c r="E21" s="191"/>
      <c r="F21" s="191"/>
      <c r="G21" s="191"/>
      <c r="H21" s="191"/>
      <c r="I21" s="191"/>
      <c r="J21" s="191"/>
      <c r="K21" s="191"/>
      <c r="L21" s="191"/>
      <c r="M21" s="191"/>
      <c r="N21" s="191"/>
      <c r="O21" s="191"/>
      <c r="P21" s="191"/>
      <c r="Q21" s="191"/>
      <c r="R21" s="191"/>
      <c r="S21" s="191"/>
      <c r="T21" s="191"/>
      <c r="U21" s="191"/>
      <c r="V21" s="191"/>
      <c r="W21" s="191"/>
      <c r="X21" s="191"/>
      <c r="Y21" s="191"/>
      <c r="Z21" s="191"/>
      <c r="AA21" s="191"/>
      <c r="AB21" s="191"/>
      <c r="AC21" s="191"/>
      <c r="AD21" s="191"/>
      <c r="AE21" s="191"/>
      <c r="AF21" s="191"/>
      <c r="AG21" s="191"/>
      <c r="AH21" s="191"/>
      <c r="AI21" s="191"/>
      <c r="AJ21" s="191"/>
      <c r="AK21" s="191"/>
      <c r="AL21" s="191"/>
      <c r="AM21" s="191"/>
      <c r="AN21" s="191"/>
      <c r="AO21" s="191"/>
      <c r="AP21" s="191"/>
      <c r="AQ21" s="191"/>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N21" s="191"/>
      <c r="BO21" s="191"/>
      <c r="BP21" s="191"/>
      <c r="BQ21" s="191"/>
      <c r="BR21" s="191"/>
      <c r="BS21" s="191"/>
      <c r="BT21" s="191"/>
      <c r="BU21" s="191"/>
      <c r="BV21" s="191"/>
      <c r="BW21" s="191"/>
      <c r="BX21" s="191"/>
      <c r="BY21" s="191"/>
      <c r="BZ21" s="191"/>
      <c r="CA21" s="191"/>
      <c r="CB21" s="191"/>
      <c r="CC21" s="191"/>
      <c r="CD21" s="191"/>
      <c r="CE21" s="191"/>
      <c r="CF21" s="191"/>
      <c r="CG21" s="191"/>
      <c r="CH21" s="191"/>
      <c r="CI21" s="278">
        <v>264.12279999999998</v>
      </c>
      <c r="CJ21" s="191">
        <v>264.34289999999999</v>
      </c>
      <c r="CK21" s="191">
        <v>264.10829999999999</v>
      </c>
      <c r="CL21" s="191">
        <v>263.6626</v>
      </c>
      <c r="CM21" s="191">
        <v>263.86439999999999</v>
      </c>
      <c r="CN21" s="191">
        <v>263.80950000000001</v>
      </c>
      <c r="CO21" s="191">
        <v>263.80329999999998</v>
      </c>
      <c r="CP21" s="191">
        <v>263.86829999999998</v>
      </c>
      <c r="CQ21" s="191">
        <v>263.81389999999999</v>
      </c>
      <c r="CR21" s="191">
        <v>263.6771</v>
      </c>
      <c r="CS21" s="191">
        <v>264.0883</v>
      </c>
      <c r="CT21" s="278">
        <v>264.46089999999998</v>
      </c>
      <c r="CU21" s="191"/>
      <c r="CV21" s="191"/>
      <c r="CW21" s="191"/>
      <c r="CX21" s="191"/>
      <c r="CY21" s="191"/>
      <c r="CZ21" s="191"/>
      <c r="DA21" s="191"/>
      <c r="DB21" s="278">
        <v>263.80200000000002</v>
      </c>
      <c r="DC21" s="191">
        <v>264.00310000000002</v>
      </c>
      <c r="DD21" s="191">
        <v>263.93490000000003</v>
      </c>
      <c r="DE21" s="191">
        <v>264.05590000000001</v>
      </c>
      <c r="DF21" s="191">
        <v>264.04379999999998</v>
      </c>
      <c r="DG21" s="191">
        <v>263.97050000000002</v>
      </c>
      <c r="DH21" s="191">
        <v>263.95170000000002</v>
      </c>
      <c r="DI21" s="191">
        <v>263.8818</v>
      </c>
      <c r="DJ21" s="279">
        <v>264.01749999999998</v>
      </c>
      <c r="DK21" s="279">
        <v>263.88330000000002</v>
      </c>
      <c r="DL21" s="279">
        <v>263.94990000000001</v>
      </c>
      <c r="DM21" s="279">
        <v>263.9298</v>
      </c>
      <c r="DN21" s="279">
        <v>263.88729999999998</v>
      </c>
      <c r="DO21" s="279">
        <v>263.87569999999999</v>
      </c>
      <c r="DP21" s="279">
        <v>263.84829999999999</v>
      </c>
      <c r="DQ21" s="279">
        <v>263.7792</v>
      </c>
      <c r="DR21" s="279">
        <v>263.62099999999998</v>
      </c>
      <c r="DS21" s="279">
        <v>263.31119999999999</v>
      </c>
      <c r="DT21" s="279">
        <v>263.33089999999999</v>
      </c>
      <c r="DU21" s="279">
        <v>263.34899999999999</v>
      </c>
      <c r="DV21" s="279">
        <v>263.70229999999998</v>
      </c>
      <c r="DW21" s="279">
        <v>263.43009999999998</v>
      </c>
      <c r="DX21" s="279">
        <v>263.61520000000002</v>
      </c>
      <c r="DY21" s="279">
        <v>263.45499999999998</v>
      </c>
      <c r="DZ21" s="279">
        <v>263.50360000000001</v>
      </c>
      <c r="EA21" s="279">
        <v>263.54599999999999</v>
      </c>
      <c r="EB21" s="191">
        <v>263.39870000000002</v>
      </c>
      <c r="EC21" s="279">
        <v>263.38589999999999</v>
      </c>
      <c r="ED21" s="279">
        <v>263.428</v>
      </c>
      <c r="EE21" s="279">
        <v>263.45510000000002</v>
      </c>
      <c r="EF21" s="279">
        <v>263.35950000000003</v>
      </c>
      <c r="EG21" s="279">
        <v>263.3503</v>
      </c>
      <c r="EH21" s="279">
        <v>263.238</v>
      </c>
      <c r="EI21" s="279">
        <v>263.26949999999999</v>
      </c>
      <c r="EJ21" s="279">
        <v>262.87549999999999</v>
      </c>
      <c r="EK21" s="279">
        <v>263.18169999999998</v>
      </c>
      <c r="EL21" s="279">
        <v>263.0299</v>
      </c>
      <c r="EM21" s="279">
        <v>263.08370000000002</v>
      </c>
      <c r="EN21" s="279">
        <v>263.17329999999998</v>
      </c>
      <c r="EO21" s="279">
        <v>263.08109999999999</v>
      </c>
      <c r="EP21" s="279">
        <v>262.77629999999999</v>
      </c>
      <c r="EQ21" s="279">
        <v>262.77030000000002</v>
      </c>
      <c r="ER21" s="191">
        <v>262.7688</v>
      </c>
      <c r="ES21" s="191">
        <v>262.8</v>
      </c>
      <c r="ET21" s="191">
        <v>262.81979999999999</v>
      </c>
      <c r="EU21" s="191">
        <v>263.30349999999999</v>
      </c>
      <c r="EV21" s="278">
        <v>262.03019999999998</v>
      </c>
      <c r="EW21" s="278">
        <v>262.58859999999999</v>
      </c>
      <c r="EX21" s="191"/>
      <c r="EY21" s="191"/>
    </row>
    <row r="22" spans="1:155" ht="45" customHeight="1" x14ac:dyDescent="0.45">
      <c r="A22" s="277">
        <v>105</v>
      </c>
      <c r="B22" s="191"/>
      <c r="C22" s="191"/>
      <c r="D22" s="191"/>
      <c r="E22" s="191"/>
      <c r="F22" s="191"/>
      <c r="G22" s="191"/>
      <c r="H22" s="191"/>
      <c r="I22" s="191"/>
      <c r="J22" s="191"/>
      <c r="K22" s="191"/>
      <c r="L22" s="191"/>
      <c r="M22" s="191"/>
      <c r="N22" s="191"/>
      <c r="O22" s="191"/>
      <c r="P22" s="191"/>
      <c r="Q22" s="191"/>
      <c r="R22" s="191"/>
      <c r="S22" s="191"/>
      <c r="T22" s="191"/>
      <c r="U22" s="191"/>
      <c r="V22" s="191"/>
      <c r="W22" s="191"/>
      <c r="X22" s="191"/>
      <c r="Y22" s="191"/>
      <c r="Z22" s="191"/>
      <c r="AA22" s="191"/>
      <c r="AB22" s="191"/>
      <c r="AC22" s="191"/>
      <c r="AD22" s="191"/>
      <c r="AE22" s="191"/>
      <c r="AF22" s="191"/>
      <c r="AG22" s="191"/>
      <c r="AH22" s="191"/>
      <c r="AI22" s="191"/>
      <c r="AJ22" s="191"/>
      <c r="AK22" s="191"/>
      <c r="AL22" s="191"/>
      <c r="AM22" s="191"/>
      <c r="AN22" s="191"/>
      <c r="AO22" s="191"/>
      <c r="AP22" s="191"/>
      <c r="AQ22" s="191"/>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N22" s="191"/>
      <c r="BO22" s="191"/>
      <c r="BP22" s="191"/>
      <c r="BQ22" s="191"/>
      <c r="BR22" s="191"/>
      <c r="BS22" s="191"/>
      <c r="BT22" s="191"/>
      <c r="BU22" s="191"/>
      <c r="BV22" s="191"/>
      <c r="BW22" s="191"/>
      <c r="BX22" s="191"/>
      <c r="BY22" s="191"/>
      <c r="BZ22" s="191"/>
      <c r="CA22" s="191"/>
      <c r="CB22" s="191"/>
      <c r="CC22" s="191"/>
      <c r="CD22" s="191"/>
      <c r="CE22" s="191"/>
      <c r="CF22" s="191"/>
      <c r="CG22" s="278">
        <v>264.10570000000001</v>
      </c>
      <c r="CH22" s="278">
        <v>263.78100000000001</v>
      </c>
      <c r="CI22" s="191">
        <v>264.67090000000002</v>
      </c>
      <c r="CJ22" s="191">
        <v>264.20859999999999</v>
      </c>
      <c r="CK22" s="191">
        <v>263.89839999999998</v>
      </c>
      <c r="CL22" s="191">
        <v>263.8725</v>
      </c>
      <c r="CM22" s="191">
        <v>263.85059999999999</v>
      </c>
      <c r="CN22" s="191">
        <v>263.82639999999998</v>
      </c>
      <c r="CO22" s="191">
        <v>263.80329999999998</v>
      </c>
      <c r="CP22" s="191">
        <v>264.00549999999998</v>
      </c>
      <c r="CQ22" s="191">
        <v>263.87259999999998</v>
      </c>
      <c r="CR22" s="191">
        <v>263.80079999999998</v>
      </c>
      <c r="CS22" s="278">
        <v>263.74079999999998</v>
      </c>
      <c r="CT22" s="191"/>
      <c r="CU22" s="191"/>
      <c r="CV22" s="191"/>
      <c r="CW22" s="191"/>
      <c r="CX22" s="191"/>
      <c r="CY22" s="191"/>
      <c r="CZ22" s="191"/>
      <c r="DA22" s="191"/>
      <c r="DB22" s="278">
        <v>263.74439999999998</v>
      </c>
      <c r="DC22" s="191">
        <v>263.87380000000002</v>
      </c>
      <c r="DD22" s="191">
        <v>263.92669999999998</v>
      </c>
      <c r="DE22" s="191">
        <v>263.9796</v>
      </c>
      <c r="DF22" s="191">
        <v>263.94600000000003</v>
      </c>
      <c r="DG22" s="191">
        <v>263.90260000000001</v>
      </c>
      <c r="DH22" s="191">
        <v>263.99810000000002</v>
      </c>
      <c r="DI22" s="191">
        <v>263.90589999999997</v>
      </c>
      <c r="DJ22" s="279">
        <v>263.80360000000002</v>
      </c>
      <c r="DK22" s="191">
        <v>263.8032</v>
      </c>
      <c r="DL22" s="191">
        <v>263.89929999999998</v>
      </c>
      <c r="DM22" s="191">
        <v>263.93130000000002</v>
      </c>
      <c r="DN22" s="191">
        <v>263.79969999999997</v>
      </c>
      <c r="DO22" s="191">
        <v>263.84660000000002</v>
      </c>
      <c r="DP22" s="191">
        <v>263.82859999999999</v>
      </c>
      <c r="DQ22" s="191">
        <v>263.72609999999997</v>
      </c>
      <c r="DR22" s="191">
        <v>263.72199999999998</v>
      </c>
      <c r="DS22" s="191">
        <v>263.56760000000003</v>
      </c>
      <c r="DT22" s="191">
        <v>263.64280000000002</v>
      </c>
      <c r="DU22" s="191">
        <v>263.6789</v>
      </c>
      <c r="DV22" s="191">
        <v>263.50799999999998</v>
      </c>
      <c r="DW22" s="191">
        <v>263.12729999999999</v>
      </c>
      <c r="DX22" s="191">
        <v>263.63060000000002</v>
      </c>
      <c r="DY22" s="191">
        <v>263.41480000000001</v>
      </c>
      <c r="DZ22" s="191">
        <v>263.38979999999998</v>
      </c>
      <c r="EA22" s="279">
        <v>263.48849999999999</v>
      </c>
      <c r="EB22" s="191">
        <v>263.3152</v>
      </c>
      <c r="EC22" s="279">
        <v>263.11700000000002</v>
      </c>
      <c r="ED22" s="191">
        <v>263.36779999999999</v>
      </c>
      <c r="EE22" s="191">
        <v>263.40030000000002</v>
      </c>
      <c r="EF22" s="191">
        <v>263.18830000000003</v>
      </c>
      <c r="EG22" s="191">
        <v>263.37189999999998</v>
      </c>
      <c r="EH22" s="191">
        <v>263.1157</v>
      </c>
      <c r="EI22" s="191">
        <v>263.08350000000002</v>
      </c>
      <c r="EJ22" s="191">
        <v>262.96899999999999</v>
      </c>
      <c r="EK22" s="191">
        <v>262.90609999999998</v>
      </c>
      <c r="EL22" s="191">
        <v>262.78120000000001</v>
      </c>
      <c r="EM22" s="191">
        <v>262.92869999999999</v>
      </c>
      <c r="EN22" s="191">
        <v>262.9991</v>
      </c>
      <c r="EO22" s="191">
        <v>262.94330000000002</v>
      </c>
      <c r="EP22" s="191">
        <v>262.76130000000001</v>
      </c>
      <c r="EQ22" s="191">
        <v>262.77</v>
      </c>
      <c r="ER22" s="279">
        <v>262.75599999999997</v>
      </c>
      <c r="ES22" s="279">
        <v>262.76510000000002</v>
      </c>
      <c r="ET22" s="279">
        <v>262.77999999999997</v>
      </c>
      <c r="EU22" s="279">
        <v>263.0274</v>
      </c>
      <c r="EV22" s="191">
        <v>263.06880000000001</v>
      </c>
      <c r="EW22" s="191">
        <v>263.25990000000002</v>
      </c>
      <c r="EX22" s="278">
        <v>263.50400000000002</v>
      </c>
      <c r="EY22" s="278">
        <v>262.80880000000002</v>
      </c>
    </row>
    <row r="23" spans="1:155" ht="45" customHeight="1" x14ac:dyDescent="0.45">
      <c r="A23" s="277">
        <v>110</v>
      </c>
      <c r="B23" s="191"/>
      <c r="C23" s="191"/>
      <c r="D23" s="191"/>
      <c r="E23" s="191"/>
      <c r="F23" s="191"/>
      <c r="G23" s="191"/>
      <c r="H23" s="191"/>
      <c r="I23" s="191"/>
      <c r="J23" s="191"/>
      <c r="K23" s="191"/>
      <c r="L23" s="191"/>
      <c r="M23" s="191"/>
      <c r="N23" s="191"/>
      <c r="O23" s="191"/>
      <c r="P23" s="191"/>
      <c r="Q23" s="191"/>
      <c r="R23" s="191"/>
      <c r="S23" s="191"/>
      <c r="T23" s="191"/>
      <c r="U23" s="191"/>
      <c r="V23" s="191"/>
      <c r="W23" s="191"/>
      <c r="X23" s="191"/>
      <c r="Y23" s="191"/>
      <c r="Z23" s="191"/>
      <c r="AA23" s="191"/>
      <c r="AB23" s="191"/>
      <c r="AC23" s="191"/>
      <c r="AD23" s="191"/>
      <c r="AE23" s="191"/>
      <c r="AF23" s="191"/>
      <c r="AG23" s="191"/>
      <c r="AH23" s="191"/>
      <c r="AI23" s="191"/>
      <c r="AJ23" s="191"/>
      <c r="AK23" s="191"/>
      <c r="AL23" s="191"/>
      <c r="AM23" s="191"/>
      <c r="AN23" s="191"/>
      <c r="AO23" s="191"/>
      <c r="AP23" s="191"/>
      <c r="AQ23" s="191"/>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N23" s="191"/>
      <c r="BO23" s="191"/>
      <c r="BP23" s="191"/>
      <c r="BQ23" s="191"/>
      <c r="BR23" s="191"/>
      <c r="BS23" s="191"/>
      <c r="BT23" s="191"/>
      <c r="BU23" s="191"/>
      <c r="BV23" s="191"/>
      <c r="BW23" s="191"/>
      <c r="BX23" s="191"/>
      <c r="BY23" s="191"/>
      <c r="BZ23" s="191"/>
      <c r="CA23" s="191"/>
      <c r="CB23" s="191"/>
      <c r="CC23" s="191"/>
      <c r="CD23" s="191"/>
      <c r="CE23" s="191"/>
      <c r="CF23" s="278">
        <v>263.43799999999999</v>
      </c>
      <c r="CG23" s="191">
        <v>264.61630000000002</v>
      </c>
      <c r="CH23" s="191">
        <v>264.24959999999999</v>
      </c>
      <c r="CI23" s="191">
        <v>264.24090000000001</v>
      </c>
      <c r="CJ23" s="191">
        <v>263.88959999999997</v>
      </c>
      <c r="CK23" s="191">
        <v>263.82049999999998</v>
      </c>
      <c r="CL23" s="191">
        <v>263.79340000000002</v>
      </c>
      <c r="CM23" s="191">
        <v>263.82380000000001</v>
      </c>
      <c r="CN23" s="191">
        <v>263.6902</v>
      </c>
      <c r="CO23" s="191">
        <v>263.71269999999998</v>
      </c>
      <c r="CP23" s="191">
        <v>263.88959999999997</v>
      </c>
      <c r="CQ23" s="191">
        <v>263.7473</v>
      </c>
      <c r="CR23" s="191">
        <v>263.71640000000002</v>
      </c>
      <c r="CS23" s="278">
        <v>263.80470000000003</v>
      </c>
      <c r="CT23" s="191"/>
      <c r="CU23" s="191"/>
      <c r="CV23" s="191"/>
      <c r="CW23" s="191"/>
      <c r="CX23" s="191"/>
      <c r="CY23" s="191"/>
      <c r="CZ23" s="191"/>
      <c r="DA23" s="191"/>
      <c r="DB23" s="278">
        <v>263.86770000000001</v>
      </c>
      <c r="DC23" s="191">
        <v>263.92439999999999</v>
      </c>
      <c r="DD23" s="191">
        <v>263.86669999999998</v>
      </c>
      <c r="DE23" s="191">
        <v>263.83819999999997</v>
      </c>
      <c r="DF23" s="191">
        <v>263.88569999999999</v>
      </c>
      <c r="DG23" s="191">
        <v>263.94110000000001</v>
      </c>
      <c r="DH23" s="191">
        <v>263.92399999999998</v>
      </c>
      <c r="DI23" s="191">
        <v>263.8612</v>
      </c>
      <c r="DJ23" s="279">
        <v>263.79340000000002</v>
      </c>
      <c r="DK23" s="191">
        <v>263.76650000000001</v>
      </c>
      <c r="DL23" s="191">
        <v>263.8297</v>
      </c>
      <c r="DM23" s="191">
        <v>263.77679999999998</v>
      </c>
      <c r="DN23" s="191">
        <v>263.70679999999999</v>
      </c>
      <c r="DO23" s="191">
        <v>263.24549999999999</v>
      </c>
      <c r="DP23" s="191">
        <v>263.21379999999999</v>
      </c>
      <c r="DQ23" s="191">
        <v>263.22840000000002</v>
      </c>
      <c r="DR23" s="191">
        <v>263.25290000000001</v>
      </c>
      <c r="DS23" s="191">
        <v>263.22039999999998</v>
      </c>
      <c r="DT23" s="191">
        <v>263.48559999999998</v>
      </c>
      <c r="DU23" s="191">
        <v>263.63729999999998</v>
      </c>
      <c r="DV23" s="191">
        <v>263.37259999999998</v>
      </c>
      <c r="DW23" s="191">
        <v>263.32530000000003</v>
      </c>
      <c r="DX23" s="191">
        <v>263.6146</v>
      </c>
      <c r="DY23" s="191">
        <v>263.42290000000003</v>
      </c>
      <c r="DZ23" s="191">
        <v>263.38249999999999</v>
      </c>
      <c r="EA23" s="279">
        <v>263.40350000000001</v>
      </c>
      <c r="EB23" s="191">
        <v>263.29790000000003</v>
      </c>
      <c r="EC23" s="279">
        <v>263.2167</v>
      </c>
      <c r="ED23" s="191">
        <v>263.24549999999999</v>
      </c>
      <c r="EE23" s="191">
        <v>263.18529999999998</v>
      </c>
      <c r="EF23" s="191">
        <v>263.26400000000001</v>
      </c>
      <c r="EG23" s="191">
        <v>263.1764</v>
      </c>
      <c r="EH23" s="191">
        <v>263.09230000000002</v>
      </c>
      <c r="EI23" s="191">
        <v>262.76069999999999</v>
      </c>
      <c r="EJ23" s="191">
        <v>263.17230000000001</v>
      </c>
      <c r="EK23" s="191">
        <v>263.11509999999998</v>
      </c>
      <c r="EL23" s="191">
        <v>263.1662</v>
      </c>
      <c r="EM23" s="191">
        <v>263.01420000000002</v>
      </c>
      <c r="EN23" s="191">
        <v>263.02080000000001</v>
      </c>
      <c r="EO23" s="191">
        <v>263.0718</v>
      </c>
      <c r="EP23" s="191">
        <v>263.03989999999999</v>
      </c>
      <c r="EQ23" s="191">
        <v>262.82920000000001</v>
      </c>
      <c r="ER23" s="191">
        <v>262.72320000000002</v>
      </c>
      <c r="ES23" s="191">
        <v>262.75959999999998</v>
      </c>
      <c r="ET23" s="191">
        <v>262.755</v>
      </c>
      <c r="EU23" s="279">
        <v>262.81610000000001</v>
      </c>
      <c r="EV23" s="191">
        <v>263.13600000000002</v>
      </c>
      <c r="EW23" s="191">
        <v>262.91039999999998</v>
      </c>
      <c r="EX23" s="191">
        <v>262.77390000000003</v>
      </c>
      <c r="EY23" s="278">
        <v>263.25259999999997</v>
      </c>
    </row>
    <row r="24" spans="1:155" ht="45" customHeight="1" x14ac:dyDescent="0.45">
      <c r="A24" s="277">
        <v>115</v>
      </c>
      <c r="B24" s="191"/>
      <c r="C24" s="191"/>
      <c r="D24" s="191"/>
      <c r="E24" s="191"/>
      <c r="F24" s="191"/>
      <c r="G24" s="191"/>
      <c r="H24" s="191"/>
      <c r="I24" s="191"/>
      <c r="J24" s="191"/>
      <c r="K24" s="191"/>
      <c r="L24" s="191"/>
      <c r="M24" s="191"/>
      <c r="N24" s="191"/>
      <c r="O24" s="191"/>
      <c r="P24" s="191"/>
      <c r="Q24" s="191"/>
      <c r="R24" s="191"/>
      <c r="S24" s="191"/>
      <c r="T24" s="191"/>
      <c r="U24" s="191"/>
      <c r="V24" s="191"/>
      <c r="W24" s="191"/>
      <c r="X24" s="191"/>
      <c r="Y24" s="191"/>
      <c r="Z24" s="191"/>
      <c r="AA24" s="191"/>
      <c r="AB24" s="191"/>
      <c r="AC24" s="191"/>
      <c r="AD24" s="191"/>
      <c r="AE24" s="191"/>
      <c r="AF24" s="191"/>
      <c r="AG24" s="191"/>
      <c r="AH24" s="191"/>
      <c r="AI24" s="191"/>
      <c r="AJ24" s="191"/>
      <c r="AK24" s="191"/>
      <c r="AL24" s="191"/>
      <c r="AM24" s="191"/>
      <c r="AN24" s="191"/>
      <c r="AO24" s="191"/>
      <c r="AP24" s="191"/>
      <c r="AQ24" s="191"/>
      <c r="AR24" s="191"/>
      <c r="AS24" s="191"/>
      <c r="AT24" s="191"/>
      <c r="AU24" s="191"/>
      <c r="AV24" s="191"/>
      <c r="AW24" s="191"/>
      <c r="AX24" s="191"/>
      <c r="AY24" s="191"/>
      <c r="AZ24" s="191"/>
      <c r="BA24" s="191"/>
      <c r="BB24" s="191"/>
      <c r="BC24" s="191"/>
      <c r="BD24" s="191"/>
      <c r="BE24" s="191"/>
      <c r="BF24" s="191"/>
      <c r="BG24" s="191"/>
      <c r="BH24" s="278">
        <v>264.55099999999999</v>
      </c>
      <c r="BI24" s="278">
        <v>264.21390000000002</v>
      </c>
      <c r="BJ24" s="278">
        <v>264.45949999999999</v>
      </c>
      <c r="BK24" s="278">
        <v>264.3032</v>
      </c>
      <c r="BL24" s="278">
        <v>263.74059999999997</v>
      </c>
      <c r="BM24" s="278">
        <v>263.73950000000002</v>
      </c>
      <c r="BN24" s="278">
        <v>263.72379999999998</v>
      </c>
      <c r="BO24" s="278">
        <v>264.24439999999998</v>
      </c>
      <c r="BP24" s="278">
        <v>264.63749999999999</v>
      </c>
      <c r="BQ24" s="278">
        <v>264.4366</v>
      </c>
      <c r="BR24" s="191"/>
      <c r="BS24" s="191"/>
      <c r="BT24" s="191"/>
      <c r="BU24" s="191"/>
      <c r="BV24" s="191"/>
      <c r="BW24" s="191"/>
      <c r="BX24" s="191"/>
      <c r="BY24" s="191"/>
      <c r="BZ24" s="191"/>
      <c r="CA24" s="191"/>
      <c r="CB24" s="191"/>
      <c r="CC24" s="191"/>
      <c r="CD24" s="191"/>
      <c r="CE24" s="278">
        <v>263.43520000000001</v>
      </c>
      <c r="CF24" s="191">
        <v>264.27460000000002</v>
      </c>
      <c r="CG24" s="279">
        <v>264.3349</v>
      </c>
      <c r="CH24" s="279">
        <v>264.17169999999999</v>
      </c>
      <c r="CI24" s="279">
        <v>263.69569999999999</v>
      </c>
      <c r="CJ24" s="279">
        <v>263.80790000000002</v>
      </c>
      <c r="CK24" s="279">
        <v>263.72710000000001</v>
      </c>
      <c r="CL24" s="279">
        <v>263.69290000000001</v>
      </c>
      <c r="CM24" s="279">
        <v>263.726</v>
      </c>
      <c r="CN24" s="279">
        <v>263.70979999999997</v>
      </c>
      <c r="CO24" s="191">
        <v>263.76920000000001</v>
      </c>
      <c r="CP24" s="191">
        <v>263.71629999999999</v>
      </c>
      <c r="CQ24" s="191">
        <v>263.7706</v>
      </c>
      <c r="CR24" s="191">
        <v>263.7516</v>
      </c>
      <c r="CS24" s="278">
        <v>263.5625</v>
      </c>
      <c r="CT24" s="278">
        <v>264.22070000000002</v>
      </c>
      <c r="CU24" s="278">
        <v>263.98039999999997</v>
      </c>
      <c r="CV24" s="278">
        <v>263.9348</v>
      </c>
      <c r="CW24" s="191"/>
      <c r="CX24" s="191"/>
      <c r="CY24" s="191"/>
      <c r="CZ24" s="191"/>
      <c r="DA24" s="191"/>
      <c r="DB24" s="278">
        <v>264.13380000000001</v>
      </c>
      <c r="DC24" s="191">
        <v>263.74889999999999</v>
      </c>
      <c r="DD24" s="191">
        <v>263.8331</v>
      </c>
      <c r="DE24" s="191">
        <v>263.79219999999998</v>
      </c>
      <c r="DF24" s="191">
        <v>263.85829999999999</v>
      </c>
      <c r="DG24" s="191">
        <v>263.92649999999998</v>
      </c>
      <c r="DH24" s="191">
        <v>263.93239999999997</v>
      </c>
      <c r="DI24" s="191">
        <v>263.90260000000001</v>
      </c>
      <c r="DJ24" s="279">
        <v>263.56610000000001</v>
      </c>
      <c r="DK24" s="191">
        <v>263.7276</v>
      </c>
      <c r="DL24" s="191">
        <v>263.39179999999999</v>
      </c>
      <c r="DM24" s="191">
        <v>263.286</v>
      </c>
      <c r="DN24" s="191">
        <v>263.75380000000001</v>
      </c>
      <c r="DO24" s="191">
        <v>263.59210000000002</v>
      </c>
      <c r="DP24" s="191">
        <v>263.49340000000001</v>
      </c>
      <c r="DQ24" s="191">
        <v>263.60640000000001</v>
      </c>
      <c r="DR24" s="191">
        <v>263.57240000000002</v>
      </c>
      <c r="DS24" s="191">
        <v>263.60919999999999</v>
      </c>
      <c r="DT24" s="191">
        <v>263.42360000000002</v>
      </c>
      <c r="DU24" s="191">
        <v>263.72719999999998</v>
      </c>
      <c r="DV24" s="191">
        <v>263.16800000000001</v>
      </c>
      <c r="DW24" s="191">
        <v>263.5421</v>
      </c>
      <c r="DX24" s="191">
        <v>263.55889999999999</v>
      </c>
      <c r="DY24" s="191">
        <v>263.35980000000001</v>
      </c>
      <c r="DZ24" s="191">
        <v>263.34219999999999</v>
      </c>
      <c r="EA24" s="279">
        <v>263.27</v>
      </c>
      <c r="EB24" s="191">
        <v>263.22199999999998</v>
      </c>
      <c r="EC24" s="279">
        <v>263.03390000000002</v>
      </c>
      <c r="ED24" s="191">
        <v>263.0403</v>
      </c>
      <c r="EE24" s="191">
        <v>263.0736</v>
      </c>
      <c r="EF24" s="191">
        <v>263.10700000000003</v>
      </c>
      <c r="EG24" s="191">
        <v>263.08409999999998</v>
      </c>
      <c r="EH24" s="191">
        <v>262.90769999999998</v>
      </c>
      <c r="EI24" s="191">
        <v>262.91230000000002</v>
      </c>
      <c r="EJ24" s="191">
        <v>263.0301</v>
      </c>
      <c r="EK24" s="191">
        <v>262.92869999999999</v>
      </c>
      <c r="EL24" s="191">
        <v>263.00889999999998</v>
      </c>
      <c r="EM24" s="191">
        <v>263.05169999999998</v>
      </c>
      <c r="EN24" s="191">
        <v>262.89229999999998</v>
      </c>
      <c r="EO24" s="191">
        <v>262.96929999999998</v>
      </c>
      <c r="EP24" s="191">
        <v>263.00490000000002</v>
      </c>
      <c r="EQ24" s="191">
        <v>262.77749999999997</v>
      </c>
      <c r="ER24" s="191">
        <v>262.8116</v>
      </c>
      <c r="ES24" s="191">
        <v>262.75850000000003</v>
      </c>
      <c r="ET24" s="191">
        <v>262.80399999999997</v>
      </c>
      <c r="EU24" s="279">
        <v>262.8766</v>
      </c>
      <c r="EV24" s="191">
        <v>262.94869999999997</v>
      </c>
      <c r="EW24" s="191">
        <v>262.82080000000002</v>
      </c>
      <c r="EX24" s="191">
        <v>262.75900000000001</v>
      </c>
      <c r="EY24" s="278">
        <v>263.49630000000002</v>
      </c>
    </row>
    <row r="25" spans="1:155" ht="45" customHeight="1" x14ac:dyDescent="0.45">
      <c r="A25" s="277">
        <v>120</v>
      </c>
      <c r="B25" s="191"/>
      <c r="C25" s="191"/>
      <c r="D25" s="191"/>
      <c r="E25" s="191"/>
      <c r="F25" s="191"/>
      <c r="G25" s="191"/>
      <c r="H25" s="191"/>
      <c r="I25" s="191"/>
      <c r="J25" s="191"/>
      <c r="K25" s="191"/>
      <c r="L25" s="191"/>
      <c r="M25" s="191"/>
      <c r="N25" s="191"/>
      <c r="O25" s="191"/>
      <c r="P25" s="191"/>
      <c r="Q25" s="191"/>
      <c r="R25" s="191"/>
      <c r="S25" s="191"/>
      <c r="T25" s="191"/>
      <c r="U25" s="191"/>
      <c r="V25" s="191"/>
      <c r="W25" s="191"/>
      <c r="X25" s="191"/>
      <c r="Y25" s="191"/>
      <c r="Z25" s="191"/>
      <c r="AA25" s="191"/>
      <c r="AB25" s="191"/>
      <c r="AC25" s="191"/>
      <c r="AD25" s="191"/>
      <c r="AE25" s="191"/>
      <c r="AF25" s="191"/>
      <c r="AG25" s="191"/>
      <c r="AH25" s="191"/>
      <c r="AI25" s="191"/>
      <c r="AJ25" s="191"/>
      <c r="AK25" s="191"/>
      <c r="AL25" s="191"/>
      <c r="AM25" s="191"/>
      <c r="AN25" s="191"/>
      <c r="AO25" s="191"/>
      <c r="AP25" s="191"/>
      <c r="AQ25" s="191"/>
      <c r="AR25" s="191"/>
      <c r="AS25" s="191"/>
      <c r="AT25" s="191"/>
      <c r="AU25" s="191"/>
      <c r="AV25" s="191"/>
      <c r="AW25" s="191"/>
      <c r="AX25" s="191"/>
      <c r="AY25" s="191"/>
      <c r="AZ25" s="191"/>
      <c r="BA25" s="278">
        <v>263.56139999999999</v>
      </c>
      <c r="BB25" s="278">
        <v>263.97859999999997</v>
      </c>
      <c r="BC25" s="278">
        <v>263.89580000000001</v>
      </c>
      <c r="BD25" s="278">
        <v>263.7054</v>
      </c>
      <c r="BE25" s="278">
        <v>264.18270000000001</v>
      </c>
      <c r="BF25" s="278">
        <v>264.23750000000001</v>
      </c>
      <c r="BG25" s="278">
        <v>264.7285</v>
      </c>
      <c r="BH25" s="191">
        <v>264.47269999999997</v>
      </c>
      <c r="BI25" s="191">
        <v>264.3485</v>
      </c>
      <c r="BJ25" s="191">
        <v>264.62040000000002</v>
      </c>
      <c r="BK25" s="191">
        <v>264.3381</v>
      </c>
      <c r="BL25" s="191">
        <v>264.24439999999998</v>
      </c>
      <c r="BM25" s="191">
        <v>264.31909999999999</v>
      </c>
      <c r="BN25" s="191">
        <v>264.25189999999998</v>
      </c>
      <c r="BO25" s="191">
        <v>264.49110000000002</v>
      </c>
      <c r="BP25" s="191">
        <v>264.42829999999998</v>
      </c>
      <c r="BQ25" s="191">
        <v>264.3426</v>
      </c>
      <c r="BR25" s="278">
        <v>263.8845</v>
      </c>
      <c r="BS25" s="278">
        <v>263.90179999999998</v>
      </c>
      <c r="BT25" s="278">
        <v>263.35820000000001</v>
      </c>
      <c r="BU25" s="278">
        <v>263.44029999999998</v>
      </c>
      <c r="BV25" s="191"/>
      <c r="BW25" s="191"/>
      <c r="BX25" s="191"/>
      <c r="BY25" s="191"/>
      <c r="BZ25" s="191"/>
      <c r="CA25" s="191"/>
      <c r="CB25" s="191"/>
      <c r="CC25" s="191"/>
      <c r="CD25" s="278">
        <v>263.27890000000002</v>
      </c>
      <c r="CE25" s="191">
        <v>264.34300000000002</v>
      </c>
      <c r="CF25" s="191">
        <v>264.20549999999997</v>
      </c>
      <c r="CG25" s="279">
        <v>264.14999999999998</v>
      </c>
      <c r="CH25" s="191">
        <v>263.66570000000002</v>
      </c>
      <c r="CI25" s="191">
        <v>263.80220000000003</v>
      </c>
      <c r="CJ25" s="191">
        <v>263.68220000000002</v>
      </c>
      <c r="CK25" s="191">
        <v>263.7022</v>
      </c>
      <c r="CL25" s="191">
        <v>263.64330000000001</v>
      </c>
      <c r="CM25" s="191">
        <v>263.7165</v>
      </c>
      <c r="CN25" s="279">
        <v>263.64690000000002</v>
      </c>
      <c r="CO25" s="191">
        <v>263.67840000000001</v>
      </c>
      <c r="CP25" s="191">
        <v>263.53070000000002</v>
      </c>
      <c r="CQ25" s="191">
        <v>263.72680000000003</v>
      </c>
      <c r="CR25" s="191">
        <v>263.78410000000002</v>
      </c>
      <c r="CS25" s="191">
        <v>263.55119999999999</v>
      </c>
      <c r="CT25" s="191">
        <v>264.00709999999998</v>
      </c>
      <c r="CU25" s="191">
        <v>264.02429999999998</v>
      </c>
      <c r="CV25" s="191">
        <v>264.00880000000001</v>
      </c>
      <c r="CW25" s="278">
        <v>264.08999999999997</v>
      </c>
      <c r="CX25" s="278">
        <v>263.97019999999998</v>
      </c>
      <c r="CY25" s="278">
        <v>264.02730000000003</v>
      </c>
      <c r="CZ25" s="278">
        <v>263.96589999999998</v>
      </c>
      <c r="DA25" s="278">
        <v>263.85660000000001</v>
      </c>
      <c r="DB25" s="191">
        <v>263.72199999999998</v>
      </c>
      <c r="DC25" s="191">
        <v>263.49549999999999</v>
      </c>
      <c r="DD25" s="191">
        <v>263.6123</v>
      </c>
      <c r="DE25" s="191">
        <v>263.48680000000002</v>
      </c>
      <c r="DF25" s="191">
        <v>263.28019999999998</v>
      </c>
      <c r="DG25" s="191">
        <v>263.30189999999999</v>
      </c>
      <c r="DH25" s="191">
        <v>263.35539999999997</v>
      </c>
      <c r="DI25" s="191">
        <v>263.51209999999998</v>
      </c>
      <c r="DJ25" s="279">
        <v>263.45960000000002</v>
      </c>
      <c r="DK25" s="191">
        <v>263.53820000000002</v>
      </c>
      <c r="DL25" s="191">
        <v>263.63220000000001</v>
      </c>
      <c r="DM25" s="191">
        <v>263.61619999999999</v>
      </c>
      <c r="DN25" s="191">
        <v>263.80369999999999</v>
      </c>
      <c r="DO25" s="191">
        <v>263.68520000000001</v>
      </c>
      <c r="DP25" s="191">
        <v>263.72489999999999</v>
      </c>
      <c r="DQ25" s="191">
        <v>263.78500000000003</v>
      </c>
      <c r="DR25" s="191">
        <v>263.59910000000002</v>
      </c>
      <c r="DS25" s="191">
        <v>263.39670000000001</v>
      </c>
      <c r="DT25" s="191">
        <v>263.45940000000002</v>
      </c>
      <c r="DU25" s="191">
        <v>263.28769999999997</v>
      </c>
      <c r="DV25" s="191">
        <v>263.0213</v>
      </c>
      <c r="DW25" s="191">
        <v>263.5197</v>
      </c>
      <c r="DX25" s="191">
        <v>263.23090000000002</v>
      </c>
      <c r="DY25" s="191">
        <v>263.37849999999997</v>
      </c>
      <c r="DZ25" s="191">
        <v>263.19490000000002</v>
      </c>
      <c r="EA25" s="279">
        <v>263.24029999999999</v>
      </c>
      <c r="EB25" s="191">
        <v>263.06909999999999</v>
      </c>
      <c r="EC25" s="279">
        <v>263.07929999999999</v>
      </c>
      <c r="ED25" s="191">
        <v>263.1001</v>
      </c>
      <c r="EE25" s="191">
        <v>263.06209999999999</v>
      </c>
      <c r="EF25" s="191">
        <v>263.08530000000002</v>
      </c>
      <c r="EG25" s="191">
        <v>262.92500000000001</v>
      </c>
      <c r="EH25" s="191">
        <v>262.97840000000002</v>
      </c>
      <c r="EI25" s="191">
        <v>262.90910000000002</v>
      </c>
      <c r="EJ25" s="191">
        <v>262.81580000000002</v>
      </c>
      <c r="EK25" s="191">
        <v>263.06189999999998</v>
      </c>
      <c r="EL25" s="191">
        <v>262.99099999999999</v>
      </c>
      <c r="EM25" s="191">
        <v>263.17430000000002</v>
      </c>
      <c r="EN25" s="191">
        <v>262.98880000000003</v>
      </c>
      <c r="EO25" s="191">
        <v>262.83600000000001</v>
      </c>
      <c r="EP25" s="191">
        <v>262.84379999999999</v>
      </c>
      <c r="EQ25" s="191">
        <v>262.76889999999997</v>
      </c>
      <c r="ER25" s="191">
        <v>262.78019999999998</v>
      </c>
      <c r="ES25" s="191">
        <v>262.79640000000001</v>
      </c>
      <c r="ET25" s="191">
        <v>262.77659999999997</v>
      </c>
      <c r="EU25" s="279">
        <v>262.78070000000002</v>
      </c>
      <c r="EV25" s="191">
        <v>262.98230000000001</v>
      </c>
      <c r="EW25" s="191">
        <v>262.73149999999998</v>
      </c>
      <c r="EX25" s="191">
        <v>262.73970000000003</v>
      </c>
      <c r="EY25" s="278">
        <v>263.18</v>
      </c>
    </row>
    <row r="26" spans="1:155" ht="45" customHeight="1" x14ac:dyDescent="0.45">
      <c r="A26" s="277">
        <v>125</v>
      </c>
      <c r="B26" s="191"/>
      <c r="C26" s="191"/>
      <c r="D26" s="191"/>
      <c r="E26" s="191"/>
      <c r="F26" s="191"/>
      <c r="G26" s="191"/>
      <c r="H26" s="191"/>
      <c r="I26" s="191"/>
      <c r="J26" s="191"/>
      <c r="K26" s="191"/>
      <c r="L26" s="191"/>
      <c r="M26" s="191"/>
      <c r="N26" s="191"/>
      <c r="O26" s="191"/>
      <c r="P26" s="191"/>
      <c r="Q26" s="191"/>
      <c r="R26" s="191"/>
      <c r="S26" s="191"/>
      <c r="T26" s="191"/>
      <c r="U26" s="191"/>
      <c r="V26" s="191"/>
      <c r="W26" s="191"/>
      <c r="X26" s="191"/>
      <c r="Y26" s="191"/>
      <c r="Z26" s="191"/>
      <c r="AA26" s="191"/>
      <c r="AB26" s="191"/>
      <c r="AC26" s="191"/>
      <c r="AD26" s="191"/>
      <c r="AE26" s="191"/>
      <c r="AF26" s="191"/>
      <c r="AG26" s="191"/>
      <c r="AH26" s="191"/>
      <c r="AI26" s="191"/>
      <c r="AJ26" s="191"/>
      <c r="AK26" s="191"/>
      <c r="AL26" s="191"/>
      <c r="AM26" s="191"/>
      <c r="AN26" s="191"/>
      <c r="AO26" s="191"/>
      <c r="AP26" s="191"/>
      <c r="AQ26" s="191"/>
      <c r="AR26" s="191"/>
      <c r="AS26" s="191"/>
      <c r="AT26" s="191"/>
      <c r="AU26" s="191"/>
      <c r="AV26" s="191"/>
      <c r="AW26" s="191"/>
      <c r="AX26" s="191"/>
      <c r="AY26" s="191"/>
      <c r="AZ26" s="191"/>
      <c r="BA26" s="278">
        <v>264.05470000000003</v>
      </c>
      <c r="BB26" s="191">
        <v>264.25310000000002</v>
      </c>
      <c r="BC26" s="191">
        <v>264.5625</v>
      </c>
      <c r="BD26" s="191">
        <v>264.44420000000002</v>
      </c>
      <c r="BE26" s="191">
        <v>264.38869999999997</v>
      </c>
      <c r="BF26" s="191">
        <v>264.4119</v>
      </c>
      <c r="BG26" s="191">
        <v>264.40699999999998</v>
      </c>
      <c r="BH26" s="191">
        <v>264.21640000000002</v>
      </c>
      <c r="BI26" s="191">
        <v>264.166</v>
      </c>
      <c r="BJ26" s="191">
        <v>264.26900000000001</v>
      </c>
      <c r="BK26" s="191">
        <v>264.20890000000003</v>
      </c>
      <c r="BL26" s="191">
        <v>263.99639999999999</v>
      </c>
      <c r="BM26" s="191">
        <v>264.04129999999998</v>
      </c>
      <c r="BN26" s="191">
        <v>263.96289999999999</v>
      </c>
      <c r="BO26" s="191">
        <v>263.96170000000001</v>
      </c>
      <c r="BP26" s="191">
        <v>264.02440000000001</v>
      </c>
      <c r="BQ26" s="191">
        <v>263.85219999999998</v>
      </c>
      <c r="BR26" s="191">
        <v>263.9966</v>
      </c>
      <c r="BS26" s="191">
        <v>264.0043</v>
      </c>
      <c r="BT26" s="191">
        <v>263.88029999999998</v>
      </c>
      <c r="BU26" s="191">
        <v>264.06720000000001</v>
      </c>
      <c r="BV26" s="278">
        <v>263.41520000000003</v>
      </c>
      <c r="BW26" s="191"/>
      <c r="BX26" s="191"/>
      <c r="BY26" s="191"/>
      <c r="BZ26" s="191"/>
      <c r="CA26" s="191"/>
      <c r="CB26" s="191"/>
      <c r="CC26" s="278">
        <v>263.32859999999999</v>
      </c>
      <c r="CD26" s="191">
        <v>264.1302</v>
      </c>
      <c r="CE26" s="191">
        <v>264.1773</v>
      </c>
      <c r="CF26" s="191">
        <v>263.70979999999997</v>
      </c>
      <c r="CG26" s="279">
        <v>263.56810000000002</v>
      </c>
      <c r="CH26" s="191">
        <v>263.82459999999998</v>
      </c>
      <c r="CI26" s="191">
        <v>263.73660000000001</v>
      </c>
      <c r="CJ26" s="191">
        <v>263.69880000000001</v>
      </c>
      <c r="CK26" s="191">
        <v>263.5403</v>
      </c>
      <c r="CL26" s="191">
        <v>263.55189999999999</v>
      </c>
      <c r="CM26" s="191">
        <v>263.65609999999998</v>
      </c>
      <c r="CN26" s="279">
        <v>263.64600000000002</v>
      </c>
      <c r="CO26" s="191">
        <v>263.5847</v>
      </c>
      <c r="CP26" s="191">
        <v>263.56920000000002</v>
      </c>
      <c r="CQ26" s="279">
        <v>263.67160000000001</v>
      </c>
      <c r="CR26" s="279">
        <v>263.73770000000002</v>
      </c>
      <c r="CS26" s="279">
        <v>263.75369999999998</v>
      </c>
      <c r="CT26" s="279">
        <v>263.476</v>
      </c>
      <c r="CU26" s="279">
        <v>263.53590000000003</v>
      </c>
      <c r="CV26" s="279">
        <v>263.52749999999997</v>
      </c>
      <c r="CW26" s="279">
        <v>263.47649999999999</v>
      </c>
      <c r="CX26" s="279">
        <v>263.42329999999998</v>
      </c>
      <c r="CY26" s="279">
        <v>263.37369999999999</v>
      </c>
      <c r="CZ26" s="279">
        <v>263.34249999999997</v>
      </c>
      <c r="DA26" s="279">
        <v>263.35109999999997</v>
      </c>
      <c r="DB26" s="279">
        <v>263.36720000000003</v>
      </c>
      <c r="DC26" s="279">
        <v>263.40589999999997</v>
      </c>
      <c r="DD26" s="279">
        <v>263.40620000000001</v>
      </c>
      <c r="DE26" s="279">
        <v>263.50670000000002</v>
      </c>
      <c r="DF26" s="279">
        <v>263.17180000000002</v>
      </c>
      <c r="DG26" s="279">
        <v>263.61540000000002</v>
      </c>
      <c r="DH26" s="279">
        <v>263.47059999999999</v>
      </c>
      <c r="DI26" s="191">
        <v>263.41750000000002</v>
      </c>
      <c r="DJ26" s="279">
        <v>263.53949999999998</v>
      </c>
      <c r="DK26" s="191">
        <v>263.55169999999998</v>
      </c>
      <c r="DL26" s="191">
        <v>263.39550000000003</v>
      </c>
      <c r="DM26" s="191">
        <v>263.65089999999998</v>
      </c>
      <c r="DN26" s="191">
        <v>263.77539999999999</v>
      </c>
      <c r="DO26" s="191">
        <v>263.60390000000001</v>
      </c>
      <c r="DP26" s="191">
        <v>263.2731</v>
      </c>
      <c r="DQ26" s="191">
        <v>263.90379999999999</v>
      </c>
      <c r="DR26" s="191">
        <v>263.36610000000002</v>
      </c>
      <c r="DS26" s="191">
        <v>262.96870000000001</v>
      </c>
      <c r="DT26" s="191">
        <v>263.37860000000001</v>
      </c>
      <c r="DU26" s="191">
        <v>263.25700000000001</v>
      </c>
      <c r="DV26" s="191">
        <v>263.28539999999998</v>
      </c>
      <c r="DW26" s="191">
        <v>263.52879999999999</v>
      </c>
      <c r="DX26" s="191">
        <v>263.25459999999998</v>
      </c>
      <c r="DY26" s="191">
        <v>263.45359999999999</v>
      </c>
      <c r="DZ26" s="191">
        <v>263.3193</v>
      </c>
      <c r="EA26" s="279">
        <v>263.14850000000001</v>
      </c>
      <c r="EB26" s="191">
        <v>263.05</v>
      </c>
      <c r="EC26" s="279">
        <v>263.03649999999999</v>
      </c>
      <c r="ED26" s="191">
        <v>263.10329999999999</v>
      </c>
      <c r="EE26" s="191">
        <v>262.97559999999999</v>
      </c>
      <c r="EF26" s="191">
        <v>262.93990000000002</v>
      </c>
      <c r="EG26" s="191">
        <v>262.91899999999998</v>
      </c>
      <c r="EH26" s="191">
        <v>263.0745</v>
      </c>
      <c r="EI26" s="191">
        <v>263.0532</v>
      </c>
      <c r="EJ26" s="191">
        <v>263.01459999999997</v>
      </c>
      <c r="EK26" s="191">
        <v>262.91930000000002</v>
      </c>
      <c r="EL26" s="191">
        <v>262.82330000000002</v>
      </c>
      <c r="EM26" s="191">
        <v>262.88150000000002</v>
      </c>
      <c r="EN26" s="191">
        <v>262.70299999999997</v>
      </c>
      <c r="EO26" s="191">
        <v>262.82510000000002</v>
      </c>
      <c r="EP26" s="191">
        <v>262.9194</v>
      </c>
      <c r="EQ26" s="191">
        <v>262.86470000000003</v>
      </c>
      <c r="ER26" s="191">
        <v>262.81299999999999</v>
      </c>
      <c r="ES26" s="191">
        <v>262.79450000000003</v>
      </c>
      <c r="ET26" s="191">
        <v>262.7654</v>
      </c>
      <c r="EU26" s="279">
        <v>262.86989999999997</v>
      </c>
      <c r="EV26" s="191">
        <v>263.01519999999999</v>
      </c>
      <c r="EW26" s="191">
        <v>262.72089999999997</v>
      </c>
      <c r="EX26" s="191">
        <v>262.71690000000001</v>
      </c>
      <c r="EY26" s="278">
        <v>262.83150000000001</v>
      </c>
    </row>
    <row r="27" spans="1:155" ht="45" customHeight="1" x14ac:dyDescent="0.45">
      <c r="A27" s="277">
        <v>130</v>
      </c>
      <c r="B27" s="191"/>
      <c r="C27" s="191"/>
      <c r="D27" s="191"/>
      <c r="E27" s="191"/>
      <c r="F27" s="191"/>
      <c r="G27" s="191"/>
      <c r="H27" s="191"/>
      <c r="I27" s="191"/>
      <c r="J27" s="191"/>
      <c r="K27" s="191"/>
      <c r="L27" s="191"/>
      <c r="M27" s="191"/>
      <c r="N27" s="191"/>
      <c r="O27" s="191"/>
      <c r="P27" s="191"/>
      <c r="Q27" s="191"/>
      <c r="R27" s="191"/>
      <c r="S27" s="191"/>
      <c r="T27" s="191"/>
      <c r="U27" s="191"/>
      <c r="V27" s="191"/>
      <c r="W27" s="191"/>
      <c r="X27" s="191"/>
      <c r="Y27" s="191"/>
      <c r="Z27" s="191"/>
      <c r="AA27" s="191"/>
      <c r="AB27" s="191"/>
      <c r="AC27" s="191"/>
      <c r="AD27" s="191"/>
      <c r="AE27" s="191"/>
      <c r="AF27" s="191"/>
      <c r="AG27" s="191"/>
      <c r="AH27" s="191"/>
      <c r="AI27" s="191"/>
      <c r="AJ27" s="191"/>
      <c r="AK27" s="191"/>
      <c r="AL27" s="191"/>
      <c r="AM27" s="191"/>
      <c r="AN27" s="191"/>
      <c r="AO27" s="191"/>
      <c r="AP27" s="191"/>
      <c r="AQ27" s="191"/>
      <c r="AR27" s="191"/>
      <c r="AS27" s="191"/>
      <c r="AT27" s="191"/>
      <c r="AU27" s="191"/>
      <c r="AV27" s="191"/>
      <c r="AW27" s="191"/>
      <c r="AX27" s="191"/>
      <c r="AY27" s="191"/>
      <c r="AZ27" s="191"/>
      <c r="BA27" s="278">
        <v>264.02330000000001</v>
      </c>
      <c r="BB27" s="279">
        <v>264.41730000000001</v>
      </c>
      <c r="BC27" s="279">
        <v>264.22559999999999</v>
      </c>
      <c r="BD27" s="279">
        <v>264.34679999999997</v>
      </c>
      <c r="BE27" s="279">
        <v>264.41269999999997</v>
      </c>
      <c r="BF27" s="279">
        <v>264.37360000000001</v>
      </c>
      <c r="BG27" s="279">
        <v>264.39769999999999</v>
      </c>
      <c r="BH27" s="279">
        <v>264.43130000000002</v>
      </c>
      <c r="BI27" s="279">
        <v>264.33530000000002</v>
      </c>
      <c r="BJ27" s="279">
        <v>264.18740000000003</v>
      </c>
      <c r="BK27" s="279">
        <v>264.1472</v>
      </c>
      <c r="BL27" s="279">
        <v>264.06549999999999</v>
      </c>
      <c r="BM27" s="279">
        <v>264.01780000000002</v>
      </c>
      <c r="BN27" s="279">
        <v>264.02820000000003</v>
      </c>
      <c r="BO27" s="279">
        <v>264.0788</v>
      </c>
      <c r="BP27" s="279">
        <v>263.94549999999998</v>
      </c>
      <c r="BQ27" s="279">
        <v>263.863</v>
      </c>
      <c r="BR27" s="279">
        <v>263.97710000000001</v>
      </c>
      <c r="BS27" s="279">
        <v>263.97239999999999</v>
      </c>
      <c r="BT27" s="279">
        <v>263.84359999999998</v>
      </c>
      <c r="BU27" s="279">
        <v>263.79790000000003</v>
      </c>
      <c r="BV27" s="191">
        <v>264.01280000000003</v>
      </c>
      <c r="BW27" s="278">
        <v>263.69760000000002</v>
      </c>
      <c r="BX27" s="278">
        <v>263.95999999999998</v>
      </c>
      <c r="BY27" s="191"/>
      <c r="BZ27" s="191"/>
      <c r="CA27" s="191"/>
      <c r="CB27" s="278">
        <v>263.62189999999998</v>
      </c>
      <c r="CC27" s="191">
        <v>263.61759999999998</v>
      </c>
      <c r="CD27" s="191">
        <v>263.70460000000003</v>
      </c>
      <c r="CE27" s="191">
        <v>263.64800000000002</v>
      </c>
      <c r="CF27" s="191">
        <v>263.79349999999999</v>
      </c>
      <c r="CG27" s="279">
        <v>263.96109999999999</v>
      </c>
      <c r="CH27" s="191">
        <v>263.84690000000001</v>
      </c>
      <c r="CI27" s="191">
        <v>263.74950000000001</v>
      </c>
      <c r="CJ27" s="191">
        <v>263.72000000000003</v>
      </c>
      <c r="CK27" s="191">
        <v>263.43720000000002</v>
      </c>
      <c r="CL27" s="191">
        <v>263.47989999999999</v>
      </c>
      <c r="CM27" s="191">
        <v>263.56709999999998</v>
      </c>
      <c r="CN27" s="279">
        <v>263.52170000000001</v>
      </c>
      <c r="CO27" s="191">
        <v>263.5684</v>
      </c>
      <c r="CP27" s="191">
        <v>263.55169999999998</v>
      </c>
      <c r="CQ27" s="279">
        <v>263.60379999999998</v>
      </c>
      <c r="CR27" s="191">
        <v>263.52969999999999</v>
      </c>
      <c r="CS27" s="191">
        <v>263.62290000000002</v>
      </c>
      <c r="CT27" s="191">
        <v>263.59359999999998</v>
      </c>
      <c r="CU27" s="191">
        <v>263.63479999999998</v>
      </c>
      <c r="CV27" s="191">
        <v>263.75970000000001</v>
      </c>
      <c r="CW27" s="191">
        <v>263.60399999999998</v>
      </c>
      <c r="CX27" s="191">
        <v>263.55759999999998</v>
      </c>
      <c r="CY27" s="191">
        <v>263.38010000000003</v>
      </c>
      <c r="CZ27" s="191">
        <v>263.38</v>
      </c>
      <c r="DA27" s="191">
        <v>263.3537</v>
      </c>
      <c r="DB27" s="191">
        <v>263.32569999999998</v>
      </c>
      <c r="DC27" s="191">
        <v>263.39229999999998</v>
      </c>
      <c r="DD27" s="191">
        <v>263.1936</v>
      </c>
      <c r="DE27" s="191">
        <v>263.26499999999999</v>
      </c>
      <c r="DF27" s="191">
        <v>263.2647</v>
      </c>
      <c r="DG27" s="191">
        <v>263.30919999999998</v>
      </c>
      <c r="DH27" s="279">
        <v>263.17700000000002</v>
      </c>
      <c r="DI27" s="191">
        <v>263.11320000000001</v>
      </c>
      <c r="DJ27" s="279">
        <v>263.20370000000003</v>
      </c>
      <c r="DK27" s="191">
        <v>263.23590000000002</v>
      </c>
      <c r="DL27" s="191">
        <v>263.17860000000002</v>
      </c>
      <c r="DM27" s="191">
        <v>263.22710000000001</v>
      </c>
      <c r="DN27" s="191">
        <v>263.37509999999997</v>
      </c>
      <c r="DO27" s="191">
        <v>263.4375</v>
      </c>
      <c r="DP27" s="191">
        <v>263.43189999999998</v>
      </c>
      <c r="DQ27" s="191">
        <v>263.52449999999999</v>
      </c>
      <c r="DR27" s="191">
        <v>263.55529999999999</v>
      </c>
      <c r="DS27" s="191">
        <v>263.56220000000002</v>
      </c>
      <c r="DT27" s="191">
        <v>263.10789999999997</v>
      </c>
      <c r="DU27" s="191">
        <v>263.4325</v>
      </c>
      <c r="DV27" s="191">
        <v>263.43270000000001</v>
      </c>
      <c r="DW27" s="191">
        <v>263.39690000000002</v>
      </c>
      <c r="DX27" s="191">
        <v>263.46499999999997</v>
      </c>
      <c r="DY27" s="191">
        <v>263.34469999999999</v>
      </c>
      <c r="DZ27" s="191">
        <v>263.2373</v>
      </c>
      <c r="EA27" s="279">
        <v>263.26089999999999</v>
      </c>
      <c r="EB27" s="191">
        <v>262.86790000000002</v>
      </c>
      <c r="EC27" s="279">
        <v>262.9529</v>
      </c>
      <c r="ED27" s="191">
        <v>263.09710000000001</v>
      </c>
      <c r="EE27" s="191">
        <v>263.01729999999998</v>
      </c>
      <c r="EF27" s="191">
        <v>262.8202</v>
      </c>
      <c r="EG27" s="191">
        <v>262.97469999999998</v>
      </c>
      <c r="EH27" s="191">
        <v>263.14830000000001</v>
      </c>
      <c r="EI27" s="191">
        <v>262.9837</v>
      </c>
      <c r="EJ27" s="191">
        <v>262.95319999999998</v>
      </c>
      <c r="EK27" s="191">
        <v>262.89</v>
      </c>
      <c r="EL27" s="191">
        <v>262.78219999999999</v>
      </c>
      <c r="EM27" s="191">
        <v>262.76519999999999</v>
      </c>
      <c r="EN27" s="191">
        <v>262.73950000000002</v>
      </c>
      <c r="EO27" s="191">
        <v>262.76400000000001</v>
      </c>
      <c r="EP27" s="191">
        <v>262.75830000000002</v>
      </c>
      <c r="EQ27" s="191">
        <v>262.68119999999999</v>
      </c>
      <c r="ER27" s="191">
        <v>262.69869999999997</v>
      </c>
      <c r="ES27" s="191">
        <v>262.75839999999999</v>
      </c>
      <c r="ET27" s="191">
        <v>262.76990000000001</v>
      </c>
      <c r="EU27" s="279">
        <v>262.90280000000001</v>
      </c>
      <c r="EV27" s="191">
        <v>262.98540000000003</v>
      </c>
      <c r="EW27" s="191">
        <v>262.83789999999999</v>
      </c>
      <c r="EX27" s="278">
        <v>262.71640000000002</v>
      </c>
      <c r="EY27" s="191"/>
    </row>
    <row r="28" spans="1:155" ht="45" customHeight="1" x14ac:dyDescent="0.45">
      <c r="A28" s="277">
        <v>135</v>
      </c>
      <c r="B28" s="191"/>
      <c r="C28" s="191"/>
      <c r="D28" s="191"/>
      <c r="E28" s="191"/>
      <c r="F28" s="191"/>
      <c r="G28" s="191"/>
      <c r="H28" s="191"/>
      <c r="I28" s="191"/>
      <c r="J28" s="191"/>
      <c r="K28" s="191"/>
      <c r="L28" s="191"/>
      <c r="M28" s="191"/>
      <c r="N28" s="191"/>
      <c r="O28" s="191"/>
      <c r="P28" s="191"/>
      <c r="Q28" s="191"/>
      <c r="R28" s="191"/>
      <c r="S28" s="191"/>
      <c r="T28" s="191"/>
      <c r="U28" s="191"/>
      <c r="V28" s="191"/>
      <c r="W28" s="191"/>
      <c r="X28" s="191"/>
      <c r="Y28" s="191"/>
      <c r="Z28" s="191"/>
      <c r="AA28" s="191"/>
      <c r="AB28" s="191"/>
      <c r="AC28" s="191"/>
      <c r="AD28" s="191"/>
      <c r="AE28" s="191"/>
      <c r="AF28" s="191"/>
      <c r="AG28" s="191"/>
      <c r="AH28" s="191"/>
      <c r="AI28" s="191"/>
      <c r="AJ28" s="191"/>
      <c r="AK28" s="191"/>
      <c r="AL28" s="191"/>
      <c r="AM28" s="191"/>
      <c r="AN28" s="191"/>
      <c r="AO28" s="191"/>
      <c r="AP28" s="191"/>
      <c r="AQ28" s="191"/>
      <c r="AR28" s="191"/>
      <c r="AS28" s="191"/>
      <c r="AT28" s="191"/>
      <c r="AU28" s="191"/>
      <c r="AV28" s="191"/>
      <c r="AW28" s="191"/>
      <c r="AX28" s="191"/>
      <c r="AY28" s="191"/>
      <c r="AZ28" s="191"/>
      <c r="BA28" s="278">
        <v>264.1891</v>
      </c>
      <c r="BB28" s="279">
        <v>264.9588</v>
      </c>
      <c r="BC28" s="191">
        <v>264.3417</v>
      </c>
      <c r="BD28" s="191">
        <v>264.40899999999999</v>
      </c>
      <c r="BE28" s="191">
        <v>264.30970000000002</v>
      </c>
      <c r="BF28" s="191">
        <v>264.471</v>
      </c>
      <c r="BG28" s="191">
        <v>264.35820000000001</v>
      </c>
      <c r="BH28" s="191">
        <v>264.38470000000001</v>
      </c>
      <c r="BI28" s="191">
        <v>264.23899999999998</v>
      </c>
      <c r="BJ28" s="191">
        <v>264.24439999999998</v>
      </c>
      <c r="BK28" s="191">
        <v>264.22820000000002</v>
      </c>
      <c r="BL28" s="191">
        <v>264.12479999999999</v>
      </c>
      <c r="BM28" s="191">
        <v>264.00830000000002</v>
      </c>
      <c r="BN28" s="191">
        <v>264.00380000000001</v>
      </c>
      <c r="BO28" s="191">
        <v>263.86489999999998</v>
      </c>
      <c r="BP28" s="191">
        <v>263.77019999999999</v>
      </c>
      <c r="BQ28" s="191">
        <v>263.8261</v>
      </c>
      <c r="BR28" s="191">
        <v>263.90839999999997</v>
      </c>
      <c r="BS28" s="191">
        <v>263.87299999999999</v>
      </c>
      <c r="BT28" s="191">
        <v>263.93049999999999</v>
      </c>
      <c r="BU28" s="279">
        <v>263.81490000000002</v>
      </c>
      <c r="BV28" s="191">
        <v>263.98939999999999</v>
      </c>
      <c r="BW28" s="191">
        <v>263.99299999999999</v>
      </c>
      <c r="BX28" s="191">
        <v>264.09769999999997</v>
      </c>
      <c r="BY28" s="278">
        <v>263.94209999999998</v>
      </c>
      <c r="BZ28" s="278">
        <v>263.4436</v>
      </c>
      <c r="CA28" s="278">
        <v>263.34390000000002</v>
      </c>
      <c r="CB28" s="191">
        <v>263.64359999999999</v>
      </c>
      <c r="CC28" s="191">
        <v>263.73700000000002</v>
      </c>
      <c r="CD28" s="191">
        <v>263.66989999999998</v>
      </c>
      <c r="CE28" s="191">
        <v>263.85210000000001</v>
      </c>
      <c r="CF28" s="191">
        <v>263.85199999999998</v>
      </c>
      <c r="CG28" s="279">
        <v>263.98820000000001</v>
      </c>
      <c r="CH28" s="191">
        <v>263.79199999999997</v>
      </c>
      <c r="CI28" s="191">
        <v>263.65550000000002</v>
      </c>
      <c r="CJ28" s="191">
        <v>263.61939999999998</v>
      </c>
      <c r="CK28" s="191">
        <v>263.4443</v>
      </c>
      <c r="CL28" s="191">
        <v>263.42489999999998</v>
      </c>
      <c r="CM28" s="191">
        <v>263.48140000000001</v>
      </c>
      <c r="CN28" s="279">
        <v>263.65820000000002</v>
      </c>
      <c r="CO28" s="191">
        <v>263.59469999999999</v>
      </c>
      <c r="CP28" s="191">
        <v>263.58670000000001</v>
      </c>
      <c r="CQ28" s="279">
        <v>263.50529999999998</v>
      </c>
      <c r="CR28" s="191">
        <v>263.50310000000002</v>
      </c>
      <c r="CS28" s="191">
        <v>263.41460000000001</v>
      </c>
      <c r="CT28" s="191">
        <v>263.46559999999999</v>
      </c>
      <c r="CU28" s="191">
        <v>263.42970000000003</v>
      </c>
      <c r="CV28" s="191">
        <v>263.4513</v>
      </c>
      <c r="CW28" s="191">
        <v>263.49759999999998</v>
      </c>
      <c r="CX28" s="191">
        <v>263.61849999999998</v>
      </c>
      <c r="CY28" s="191">
        <v>263.42610000000002</v>
      </c>
      <c r="CZ28" s="191">
        <v>263.56</v>
      </c>
      <c r="DA28" s="191">
        <v>263.31580000000002</v>
      </c>
      <c r="DB28" s="191">
        <v>263.63170000000002</v>
      </c>
      <c r="DC28" s="191">
        <v>263.4726</v>
      </c>
      <c r="DD28" s="191">
        <v>263.52879999999999</v>
      </c>
      <c r="DE28" s="191">
        <v>263.4785</v>
      </c>
      <c r="DF28" s="191">
        <v>263.29050000000001</v>
      </c>
      <c r="DG28" s="191">
        <v>263.22489999999999</v>
      </c>
      <c r="DH28" s="279">
        <v>263.18990000000002</v>
      </c>
      <c r="DI28" s="191">
        <v>263.11959999999999</v>
      </c>
      <c r="DJ28" s="279">
        <v>263.20609999999999</v>
      </c>
      <c r="DK28" s="191">
        <v>263.1696</v>
      </c>
      <c r="DL28" s="191">
        <v>263.18169999999998</v>
      </c>
      <c r="DM28" s="191">
        <v>263.08679999999998</v>
      </c>
      <c r="DN28" s="191">
        <v>263.37450000000001</v>
      </c>
      <c r="DO28" s="191">
        <v>263.32859999999999</v>
      </c>
      <c r="DP28" s="191">
        <v>263.3621</v>
      </c>
      <c r="DQ28" s="191">
        <v>263.41180000000003</v>
      </c>
      <c r="DR28" s="191">
        <v>263.45549999999997</v>
      </c>
      <c r="DS28" s="191">
        <v>263.55189999999999</v>
      </c>
      <c r="DT28" s="191">
        <v>263.1343</v>
      </c>
      <c r="DU28" s="191">
        <v>263.49689999999998</v>
      </c>
      <c r="DV28" s="191">
        <v>263.53190000000001</v>
      </c>
      <c r="DW28" s="191">
        <v>263.50959999999998</v>
      </c>
      <c r="DX28" s="191">
        <v>263.46690000000001</v>
      </c>
      <c r="DY28" s="191">
        <v>263.45330000000001</v>
      </c>
      <c r="DZ28" s="191">
        <v>263.31909999999999</v>
      </c>
      <c r="EA28" s="279">
        <v>263.21019999999999</v>
      </c>
      <c r="EB28" s="191">
        <v>263.17930000000001</v>
      </c>
      <c r="EC28" s="279">
        <v>263.10120000000001</v>
      </c>
      <c r="ED28" s="191">
        <v>263.08980000000003</v>
      </c>
      <c r="EE28" s="191">
        <v>262.75099999999998</v>
      </c>
      <c r="EF28" s="191">
        <v>263.17759999999998</v>
      </c>
      <c r="EG28" s="191">
        <v>263.16129999999998</v>
      </c>
      <c r="EH28" s="191">
        <v>263.12889999999999</v>
      </c>
      <c r="EI28" s="191">
        <v>263.05070000000001</v>
      </c>
      <c r="EJ28" s="191">
        <v>262.95</v>
      </c>
      <c r="EK28" s="191">
        <v>262.96510000000001</v>
      </c>
      <c r="EL28" s="191">
        <v>262.96480000000003</v>
      </c>
      <c r="EM28" s="191">
        <v>263.01609999999999</v>
      </c>
      <c r="EN28" s="191">
        <v>262.85820000000001</v>
      </c>
      <c r="EO28" s="191">
        <v>262.76760000000002</v>
      </c>
      <c r="EP28" s="191">
        <v>262.72559999999999</v>
      </c>
      <c r="EQ28" s="191">
        <v>262.69549999999998</v>
      </c>
      <c r="ER28" s="191">
        <v>262.69200000000001</v>
      </c>
      <c r="ES28" s="191">
        <v>262.70350000000002</v>
      </c>
      <c r="ET28" s="191">
        <v>262.70830000000001</v>
      </c>
      <c r="EU28" s="279">
        <v>262.77350000000001</v>
      </c>
      <c r="EV28" s="191">
        <v>262.84660000000002</v>
      </c>
      <c r="EW28" s="191">
        <v>262.75970000000001</v>
      </c>
      <c r="EX28" s="278">
        <v>262.72329999999999</v>
      </c>
      <c r="EY28" s="191"/>
    </row>
    <row r="29" spans="1:155" ht="45" customHeight="1" x14ac:dyDescent="0.45">
      <c r="A29" s="277">
        <v>140</v>
      </c>
      <c r="B29" s="191"/>
      <c r="C29" s="191"/>
      <c r="D29" s="191"/>
      <c r="E29" s="191"/>
      <c r="F29" s="191"/>
      <c r="G29" s="191"/>
      <c r="H29" s="191"/>
      <c r="I29" s="191"/>
      <c r="J29" s="191"/>
      <c r="K29" s="191"/>
      <c r="L29" s="191"/>
      <c r="M29" s="191"/>
      <c r="N29" s="191"/>
      <c r="O29" s="191"/>
      <c r="P29" s="191"/>
      <c r="Q29" s="191"/>
      <c r="R29" s="191"/>
      <c r="S29" s="191"/>
      <c r="T29" s="191"/>
      <c r="U29" s="191"/>
      <c r="V29" s="191"/>
      <c r="W29" s="191"/>
      <c r="X29" s="191"/>
      <c r="Y29" s="191"/>
      <c r="Z29" s="191"/>
      <c r="AA29" s="191"/>
      <c r="AB29" s="191"/>
      <c r="AC29" s="191"/>
      <c r="AD29" s="191"/>
      <c r="AE29" s="191"/>
      <c r="AF29" s="191"/>
      <c r="AG29" s="191"/>
      <c r="AH29" s="191"/>
      <c r="AI29" s="191"/>
      <c r="AJ29" s="191"/>
      <c r="AK29" s="191"/>
      <c r="AL29" s="191"/>
      <c r="AM29" s="191"/>
      <c r="AN29" s="191"/>
      <c r="AO29" s="191"/>
      <c r="AP29" s="191"/>
      <c r="AQ29" s="191"/>
      <c r="AR29" s="191"/>
      <c r="AS29" s="191"/>
      <c r="AT29" s="191"/>
      <c r="AU29" s="191"/>
      <c r="AV29" s="191"/>
      <c r="AW29" s="191"/>
      <c r="AX29" s="191"/>
      <c r="AY29" s="191"/>
      <c r="AZ29" s="191"/>
      <c r="BA29" s="278">
        <v>264.20639999999997</v>
      </c>
      <c r="BB29" s="279">
        <v>264.72210000000001</v>
      </c>
      <c r="BC29" s="191">
        <v>264.34010000000001</v>
      </c>
      <c r="BD29" s="191">
        <v>264.2978</v>
      </c>
      <c r="BE29" s="191">
        <v>264.27699999999999</v>
      </c>
      <c r="BF29" s="191">
        <v>264.27539999999999</v>
      </c>
      <c r="BG29" s="191">
        <v>264.33359999999999</v>
      </c>
      <c r="BH29" s="191">
        <v>264.12479999999999</v>
      </c>
      <c r="BI29" s="191">
        <v>264.03989999999999</v>
      </c>
      <c r="BJ29" s="191">
        <v>264.07040000000001</v>
      </c>
      <c r="BK29" s="191">
        <v>263.96660000000003</v>
      </c>
      <c r="BL29" s="191">
        <v>264.04570000000001</v>
      </c>
      <c r="BM29" s="191">
        <v>263.92829999999998</v>
      </c>
      <c r="BN29" s="191">
        <v>263.84050000000002</v>
      </c>
      <c r="BO29" s="191">
        <v>263.827</v>
      </c>
      <c r="BP29" s="191">
        <v>263.89330000000001</v>
      </c>
      <c r="BQ29" s="191">
        <v>263.86450000000002</v>
      </c>
      <c r="BR29" s="191">
        <v>263.92950000000002</v>
      </c>
      <c r="BS29" s="191">
        <v>263.84960000000001</v>
      </c>
      <c r="BT29" s="191">
        <v>263.8501</v>
      </c>
      <c r="BU29" s="279">
        <v>263.77730000000003</v>
      </c>
      <c r="BV29" s="191">
        <v>263.86930000000001</v>
      </c>
      <c r="BW29" s="279">
        <v>263.84140000000002</v>
      </c>
      <c r="BX29" s="279">
        <v>263.79689999999999</v>
      </c>
      <c r="BY29" s="279">
        <v>263.57420000000002</v>
      </c>
      <c r="BZ29" s="279">
        <v>263.83569999999997</v>
      </c>
      <c r="CA29" s="279">
        <v>263.69510000000002</v>
      </c>
      <c r="CB29" s="279">
        <v>263.66210000000001</v>
      </c>
      <c r="CC29" s="279">
        <v>263.84870000000001</v>
      </c>
      <c r="CD29" s="279">
        <v>263.96850000000001</v>
      </c>
      <c r="CE29" s="279">
        <v>263.76960000000003</v>
      </c>
      <c r="CF29" s="279">
        <v>263.71370000000002</v>
      </c>
      <c r="CG29" s="279">
        <v>263.75510000000003</v>
      </c>
      <c r="CH29" s="191">
        <v>263.6995</v>
      </c>
      <c r="CI29" s="191">
        <v>263.65940000000001</v>
      </c>
      <c r="CJ29" s="191">
        <v>263.71080000000001</v>
      </c>
      <c r="CK29" s="191">
        <v>263.62479999999999</v>
      </c>
      <c r="CL29" s="191">
        <v>263.60559999999998</v>
      </c>
      <c r="CM29" s="191">
        <v>263.5496</v>
      </c>
      <c r="CN29" s="279">
        <v>263.54230000000001</v>
      </c>
      <c r="CO29" s="191">
        <v>263.52330000000001</v>
      </c>
      <c r="CP29" s="191">
        <v>263.46510000000001</v>
      </c>
      <c r="CQ29" s="279">
        <v>263.3578</v>
      </c>
      <c r="CR29" s="191">
        <v>263.36169999999998</v>
      </c>
      <c r="CS29" s="191">
        <v>263.4477</v>
      </c>
      <c r="CT29" s="191">
        <v>263.47030000000001</v>
      </c>
      <c r="CU29" s="191">
        <v>263.52890000000002</v>
      </c>
      <c r="CV29" s="191">
        <v>263.29270000000002</v>
      </c>
      <c r="CW29" s="191">
        <v>263.23430000000002</v>
      </c>
      <c r="CX29" s="191">
        <v>263.24349999999998</v>
      </c>
      <c r="CY29" s="191">
        <v>263.892</v>
      </c>
      <c r="CZ29" s="191">
        <v>263.58499999999998</v>
      </c>
      <c r="DA29" s="191">
        <v>263.60950000000003</v>
      </c>
      <c r="DB29" s="191">
        <v>263.64429999999999</v>
      </c>
      <c r="DC29" s="191">
        <v>263.50959999999998</v>
      </c>
      <c r="DD29" s="191">
        <v>263.47969999999998</v>
      </c>
      <c r="DE29" s="191">
        <v>263.35160000000002</v>
      </c>
      <c r="DF29" s="191">
        <v>263.15190000000001</v>
      </c>
      <c r="DG29" s="191">
        <v>263.14550000000003</v>
      </c>
      <c r="DH29" s="279">
        <v>263.12869999999998</v>
      </c>
      <c r="DI29" s="191">
        <v>263.03019999999998</v>
      </c>
      <c r="DJ29" s="279">
        <v>263.03809999999999</v>
      </c>
      <c r="DK29" s="191">
        <v>263.06959999999998</v>
      </c>
      <c r="DL29" s="191">
        <v>263.10770000000002</v>
      </c>
      <c r="DM29" s="191">
        <v>263.0616</v>
      </c>
      <c r="DN29" s="191">
        <v>263.30770000000001</v>
      </c>
      <c r="DO29" s="191">
        <v>263.32589999999999</v>
      </c>
      <c r="DP29" s="191">
        <v>263.23869999999999</v>
      </c>
      <c r="DQ29" s="191">
        <v>263.30630000000002</v>
      </c>
      <c r="DR29" s="191">
        <v>263.36149999999998</v>
      </c>
      <c r="DS29" s="191">
        <v>263.50799999999998</v>
      </c>
      <c r="DT29" s="191">
        <v>262.98050000000001</v>
      </c>
      <c r="DU29" s="191">
        <v>263.4203</v>
      </c>
      <c r="DV29" s="191">
        <v>263.34969999999998</v>
      </c>
      <c r="DW29" s="191">
        <v>263.4554</v>
      </c>
      <c r="DX29" s="191">
        <v>263.51319999999998</v>
      </c>
      <c r="DY29" s="191">
        <v>263.4273</v>
      </c>
      <c r="DZ29" s="191">
        <v>263.38459999999998</v>
      </c>
      <c r="EA29" s="279">
        <v>263.30470000000003</v>
      </c>
      <c r="EB29" s="191">
        <v>263.12900000000002</v>
      </c>
      <c r="EC29" s="279">
        <v>263.12540000000001</v>
      </c>
      <c r="ED29" s="191">
        <v>262.7749</v>
      </c>
      <c r="EE29" s="191">
        <v>263.09559999999999</v>
      </c>
      <c r="EF29" s="191">
        <v>263.23899999999998</v>
      </c>
      <c r="EG29" s="191">
        <v>263.09699999999998</v>
      </c>
      <c r="EH29" s="191">
        <v>263.07429999999999</v>
      </c>
      <c r="EI29" s="191">
        <v>263.09809999999999</v>
      </c>
      <c r="EJ29" s="191">
        <v>262.9796</v>
      </c>
      <c r="EK29" s="191">
        <v>262.98129999999998</v>
      </c>
      <c r="EL29" s="191">
        <v>263.0018</v>
      </c>
      <c r="EM29" s="191">
        <v>262.93599999999998</v>
      </c>
      <c r="EN29" s="191">
        <v>262.83460000000002</v>
      </c>
      <c r="EO29" s="191">
        <v>262.83749999999998</v>
      </c>
      <c r="EP29" s="191">
        <v>262.76749999999998</v>
      </c>
      <c r="EQ29" s="191">
        <v>262.68560000000002</v>
      </c>
      <c r="ER29" s="191">
        <v>262.67610000000002</v>
      </c>
      <c r="ES29" s="191">
        <v>262.73989999999998</v>
      </c>
      <c r="ET29" s="191">
        <v>262.64980000000003</v>
      </c>
      <c r="EU29" s="279">
        <v>262.86</v>
      </c>
      <c r="EV29" s="191">
        <v>262.98509999999999</v>
      </c>
      <c r="EW29" s="191">
        <v>262.68759999999997</v>
      </c>
      <c r="EX29" s="278">
        <v>262.81130000000002</v>
      </c>
      <c r="EY29" s="191"/>
    </row>
    <row r="30" spans="1:155" ht="45" customHeight="1" x14ac:dyDescent="0.45">
      <c r="A30" s="277">
        <v>145</v>
      </c>
      <c r="B30" s="191"/>
      <c r="C30" s="191"/>
      <c r="D30" s="191"/>
      <c r="E30" s="191"/>
      <c r="F30" s="191"/>
      <c r="G30" s="191"/>
      <c r="H30" s="191"/>
      <c r="I30" s="191"/>
      <c r="J30" s="191"/>
      <c r="K30" s="191"/>
      <c r="L30" s="191"/>
      <c r="M30" s="191"/>
      <c r="N30" s="191"/>
      <c r="O30" s="191"/>
      <c r="P30" s="191"/>
      <c r="Q30" s="191"/>
      <c r="R30" s="191"/>
      <c r="S30" s="191"/>
      <c r="T30" s="191"/>
      <c r="U30" s="191"/>
      <c r="V30" s="191"/>
      <c r="W30" s="191"/>
      <c r="X30" s="191"/>
      <c r="Y30" s="191"/>
      <c r="Z30" s="191"/>
      <c r="AA30" s="191"/>
      <c r="AB30" s="191"/>
      <c r="AC30" s="191"/>
      <c r="AD30" s="191"/>
      <c r="AE30" s="191"/>
      <c r="AF30" s="191"/>
      <c r="AG30" s="191"/>
      <c r="AH30" s="191"/>
      <c r="AI30" s="191"/>
      <c r="AJ30" s="191"/>
      <c r="AK30" s="191"/>
      <c r="AL30" s="191"/>
      <c r="AM30" s="191"/>
      <c r="AN30" s="191"/>
      <c r="AO30" s="191"/>
      <c r="AP30" s="191"/>
      <c r="AQ30" s="191"/>
      <c r="AR30" s="191"/>
      <c r="AS30" s="191"/>
      <c r="AT30" s="191"/>
      <c r="AU30" s="191"/>
      <c r="AV30" s="191"/>
      <c r="AW30" s="191"/>
      <c r="AX30" s="191"/>
      <c r="AY30" s="191"/>
      <c r="AZ30" s="191"/>
      <c r="BA30" s="278">
        <v>263.97899999999998</v>
      </c>
      <c r="BB30" s="279">
        <v>264.63040000000001</v>
      </c>
      <c r="BC30" s="191">
        <v>264.26420000000002</v>
      </c>
      <c r="BD30" s="191">
        <v>264.24400000000003</v>
      </c>
      <c r="BE30" s="191">
        <v>264.32080000000002</v>
      </c>
      <c r="BF30" s="191">
        <v>264.2373</v>
      </c>
      <c r="BG30" s="191">
        <v>264.37290000000002</v>
      </c>
      <c r="BH30" s="191">
        <v>264.15539999999999</v>
      </c>
      <c r="BI30" s="191">
        <v>263.98610000000002</v>
      </c>
      <c r="BJ30" s="191">
        <v>263.93459999999999</v>
      </c>
      <c r="BK30" s="191">
        <v>263.95569999999998</v>
      </c>
      <c r="BL30" s="191">
        <v>264.00020000000001</v>
      </c>
      <c r="BM30" s="191">
        <v>263.98070000000001</v>
      </c>
      <c r="BN30" s="191">
        <v>263.83749999999998</v>
      </c>
      <c r="BO30" s="191">
        <v>263.87939999999998</v>
      </c>
      <c r="BP30" s="191">
        <v>263.834</v>
      </c>
      <c r="BQ30" s="191">
        <v>263.7405</v>
      </c>
      <c r="BR30" s="191">
        <v>263.7593</v>
      </c>
      <c r="BS30" s="191">
        <v>263.721</v>
      </c>
      <c r="BT30" s="191">
        <v>263.83969999999999</v>
      </c>
      <c r="BU30" s="279">
        <v>263.9119</v>
      </c>
      <c r="BV30" s="191">
        <v>263.96519999999998</v>
      </c>
      <c r="BW30" s="279">
        <v>263.9735</v>
      </c>
      <c r="BX30" s="191">
        <v>263.96559999999999</v>
      </c>
      <c r="BY30" s="191">
        <v>263.91449999999998</v>
      </c>
      <c r="BZ30" s="191">
        <v>263.88810000000001</v>
      </c>
      <c r="CA30" s="191">
        <v>263.95080000000002</v>
      </c>
      <c r="CB30" s="191">
        <v>263.91480000000001</v>
      </c>
      <c r="CC30" s="191">
        <v>263.94119999999998</v>
      </c>
      <c r="CD30" s="191">
        <v>263.82139999999998</v>
      </c>
      <c r="CE30" s="191">
        <v>263.7097</v>
      </c>
      <c r="CF30" s="191">
        <v>263.7133</v>
      </c>
      <c r="CG30" s="191">
        <v>263.58339999999998</v>
      </c>
      <c r="CH30" s="191">
        <v>263.697</v>
      </c>
      <c r="CI30" s="191">
        <v>263.61779999999999</v>
      </c>
      <c r="CJ30" s="191">
        <v>263.76749999999998</v>
      </c>
      <c r="CK30" s="191">
        <v>263.8057</v>
      </c>
      <c r="CL30" s="191">
        <v>263.48860000000002</v>
      </c>
      <c r="CM30" s="191">
        <v>263.57810000000001</v>
      </c>
      <c r="CN30" s="279">
        <v>263.45650000000001</v>
      </c>
      <c r="CO30" s="191">
        <v>263.387</v>
      </c>
      <c r="CP30" s="191">
        <v>263.51510000000002</v>
      </c>
      <c r="CQ30" s="279">
        <v>263.46929999999998</v>
      </c>
      <c r="CR30" s="191">
        <v>263.36540000000002</v>
      </c>
      <c r="CS30" s="191">
        <v>263.49599999999998</v>
      </c>
      <c r="CT30" s="191">
        <v>263.39580000000001</v>
      </c>
      <c r="CU30" s="191">
        <v>263.51569999999998</v>
      </c>
      <c r="CV30" s="191">
        <v>263.14819999999997</v>
      </c>
      <c r="CW30" s="191">
        <v>263.29239999999999</v>
      </c>
      <c r="CX30" s="191">
        <v>263.47030000000001</v>
      </c>
      <c r="CY30" s="191">
        <v>263.59530000000001</v>
      </c>
      <c r="CZ30" s="191">
        <v>263.58069999999998</v>
      </c>
      <c r="DA30" s="191">
        <v>263.42759999999998</v>
      </c>
      <c r="DB30" s="191">
        <v>263.4776</v>
      </c>
      <c r="DC30" s="191">
        <v>263.39120000000003</v>
      </c>
      <c r="DD30" s="191">
        <v>263.45519999999999</v>
      </c>
      <c r="DE30" s="191">
        <v>263.2867</v>
      </c>
      <c r="DF30" s="191">
        <v>263.17739999999998</v>
      </c>
      <c r="DG30" s="191">
        <v>263.20359999999999</v>
      </c>
      <c r="DH30" s="279">
        <v>263.07920000000001</v>
      </c>
      <c r="DI30" s="191">
        <v>263.11450000000002</v>
      </c>
      <c r="DJ30" s="279">
        <v>263.11989999999997</v>
      </c>
      <c r="DK30" s="191">
        <v>263.10500000000002</v>
      </c>
      <c r="DL30" s="191">
        <v>263.1234</v>
      </c>
      <c r="DM30" s="191">
        <v>263.3954</v>
      </c>
      <c r="DN30" s="191">
        <v>263.33260000000001</v>
      </c>
      <c r="DO30" s="191">
        <v>263.2792</v>
      </c>
      <c r="DP30" s="191">
        <v>263.2971</v>
      </c>
      <c r="DQ30" s="191">
        <v>263.21510000000001</v>
      </c>
      <c r="DR30" s="191">
        <v>263.3</v>
      </c>
      <c r="DS30" s="191">
        <v>263.32769999999999</v>
      </c>
      <c r="DT30" s="191">
        <v>263.04570000000001</v>
      </c>
      <c r="DU30" s="191">
        <v>263.14850000000001</v>
      </c>
      <c r="DV30" s="191">
        <v>263.46460000000002</v>
      </c>
      <c r="DW30" s="191">
        <v>263.4665</v>
      </c>
      <c r="DX30" s="191">
        <v>263.30270000000002</v>
      </c>
      <c r="DY30" s="191">
        <v>263.39060000000001</v>
      </c>
      <c r="DZ30" s="191">
        <v>263.41640000000001</v>
      </c>
      <c r="EA30" s="279">
        <v>263.1739</v>
      </c>
      <c r="EB30" s="191">
        <v>263.21929999999998</v>
      </c>
      <c r="EC30" s="279">
        <v>262.87290000000002</v>
      </c>
      <c r="ED30" s="191">
        <v>263.08269999999999</v>
      </c>
      <c r="EE30" s="191">
        <v>263.06110000000001</v>
      </c>
      <c r="EF30" s="191">
        <v>263.11630000000002</v>
      </c>
      <c r="EG30" s="191">
        <v>263.05489999999998</v>
      </c>
      <c r="EH30" s="191">
        <v>262.94810000000001</v>
      </c>
      <c r="EI30" s="191">
        <v>263.03179999999998</v>
      </c>
      <c r="EJ30" s="191">
        <v>262.94220000000001</v>
      </c>
      <c r="EK30" s="191">
        <v>262.90300000000002</v>
      </c>
      <c r="EL30" s="191">
        <v>262.93180000000001</v>
      </c>
      <c r="EM30" s="191">
        <v>262.87639999999999</v>
      </c>
      <c r="EN30" s="191">
        <v>262.74919999999997</v>
      </c>
      <c r="EO30" s="191">
        <v>262.83179999999999</v>
      </c>
      <c r="EP30" s="191">
        <v>262.85899999999998</v>
      </c>
      <c r="EQ30" s="191">
        <v>262.78230000000002</v>
      </c>
      <c r="ER30" s="191">
        <v>262.77809999999999</v>
      </c>
      <c r="ES30" s="191">
        <v>262.72109999999998</v>
      </c>
      <c r="ET30" s="191">
        <v>262.63760000000002</v>
      </c>
      <c r="EU30" s="279">
        <v>262.87810000000002</v>
      </c>
      <c r="EV30" s="191">
        <v>262.77370000000002</v>
      </c>
      <c r="EW30" s="191">
        <v>262.66000000000003</v>
      </c>
      <c r="EX30" s="278">
        <v>262.88740000000001</v>
      </c>
      <c r="EY30" s="191"/>
    </row>
    <row r="31" spans="1:155" ht="45" customHeight="1" x14ac:dyDescent="0.45">
      <c r="A31" s="277">
        <v>150</v>
      </c>
      <c r="B31" s="191"/>
      <c r="C31" s="191"/>
      <c r="D31" s="191"/>
      <c r="E31" s="191"/>
      <c r="F31" s="191"/>
      <c r="G31" s="191"/>
      <c r="H31" s="191"/>
      <c r="I31" s="191"/>
      <c r="J31" s="191"/>
      <c r="K31" s="191"/>
      <c r="L31" s="191"/>
      <c r="M31" s="191"/>
      <c r="N31" s="191"/>
      <c r="O31" s="191"/>
      <c r="P31" s="191"/>
      <c r="Q31" s="191"/>
      <c r="R31" s="191"/>
      <c r="S31" s="191"/>
      <c r="T31" s="191"/>
      <c r="U31" s="191"/>
      <c r="V31" s="191"/>
      <c r="W31" s="191"/>
      <c r="X31" s="191"/>
      <c r="Y31" s="191"/>
      <c r="Z31" s="191"/>
      <c r="AA31" s="191"/>
      <c r="AB31" s="191"/>
      <c r="AC31" s="191"/>
      <c r="AD31" s="191"/>
      <c r="AE31" s="191"/>
      <c r="AF31" s="191"/>
      <c r="AG31" s="191"/>
      <c r="AH31" s="191"/>
      <c r="AI31" s="191"/>
      <c r="AJ31" s="191"/>
      <c r="AK31" s="191"/>
      <c r="AL31" s="191"/>
      <c r="AM31" s="191"/>
      <c r="AN31" s="191"/>
      <c r="AO31" s="191"/>
      <c r="AP31" s="191"/>
      <c r="AQ31" s="191"/>
      <c r="AR31" s="191"/>
      <c r="AS31" s="191"/>
      <c r="AT31" s="191"/>
      <c r="AU31" s="191"/>
      <c r="AV31" s="191"/>
      <c r="AW31" s="191"/>
      <c r="AX31" s="191"/>
      <c r="AY31" s="191"/>
      <c r="AZ31" s="191"/>
      <c r="BA31" s="278">
        <v>263.9751</v>
      </c>
      <c r="BB31" s="279">
        <v>264.27730000000003</v>
      </c>
      <c r="BC31" s="191">
        <v>264.05610000000001</v>
      </c>
      <c r="BD31" s="191">
        <v>263.96510000000001</v>
      </c>
      <c r="BE31" s="191">
        <v>263.9194</v>
      </c>
      <c r="BF31" s="191">
        <v>263.8845</v>
      </c>
      <c r="BG31" s="191">
        <v>263.94639999999998</v>
      </c>
      <c r="BH31" s="191">
        <v>263.85599999999999</v>
      </c>
      <c r="BI31" s="191">
        <v>263.86939999999998</v>
      </c>
      <c r="BJ31" s="191">
        <v>263.89010000000002</v>
      </c>
      <c r="BK31" s="191">
        <v>263.93009999999998</v>
      </c>
      <c r="BL31" s="191">
        <v>263.81670000000003</v>
      </c>
      <c r="BM31" s="191">
        <v>263.81630000000001</v>
      </c>
      <c r="BN31" s="191">
        <v>263.84390000000002</v>
      </c>
      <c r="BO31" s="191">
        <v>263.96420000000001</v>
      </c>
      <c r="BP31" s="191">
        <v>263.935</v>
      </c>
      <c r="BQ31" s="191">
        <v>263.83850000000001</v>
      </c>
      <c r="BR31" s="191">
        <v>264.01350000000002</v>
      </c>
      <c r="BS31" s="191">
        <v>263.94670000000002</v>
      </c>
      <c r="BT31" s="191">
        <v>263.89980000000003</v>
      </c>
      <c r="BU31" s="279">
        <v>263.99259999999998</v>
      </c>
      <c r="BV31" s="191">
        <v>264.05829999999997</v>
      </c>
      <c r="BW31" s="279">
        <v>263.84660000000002</v>
      </c>
      <c r="BX31" s="191">
        <v>263.81970000000001</v>
      </c>
      <c r="BY31" s="191">
        <v>263.63760000000002</v>
      </c>
      <c r="BZ31" s="191">
        <v>263.67090000000002</v>
      </c>
      <c r="CA31" s="191">
        <v>263.82389999999998</v>
      </c>
      <c r="CB31" s="191">
        <v>263.91950000000003</v>
      </c>
      <c r="CC31" s="191">
        <v>263.78230000000002</v>
      </c>
      <c r="CD31" s="191">
        <v>263.72089999999997</v>
      </c>
      <c r="CE31" s="191">
        <v>263.65260000000001</v>
      </c>
      <c r="CF31" s="191">
        <v>263.62200000000001</v>
      </c>
      <c r="CG31" s="191">
        <v>263.49700000000001</v>
      </c>
      <c r="CH31" s="191">
        <v>263.62810000000002</v>
      </c>
      <c r="CI31" s="191">
        <v>263.51639999999998</v>
      </c>
      <c r="CJ31" s="191">
        <v>263.50540000000001</v>
      </c>
      <c r="CK31" s="191">
        <v>263.66300000000001</v>
      </c>
      <c r="CL31" s="191">
        <v>263.7457</v>
      </c>
      <c r="CM31" s="191">
        <v>263.71120000000002</v>
      </c>
      <c r="CN31" s="279">
        <v>263.63099999999997</v>
      </c>
      <c r="CO31" s="191">
        <v>263.48790000000002</v>
      </c>
      <c r="CP31" s="191">
        <v>263.40539999999999</v>
      </c>
      <c r="CQ31" s="279">
        <v>263.15350000000001</v>
      </c>
      <c r="CR31" s="191">
        <v>263.34899999999999</v>
      </c>
      <c r="CS31" s="191">
        <v>263.34879999999998</v>
      </c>
      <c r="CT31" s="191">
        <v>263.16849999999999</v>
      </c>
      <c r="CU31" s="191">
        <v>263.0598</v>
      </c>
      <c r="CV31" s="191">
        <v>263.5686</v>
      </c>
      <c r="CW31" s="191">
        <v>263.49310000000003</v>
      </c>
      <c r="CX31" s="191">
        <v>263.39299999999997</v>
      </c>
      <c r="CY31" s="191">
        <v>263.5933</v>
      </c>
      <c r="CZ31" s="191">
        <v>263.5188</v>
      </c>
      <c r="DA31" s="191">
        <v>263.32060000000001</v>
      </c>
      <c r="DB31" s="191">
        <v>263.40280000000001</v>
      </c>
      <c r="DC31" s="191">
        <v>263.42200000000003</v>
      </c>
      <c r="DD31" s="191">
        <v>263.53530000000001</v>
      </c>
      <c r="DE31" s="191">
        <v>263.22710000000001</v>
      </c>
      <c r="DF31" s="191">
        <v>263.16250000000002</v>
      </c>
      <c r="DG31" s="191">
        <v>263.20699999999999</v>
      </c>
      <c r="DH31" s="279">
        <v>263.14109999999999</v>
      </c>
      <c r="DI31" s="191">
        <v>263.13569999999999</v>
      </c>
      <c r="DJ31" s="279">
        <v>263.20499999999998</v>
      </c>
      <c r="DK31" s="191">
        <v>263.14530000000002</v>
      </c>
      <c r="DL31" s="191">
        <v>263.11279999999999</v>
      </c>
      <c r="DM31" s="191">
        <v>263.21350000000001</v>
      </c>
      <c r="DN31" s="191">
        <v>263.34960000000001</v>
      </c>
      <c r="DO31" s="191">
        <v>263.32859999999999</v>
      </c>
      <c r="DP31" s="191">
        <v>263.3492</v>
      </c>
      <c r="DQ31" s="191">
        <v>263.24459999999999</v>
      </c>
      <c r="DR31" s="191">
        <v>263.30840000000001</v>
      </c>
      <c r="DS31" s="191">
        <v>263.25389999999999</v>
      </c>
      <c r="DT31" s="191">
        <v>263.07229999999998</v>
      </c>
      <c r="DU31" s="191">
        <v>263.41789999999997</v>
      </c>
      <c r="DV31" s="191">
        <v>263.48750000000001</v>
      </c>
      <c r="DW31" s="191">
        <v>263.31760000000003</v>
      </c>
      <c r="DX31" s="191">
        <v>263.21280000000002</v>
      </c>
      <c r="DY31" s="191">
        <v>263.20609999999999</v>
      </c>
      <c r="DZ31" s="191">
        <v>263.36799999999999</v>
      </c>
      <c r="EA31" s="279">
        <v>263.15929999999997</v>
      </c>
      <c r="EB31" s="191">
        <v>263.12169999999998</v>
      </c>
      <c r="EC31" s="279">
        <v>263.17419999999998</v>
      </c>
      <c r="ED31" s="191">
        <v>263.07470000000001</v>
      </c>
      <c r="EE31" s="191">
        <v>263.12540000000001</v>
      </c>
      <c r="EF31" s="191">
        <v>263.14929999999998</v>
      </c>
      <c r="EG31" s="191">
        <v>262.98329999999999</v>
      </c>
      <c r="EH31" s="191">
        <v>262.89659999999998</v>
      </c>
      <c r="EI31" s="191">
        <v>263.0086</v>
      </c>
      <c r="EJ31" s="191">
        <v>262.88459999999998</v>
      </c>
      <c r="EK31" s="191">
        <v>262.84469999999999</v>
      </c>
      <c r="EL31" s="191">
        <v>262.84949999999998</v>
      </c>
      <c r="EM31" s="191">
        <v>262.81529999999998</v>
      </c>
      <c r="EN31" s="191">
        <v>262.709</v>
      </c>
      <c r="EO31" s="191">
        <v>262.75130000000001</v>
      </c>
      <c r="EP31" s="191">
        <v>262.75830000000002</v>
      </c>
      <c r="EQ31" s="191">
        <v>262.74360000000001</v>
      </c>
      <c r="ER31" s="191">
        <v>262.6121</v>
      </c>
      <c r="ES31" s="191">
        <v>262.63040000000001</v>
      </c>
      <c r="ET31" s="191">
        <v>262.60610000000003</v>
      </c>
      <c r="EU31" s="279">
        <v>262.76409999999998</v>
      </c>
      <c r="EV31" s="191">
        <v>262.6927</v>
      </c>
      <c r="EW31" s="191">
        <v>262.63740000000001</v>
      </c>
      <c r="EX31" s="278">
        <v>263.0009</v>
      </c>
      <c r="EY31" s="191"/>
    </row>
    <row r="32" spans="1:155" ht="45" customHeight="1" x14ac:dyDescent="0.45">
      <c r="A32" s="277">
        <v>155</v>
      </c>
      <c r="B32" s="191"/>
      <c r="C32" s="191"/>
      <c r="D32" s="191"/>
      <c r="E32" s="191"/>
      <c r="F32" s="191"/>
      <c r="G32" s="191"/>
      <c r="H32" s="191"/>
      <c r="I32" s="191"/>
      <c r="J32" s="191"/>
      <c r="K32" s="191"/>
      <c r="L32" s="191"/>
      <c r="M32" s="191"/>
      <c r="N32" s="191"/>
      <c r="O32" s="191"/>
      <c r="P32" s="191"/>
      <c r="Q32" s="191"/>
      <c r="R32" s="191"/>
      <c r="S32" s="191"/>
      <c r="T32" s="191"/>
      <c r="U32" s="191"/>
      <c r="V32" s="191"/>
      <c r="W32" s="191"/>
      <c r="X32" s="191"/>
      <c r="Y32" s="191"/>
      <c r="Z32" s="191"/>
      <c r="AA32" s="191"/>
      <c r="AB32" s="191"/>
      <c r="AC32" s="191"/>
      <c r="AD32" s="191"/>
      <c r="AE32" s="191"/>
      <c r="AF32" s="191"/>
      <c r="AG32" s="191"/>
      <c r="AH32" s="191"/>
      <c r="AI32" s="191"/>
      <c r="AJ32" s="191"/>
      <c r="AK32" s="191"/>
      <c r="AL32" s="191"/>
      <c r="AM32" s="191"/>
      <c r="AN32" s="191"/>
      <c r="AO32" s="191"/>
      <c r="AP32" s="191"/>
      <c r="AQ32" s="191"/>
      <c r="AR32" s="191"/>
      <c r="AS32" s="191"/>
      <c r="AT32" s="191"/>
      <c r="AU32" s="191"/>
      <c r="AV32" s="191"/>
      <c r="AW32" s="191"/>
      <c r="AX32" s="191"/>
      <c r="AY32" s="191"/>
      <c r="AZ32" s="191"/>
      <c r="BA32" s="278">
        <v>264.21050000000002</v>
      </c>
      <c r="BB32" s="279">
        <v>264.03309999999999</v>
      </c>
      <c r="BC32" s="191">
        <v>263.87299999999999</v>
      </c>
      <c r="BD32" s="191">
        <v>264.15030000000002</v>
      </c>
      <c r="BE32" s="191">
        <v>264.10449999999997</v>
      </c>
      <c r="BF32" s="191">
        <v>264.15769999999998</v>
      </c>
      <c r="BG32" s="191">
        <v>264.1309</v>
      </c>
      <c r="BH32" s="191">
        <v>263.98250000000002</v>
      </c>
      <c r="BI32" s="191">
        <v>264.00479999999999</v>
      </c>
      <c r="BJ32" s="191">
        <v>264.10019999999997</v>
      </c>
      <c r="BK32" s="191">
        <v>263.97770000000003</v>
      </c>
      <c r="BL32" s="191">
        <v>264.01209999999998</v>
      </c>
      <c r="BM32" s="191">
        <v>263.92009999999999</v>
      </c>
      <c r="BN32" s="191">
        <v>263.88189999999997</v>
      </c>
      <c r="BO32" s="191">
        <v>263.83760000000001</v>
      </c>
      <c r="BP32" s="191">
        <v>263.85329999999999</v>
      </c>
      <c r="BQ32" s="191">
        <v>263.83330000000001</v>
      </c>
      <c r="BR32" s="191">
        <v>264.04640000000001</v>
      </c>
      <c r="BS32" s="191">
        <v>263.83280000000002</v>
      </c>
      <c r="BT32" s="191">
        <v>263.83690000000001</v>
      </c>
      <c r="BU32" s="279">
        <v>263.82060000000001</v>
      </c>
      <c r="BV32" s="191">
        <v>263.9332</v>
      </c>
      <c r="BW32" s="279">
        <v>263.81020000000001</v>
      </c>
      <c r="BX32" s="191">
        <v>263.66919999999999</v>
      </c>
      <c r="BY32" s="191">
        <v>263.59249999999997</v>
      </c>
      <c r="BZ32" s="191">
        <v>263.71850000000001</v>
      </c>
      <c r="CA32" s="191">
        <v>263.56920000000002</v>
      </c>
      <c r="CB32" s="191">
        <v>263.58120000000002</v>
      </c>
      <c r="CC32" s="191">
        <v>263.73230000000001</v>
      </c>
      <c r="CD32" s="191">
        <v>263.52190000000002</v>
      </c>
      <c r="CE32" s="191">
        <v>263.49270000000001</v>
      </c>
      <c r="CF32" s="191">
        <v>263.49169999999998</v>
      </c>
      <c r="CG32" s="191">
        <v>263.44510000000002</v>
      </c>
      <c r="CH32" s="191">
        <v>263.5034</v>
      </c>
      <c r="CI32" s="191">
        <v>263.51859999999999</v>
      </c>
      <c r="CJ32" s="191">
        <v>263.5532</v>
      </c>
      <c r="CK32" s="191">
        <v>263.62909999999999</v>
      </c>
      <c r="CL32" s="191">
        <v>263.49470000000002</v>
      </c>
      <c r="CM32" s="191">
        <v>263.48480000000001</v>
      </c>
      <c r="CN32" s="279">
        <v>263.44690000000003</v>
      </c>
      <c r="CO32" s="191">
        <v>263.53730000000002</v>
      </c>
      <c r="CP32" s="191">
        <v>263.29590000000002</v>
      </c>
      <c r="CQ32" s="279">
        <v>263.30200000000002</v>
      </c>
      <c r="CR32" s="191">
        <v>262.9984</v>
      </c>
      <c r="CS32" s="191">
        <v>263.1216</v>
      </c>
      <c r="CT32" s="191">
        <v>263.41430000000003</v>
      </c>
      <c r="CU32" s="191">
        <v>263.30950000000001</v>
      </c>
      <c r="CV32" s="191">
        <v>263.3073</v>
      </c>
      <c r="CW32" s="191">
        <v>263.47719999999998</v>
      </c>
      <c r="CX32" s="191">
        <v>263.41649999999998</v>
      </c>
      <c r="CY32" s="191">
        <v>263.4511</v>
      </c>
      <c r="CZ32" s="191">
        <v>263.4633</v>
      </c>
      <c r="DA32" s="191">
        <v>263.4074</v>
      </c>
      <c r="DB32" s="191">
        <v>263.36590000000001</v>
      </c>
      <c r="DC32" s="191">
        <v>263.46730000000002</v>
      </c>
      <c r="DD32" s="191">
        <v>263.32580000000002</v>
      </c>
      <c r="DE32" s="191">
        <v>263.07100000000003</v>
      </c>
      <c r="DF32" s="191">
        <v>263.13339999999999</v>
      </c>
      <c r="DG32" s="191">
        <v>263.21069999999997</v>
      </c>
      <c r="DH32" s="279">
        <v>263.15339999999998</v>
      </c>
      <c r="DI32" s="191">
        <v>263.17380000000003</v>
      </c>
      <c r="DJ32" s="279">
        <v>263.1327</v>
      </c>
      <c r="DK32" s="191">
        <v>263.13339999999999</v>
      </c>
      <c r="DL32" s="191">
        <v>263.11700000000002</v>
      </c>
      <c r="DM32" s="191">
        <v>263.05369999999999</v>
      </c>
      <c r="DN32" s="191">
        <v>262.99439999999998</v>
      </c>
      <c r="DO32" s="191">
        <v>263.02069999999998</v>
      </c>
      <c r="DP32" s="191">
        <v>263.28660000000002</v>
      </c>
      <c r="DQ32" s="191">
        <v>263.15879999999999</v>
      </c>
      <c r="DR32" s="191">
        <v>263.27449999999999</v>
      </c>
      <c r="DS32" s="191">
        <v>263.03399999999999</v>
      </c>
      <c r="DT32" s="191">
        <v>263.23039999999997</v>
      </c>
      <c r="DU32" s="191">
        <v>263.32229999999998</v>
      </c>
      <c r="DV32" s="191">
        <v>263.38409999999999</v>
      </c>
      <c r="DW32" s="191">
        <v>263.37079999999997</v>
      </c>
      <c r="DX32" s="191">
        <v>263.28640000000001</v>
      </c>
      <c r="DY32" s="191">
        <v>263.11470000000003</v>
      </c>
      <c r="DZ32" s="191">
        <v>263.25420000000003</v>
      </c>
      <c r="EA32" s="279">
        <v>262.98719999999997</v>
      </c>
      <c r="EB32" s="191">
        <v>262.89769999999999</v>
      </c>
      <c r="EC32" s="279">
        <v>263.07690000000002</v>
      </c>
      <c r="ED32" s="191">
        <v>262.9348</v>
      </c>
      <c r="EE32" s="191">
        <v>262.90449999999998</v>
      </c>
      <c r="EF32" s="191">
        <v>263.07249999999999</v>
      </c>
      <c r="EG32" s="191">
        <v>263.0025</v>
      </c>
      <c r="EH32" s="191">
        <v>263.12029999999999</v>
      </c>
      <c r="EI32" s="191">
        <v>263.09710000000001</v>
      </c>
      <c r="EJ32" s="191">
        <v>262.99009999999998</v>
      </c>
      <c r="EK32" s="191">
        <v>262.88940000000002</v>
      </c>
      <c r="EL32" s="191">
        <v>262.8528</v>
      </c>
      <c r="EM32" s="191">
        <v>262.8279</v>
      </c>
      <c r="EN32" s="191">
        <v>262.8621</v>
      </c>
      <c r="EO32" s="191">
        <v>262.7244</v>
      </c>
      <c r="EP32" s="191">
        <v>262.81459999999998</v>
      </c>
      <c r="EQ32" s="191">
        <v>262.79129999999998</v>
      </c>
      <c r="ER32" s="191">
        <v>262.7131</v>
      </c>
      <c r="ES32" s="191">
        <v>262.71480000000003</v>
      </c>
      <c r="ET32" s="191">
        <v>262.63600000000002</v>
      </c>
      <c r="EU32" s="279">
        <v>262.83139999999997</v>
      </c>
      <c r="EV32" s="191">
        <v>262.63630000000001</v>
      </c>
      <c r="EW32" s="191">
        <v>262.61649999999997</v>
      </c>
      <c r="EX32" s="278">
        <v>263.32600000000002</v>
      </c>
      <c r="EY32" s="191"/>
    </row>
    <row r="33" spans="1:155" ht="45" customHeight="1" x14ac:dyDescent="0.45">
      <c r="A33" s="277">
        <v>160</v>
      </c>
      <c r="B33" s="191"/>
      <c r="C33" s="191"/>
      <c r="D33" s="191"/>
      <c r="E33" s="191"/>
      <c r="F33" s="191"/>
      <c r="G33" s="191"/>
      <c r="H33" s="191"/>
      <c r="I33" s="191"/>
      <c r="J33" s="191"/>
      <c r="K33" s="191"/>
      <c r="L33" s="191"/>
      <c r="M33" s="191"/>
      <c r="N33" s="191"/>
      <c r="O33" s="191"/>
      <c r="P33" s="191"/>
      <c r="Q33" s="191"/>
      <c r="R33" s="191"/>
      <c r="S33" s="191"/>
      <c r="T33" s="191"/>
      <c r="U33" s="191"/>
      <c r="V33" s="191"/>
      <c r="W33" s="191"/>
      <c r="X33" s="191"/>
      <c r="Y33" s="191"/>
      <c r="Z33" s="191"/>
      <c r="AA33" s="191"/>
      <c r="AB33" s="191"/>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278">
        <v>264.14449999999999</v>
      </c>
      <c r="BB33" s="279">
        <v>264.20600000000002</v>
      </c>
      <c r="BC33" s="191">
        <v>263.9248</v>
      </c>
      <c r="BD33" s="191">
        <v>264.07170000000002</v>
      </c>
      <c r="BE33" s="191">
        <v>264.14429999999999</v>
      </c>
      <c r="BF33" s="191">
        <v>264.14269999999999</v>
      </c>
      <c r="BG33" s="191">
        <v>264.14940000000001</v>
      </c>
      <c r="BH33" s="191">
        <v>264.08409999999998</v>
      </c>
      <c r="BI33" s="191">
        <v>264.12049999999999</v>
      </c>
      <c r="BJ33" s="191">
        <v>264.19499999999999</v>
      </c>
      <c r="BK33" s="191">
        <v>264.0532</v>
      </c>
      <c r="BL33" s="191">
        <v>263.96089999999998</v>
      </c>
      <c r="BM33" s="191">
        <v>263.93200000000002</v>
      </c>
      <c r="BN33" s="191">
        <v>263.93700000000001</v>
      </c>
      <c r="BO33" s="191">
        <v>263.8777</v>
      </c>
      <c r="BP33" s="191">
        <v>263.89690000000002</v>
      </c>
      <c r="BQ33" s="191">
        <v>264.0222</v>
      </c>
      <c r="BR33" s="191">
        <v>264.00349999999997</v>
      </c>
      <c r="BS33" s="191">
        <v>263.94670000000002</v>
      </c>
      <c r="BT33" s="191">
        <v>263.73829999999998</v>
      </c>
      <c r="BU33" s="279">
        <v>263.75450000000001</v>
      </c>
      <c r="BV33" s="191">
        <v>263.839</v>
      </c>
      <c r="BW33" s="279">
        <v>263.83690000000001</v>
      </c>
      <c r="BX33" s="191">
        <v>263.649</v>
      </c>
      <c r="BY33" s="191">
        <v>263.5575</v>
      </c>
      <c r="BZ33" s="191">
        <v>263.50299999999999</v>
      </c>
      <c r="CA33" s="191">
        <v>263.53989999999999</v>
      </c>
      <c r="CB33" s="191">
        <v>263.58370000000002</v>
      </c>
      <c r="CC33" s="191">
        <v>263.56599999999997</v>
      </c>
      <c r="CD33" s="191">
        <v>263.59679999999997</v>
      </c>
      <c r="CE33" s="191">
        <v>263.57229999999998</v>
      </c>
      <c r="CF33" s="191">
        <v>263.447</v>
      </c>
      <c r="CG33" s="191">
        <v>263.39350000000002</v>
      </c>
      <c r="CH33" s="191">
        <v>263.54129999999998</v>
      </c>
      <c r="CI33" s="191">
        <v>263.30630000000002</v>
      </c>
      <c r="CJ33" s="191">
        <v>263.57409999999999</v>
      </c>
      <c r="CK33" s="191">
        <v>263.65350000000001</v>
      </c>
      <c r="CL33" s="191">
        <v>263.4579</v>
      </c>
      <c r="CM33" s="191">
        <v>263.6062</v>
      </c>
      <c r="CN33" s="279">
        <v>263.5385</v>
      </c>
      <c r="CO33" s="191">
        <v>263.30399999999997</v>
      </c>
      <c r="CP33" s="191">
        <v>263.01740000000001</v>
      </c>
      <c r="CQ33" s="279">
        <v>263.55529999999999</v>
      </c>
      <c r="CR33" s="191">
        <v>263.51429999999999</v>
      </c>
      <c r="CS33" s="191">
        <v>263.49310000000003</v>
      </c>
      <c r="CT33" s="191">
        <v>263.4615</v>
      </c>
      <c r="CU33" s="191">
        <v>263.0188</v>
      </c>
      <c r="CV33" s="191">
        <v>263.2079</v>
      </c>
      <c r="CW33" s="191">
        <v>263.49299999999999</v>
      </c>
      <c r="CX33" s="191">
        <v>263.49040000000002</v>
      </c>
      <c r="CY33" s="191">
        <v>263.32089999999999</v>
      </c>
      <c r="CZ33" s="191">
        <v>263.35449999999997</v>
      </c>
      <c r="DA33" s="191">
        <v>263.3929</v>
      </c>
      <c r="DB33" s="191">
        <v>263.34460000000001</v>
      </c>
      <c r="DC33" s="191">
        <v>263.3365</v>
      </c>
      <c r="DD33" s="191">
        <v>263.24349999999998</v>
      </c>
      <c r="DE33" s="191">
        <v>263.01069999999999</v>
      </c>
      <c r="DF33" s="191">
        <v>263.08920000000001</v>
      </c>
      <c r="DG33" s="191">
        <v>263.19529999999997</v>
      </c>
      <c r="DH33" s="279">
        <v>263.14879999999999</v>
      </c>
      <c r="DI33" s="191">
        <v>263.2201</v>
      </c>
      <c r="DJ33" s="279">
        <v>263.17180000000002</v>
      </c>
      <c r="DK33" s="191">
        <v>263.13060000000002</v>
      </c>
      <c r="DL33" s="191">
        <v>263.0446</v>
      </c>
      <c r="DM33" s="191">
        <v>263.12830000000002</v>
      </c>
      <c r="DN33" s="191">
        <v>263.1241</v>
      </c>
      <c r="DO33" s="191">
        <v>263.02679999999998</v>
      </c>
      <c r="DP33" s="191">
        <v>263.23259999999999</v>
      </c>
      <c r="DQ33" s="191">
        <v>263.19080000000002</v>
      </c>
      <c r="DR33" s="191">
        <v>263.30869999999999</v>
      </c>
      <c r="DS33" s="191">
        <v>262.94319999999999</v>
      </c>
      <c r="DT33" s="191">
        <v>263.33780000000002</v>
      </c>
      <c r="DU33" s="191">
        <v>263.32049999999998</v>
      </c>
      <c r="DV33" s="191">
        <v>263.34469999999999</v>
      </c>
      <c r="DW33" s="191">
        <v>263.2534</v>
      </c>
      <c r="DX33" s="191">
        <v>263.1551</v>
      </c>
      <c r="DY33" s="191">
        <v>263.13249999999999</v>
      </c>
      <c r="DZ33" s="191">
        <v>262.96030000000002</v>
      </c>
      <c r="EA33" s="279">
        <v>262.7595</v>
      </c>
      <c r="EB33" s="191">
        <v>262.98779999999999</v>
      </c>
      <c r="EC33" s="279">
        <v>262.99119999999999</v>
      </c>
      <c r="ED33" s="191">
        <v>262.95999999999998</v>
      </c>
      <c r="EE33" s="191">
        <v>262.82990000000001</v>
      </c>
      <c r="EF33" s="191">
        <v>262.90679999999998</v>
      </c>
      <c r="EG33" s="191">
        <v>263.0034</v>
      </c>
      <c r="EH33" s="191">
        <v>263.221</v>
      </c>
      <c r="EI33" s="191">
        <v>263.0675</v>
      </c>
      <c r="EJ33" s="191">
        <v>263.01940000000002</v>
      </c>
      <c r="EK33" s="191">
        <v>262.83870000000002</v>
      </c>
      <c r="EL33" s="191">
        <v>262.81659999999999</v>
      </c>
      <c r="EM33" s="191">
        <v>262.81330000000003</v>
      </c>
      <c r="EN33" s="191">
        <v>262.7885</v>
      </c>
      <c r="EO33" s="191">
        <v>262.74099999999999</v>
      </c>
      <c r="EP33" s="191">
        <v>262.76150000000001</v>
      </c>
      <c r="EQ33" s="191">
        <v>262.87759999999997</v>
      </c>
      <c r="ER33" s="191">
        <v>263.02210000000002</v>
      </c>
      <c r="ES33" s="191">
        <v>262.88569999999999</v>
      </c>
      <c r="ET33" s="191">
        <v>262.76690000000002</v>
      </c>
      <c r="EU33" s="279">
        <v>262.97149999999999</v>
      </c>
      <c r="EV33" s="191">
        <v>262.84089999999998</v>
      </c>
      <c r="EW33" s="191">
        <v>262.62090000000001</v>
      </c>
      <c r="EX33" s="278">
        <v>263.32069999999999</v>
      </c>
      <c r="EY33" s="191"/>
    </row>
    <row r="34" spans="1:155" ht="45" customHeight="1" x14ac:dyDescent="0.45">
      <c r="A34" s="277">
        <v>165</v>
      </c>
      <c r="B34" s="191"/>
      <c r="C34" s="191"/>
      <c r="D34" s="191"/>
      <c r="E34" s="191"/>
      <c r="F34" s="191"/>
      <c r="G34" s="191"/>
      <c r="H34" s="191"/>
      <c r="I34" s="191"/>
      <c r="J34" s="191"/>
      <c r="K34" s="191"/>
      <c r="L34" s="191"/>
      <c r="M34" s="191"/>
      <c r="N34" s="191"/>
      <c r="O34" s="191"/>
      <c r="P34" s="191"/>
      <c r="Q34" s="191"/>
      <c r="R34" s="191"/>
      <c r="S34" s="191"/>
      <c r="T34" s="191"/>
      <c r="U34" s="191"/>
      <c r="V34" s="191"/>
      <c r="W34" s="191"/>
      <c r="X34" s="191"/>
      <c r="Y34" s="191"/>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91"/>
      <c r="AV34" s="191"/>
      <c r="AW34" s="191"/>
      <c r="AX34" s="191"/>
      <c r="AY34" s="191"/>
      <c r="AZ34" s="191"/>
      <c r="BA34" s="278">
        <v>264.13330000000002</v>
      </c>
      <c r="BB34" s="279">
        <v>264.13850000000002</v>
      </c>
      <c r="BC34" s="191">
        <v>264.05790000000002</v>
      </c>
      <c r="BD34" s="191">
        <v>264.11239999999998</v>
      </c>
      <c r="BE34" s="191">
        <v>264.04050000000001</v>
      </c>
      <c r="BF34" s="191">
        <v>264.0299</v>
      </c>
      <c r="BG34" s="191">
        <v>263.98489999999998</v>
      </c>
      <c r="BH34" s="191">
        <v>263.86759999999998</v>
      </c>
      <c r="BI34" s="191">
        <v>264.0258</v>
      </c>
      <c r="BJ34" s="191">
        <v>264.166</v>
      </c>
      <c r="BK34" s="191">
        <v>263.95699999999999</v>
      </c>
      <c r="BL34" s="191">
        <v>263.9434</v>
      </c>
      <c r="BM34" s="191">
        <v>263.93540000000002</v>
      </c>
      <c r="BN34" s="191">
        <v>264.02629999999999</v>
      </c>
      <c r="BO34" s="191">
        <v>263.87029999999999</v>
      </c>
      <c r="BP34" s="191">
        <v>263.80770000000001</v>
      </c>
      <c r="BQ34" s="191">
        <v>263.80399999999997</v>
      </c>
      <c r="BR34" s="191">
        <v>263.98129999999998</v>
      </c>
      <c r="BS34" s="191">
        <v>263.88479999999998</v>
      </c>
      <c r="BT34" s="191">
        <v>263.72070000000002</v>
      </c>
      <c r="BU34" s="279">
        <v>263.64240000000001</v>
      </c>
      <c r="BV34" s="191">
        <v>263.52699999999999</v>
      </c>
      <c r="BW34" s="279">
        <v>263.5351</v>
      </c>
      <c r="BX34" s="191">
        <v>263.56150000000002</v>
      </c>
      <c r="BY34" s="191">
        <v>263.38850000000002</v>
      </c>
      <c r="BZ34" s="191">
        <v>263.45960000000002</v>
      </c>
      <c r="CA34" s="191">
        <v>263.53230000000002</v>
      </c>
      <c r="CB34" s="191">
        <v>263.46289999999999</v>
      </c>
      <c r="CC34" s="191">
        <v>263.66090000000003</v>
      </c>
      <c r="CD34" s="191">
        <v>263.6336</v>
      </c>
      <c r="CE34" s="191">
        <v>263.42489999999998</v>
      </c>
      <c r="CF34" s="191">
        <v>263.45679999999999</v>
      </c>
      <c r="CG34" s="191">
        <v>263.58800000000002</v>
      </c>
      <c r="CH34" s="191">
        <v>263.43970000000002</v>
      </c>
      <c r="CI34" s="191">
        <v>263.27</v>
      </c>
      <c r="CJ34" s="191">
        <v>263.31610000000001</v>
      </c>
      <c r="CK34" s="191">
        <v>263.33730000000003</v>
      </c>
      <c r="CL34" s="191">
        <v>263.30200000000002</v>
      </c>
      <c r="CM34" s="191">
        <v>263.30220000000003</v>
      </c>
      <c r="CN34" s="279">
        <v>263.10590000000002</v>
      </c>
      <c r="CO34" s="191">
        <v>263.59219999999999</v>
      </c>
      <c r="CP34" s="191">
        <v>263.7115</v>
      </c>
      <c r="CQ34" s="279">
        <v>263.74169999999998</v>
      </c>
      <c r="CR34" s="191">
        <v>263.6737</v>
      </c>
      <c r="CS34" s="191">
        <v>263.65429999999998</v>
      </c>
      <c r="CT34" s="191">
        <v>263.51909999999998</v>
      </c>
      <c r="CU34" s="191">
        <v>263.3664</v>
      </c>
      <c r="CV34" s="191">
        <v>263.18689999999998</v>
      </c>
      <c r="CW34" s="191">
        <v>263.43419999999998</v>
      </c>
      <c r="CX34" s="191">
        <v>263.52339999999998</v>
      </c>
      <c r="CY34" s="191">
        <v>263.35640000000001</v>
      </c>
      <c r="CZ34" s="191">
        <v>263.34559999999999</v>
      </c>
      <c r="DA34" s="191">
        <v>263.3553</v>
      </c>
      <c r="DB34" s="191">
        <v>263.34230000000002</v>
      </c>
      <c r="DC34" s="191">
        <v>263.4631</v>
      </c>
      <c r="DD34" s="191">
        <v>263.29880000000003</v>
      </c>
      <c r="DE34" s="191">
        <v>263.19080000000002</v>
      </c>
      <c r="DF34" s="191">
        <v>263.09809999999999</v>
      </c>
      <c r="DG34" s="191">
        <v>263.16770000000002</v>
      </c>
      <c r="DH34" s="279">
        <v>263.1207</v>
      </c>
      <c r="DI34" s="191">
        <v>263.2432</v>
      </c>
      <c r="DJ34" s="279">
        <v>263.26479999999998</v>
      </c>
      <c r="DK34" s="191">
        <v>263.18020000000001</v>
      </c>
      <c r="DL34" s="191">
        <v>262.99189999999999</v>
      </c>
      <c r="DM34" s="191">
        <v>263.1567</v>
      </c>
      <c r="DN34" s="191">
        <v>263.06849999999997</v>
      </c>
      <c r="DO34" s="191">
        <v>262.96370000000002</v>
      </c>
      <c r="DP34" s="191">
        <v>263.20659999999998</v>
      </c>
      <c r="DQ34" s="191">
        <v>263.14159999999998</v>
      </c>
      <c r="DR34" s="191">
        <v>263.23680000000002</v>
      </c>
      <c r="DS34" s="191">
        <v>262.86540000000002</v>
      </c>
      <c r="DT34" s="191">
        <v>263.33</v>
      </c>
      <c r="DU34" s="191">
        <v>263.3032</v>
      </c>
      <c r="DV34" s="191">
        <v>263.30650000000003</v>
      </c>
      <c r="DW34" s="191">
        <v>263.19189999999998</v>
      </c>
      <c r="DX34" s="191">
        <v>262.93360000000001</v>
      </c>
      <c r="DY34" s="191">
        <v>262.94400000000002</v>
      </c>
      <c r="DZ34" s="191">
        <v>262.8605</v>
      </c>
      <c r="EA34" s="279">
        <v>262.94920000000002</v>
      </c>
      <c r="EB34" s="191">
        <v>263.07319999999999</v>
      </c>
      <c r="EC34" s="279">
        <v>262.9726</v>
      </c>
      <c r="ED34" s="191">
        <v>262.96199999999999</v>
      </c>
      <c r="EE34" s="191">
        <v>262.90449999999998</v>
      </c>
      <c r="EF34" s="191">
        <v>263.02589999999998</v>
      </c>
      <c r="EG34" s="191">
        <v>263.0804</v>
      </c>
      <c r="EH34" s="191">
        <v>263.15449999999998</v>
      </c>
      <c r="EI34" s="191">
        <v>263.11610000000002</v>
      </c>
      <c r="EJ34" s="191">
        <v>263.00740000000002</v>
      </c>
      <c r="EK34" s="191">
        <v>262.8297</v>
      </c>
      <c r="EL34" s="191">
        <v>262.8057</v>
      </c>
      <c r="EM34" s="191">
        <v>262.77780000000001</v>
      </c>
      <c r="EN34" s="191">
        <v>262.71949999999998</v>
      </c>
      <c r="EO34" s="191">
        <v>262.80110000000002</v>
      </c>
      <c r="EP34" s="191">
        <v>262.83569999999997</v>
      </c>
      <c r="EQ34" s="191">
        <v>262.94819999999999</v>
      </c>
      <c r="ER34" s="191">
        <v>262.92439999999999</v>
      </c>
      <c r="ES34" s="191">
        <v>262.95710000000003</v>
      </c>
      <c r="ET34" s="191">
        <v>262.68810000000002</v>
      </c>
      <c r="EU34" s="279">
        <v>262.8193</v>
      </c>
      <c r="EV34" s="191">
        <v>262.67669999999998</v>
      </c>
      <c r="EW34" s="191">
        <v>262.61720000000003</v>
      </c>
      <c r="EX34" s="278">
        <v>263.01549999999997</v>
      </c>
      <c r="EY34" s="191"/>
    </row>
    <row r="35" spans="1:155" ht="45" customHeight="1" x14ac:dyDescent="0.45">
      <c r="A35" s="277">
        <v>170</v>
      </c>
      <c r="B35" s="191"/>
      <c r="C35" s="191"/>
      <c r="D35" s="191"/>
      <c r="E35" s="191"/>
      <c r="F35" s="191"/>
      <c r="G35" s="191"/>
      <c r="H35" s="191"/>
      <c r="I35" s="191"/>
      <c r="J35" s="191"/>
      <c r="K35" s="191"/>
      <c r="L35" s="191"/>
      <c r="M35" s="191"/>
      <c r="N35" s="191"/>
      <c r="O35" s="191"/>
      <c r="P35" s="191"/>
      <c r="Q35" s="191"/>
      <c r="R35" s="191"/>
      <c r="S35" s="191"/>
      <c r="T35" s="191"/>
      <c r="U35" s="191"/>
      <c r="V35" s="191"/>
      <c r="W35" s="191"/>
      <c r="X35" s="191"/>
      <c r="Y35" s="191"/>
      <c r="Z35" s="191"/>
      <c r="AA35" s="191"/>
      <c r="AB35" s="191"/>
      <c r="AC35" s="191"/>
      <c r="AD35" s="191"/>
      <c r="AE35" s="191"/>
      <c r="AF35" s="191"/>
      <c r="AG35" s="191"/>
      <c r="AH35" s="191"/>
      <c r="AI35" s="191"/>
      <c r="AJ35" s="191"/>
      <c r="AK35" s="191"/>
      <c r="AL35" s="191"/>
      <c r="AM35" s="191"/>
      <c r="AN35" s="191"/>
      <c r="AO35" s="191"/>
      <c r="AP35" s="191"/>
      <c r="AQ35" s="191"/>
      <c r="AR35" s="191"/>
      <c r="AS35" s="191"/>
      <c r="AT35" s="191"/>
      <c r="AU35" s="191"/>
      <c r="AV35" s="191"/>
      <c r="AW35" s="191"/>
      <c r="AX35" s="191"/>
      <c r="AY35" s="191"/>
      <c r="AZ35" s="191"/>
      <c r="BA35" s="278">
        <v>263.89620000000002</v>
      </c>
      <c r="BB35" s="279">
        <v>264.1071</v>
      </c>
      <c r="BC35" s="191">
        <v>264.03960000000001</v>
      </c>
      <c r="BD35" s="191">
        <v>264.17340000000002</v>
      </c>
      <c r="BE35" s="191">
        <v>263.99639999999999</v>
      </c>
      <c r="BF35" s="191">
        <v>264.01440000000002</v>
      </c>
      <c r="BG35" s="191">
        <v>263.9556</v>
      </c>
      <c r="BH35" s="191">
        <v>263.92840000000001</v>
      </c>
      <c r="BI35" s="191">
        <v>263.93150000000003</v>
      </c>
      <c r="BJ35" s="191">
        <v>264.21510000000001</v>
      </c>
      <c r="BK35" s="191">
        <v>263.8374</v>
      </c>
      <c r="BL35" s="191">
        <v>263.97140000000002</v>
      </c>
      <c r="BM35" s="191">
        <v>263.99529999999999</v>
      </c>
      <c r="BN35" s="191">
        <v>263.95780000000002</v>
      </c>
      <c r="BO35" s="191">
        <v>263.82029999999997</v>
      </c>
      <c r="BP35" s="191">
        <v>263.79770000000002</v>
      </c>
      <c r="BQ35" s="191">
        <v>263.6567</v>
      </c>
      <c r="BR35" s="191">
        <v>263.81040000000002</v>
      </c>
      <c r="BS35" s="191">
        <v>263.89139999999998</v>
      </c>
      <c r="BT35" s="191">
        <v>263.8775</v>
      </c>
      <c r="BU35" s="279">
        <v>263.70890000000003</v>
      </c>
      <c r="BV35" s="191">
        <v>263.50439999999998</v>
      </c>
      <c r="BW35" s="279">
        <v>263.47859999999997</v>
      </c>
      <c r="BX35" s="191">
        <v>263.35599999999999</v>
      </c>
      <c r="BY35" s="191">
        <v>263.42259999999999</v>
      </c>
      <c r="BZ35" s="191">
        <v>263.33800000000002</v>
      </c>
      <c r="CA35" s="191">
        <v>263.4957</v>
      </c>
      <c r="CB35" s="191">
        <v>263.30590000000001</v>
      </c>
      <c r="CC35" s="191">
        <v>263.63069999999999</v>
      </c>
      <c r="CD35" s="191">
        <v>263.44060000000002</v>
      </c>
      <c r="CE35" s="191">
        <v>263.48599999999999</v>
      </c>
      <c r="CF35" s="191">
        <v>263.60090000000002</v>
      </c>
      <c r="CG35" s="191">
        <v>263.67880000000002</v>
      </c>
      <c r="CH35" s="191">
        <v>263.36739999999998</v>
      </c>
      <c r="CI35" s="191">
        <v>263.4631</v>
      </c>
      <c r="CJ35" s="191">
        <v>263.4701</v>
      </c>
      <c r="CK35" s="191">
        <v>263.29070000000002</v>
      </c>
      <c r="CL35" s="191">
        <v>263.13720000000001</v>
      </c>
      <c r="CM35" s="191">
        <v>263.58479999999997</v>
      </c>
      <c r="CN35" s="279">
        <v>263.71510000000001</v>
      </c>
      <c r="CO35" s="191">
        <v>263.63339999999999</v>
      </c>
      <c r="CP35" s="191">
        <v>263.63290000000001</v>
      </c>
      <c r="CQ35" s="279">
        <v>263.75689999999997</v>
      </c>
      <c r="CR35" s="191">
        <v>263.66399999999999</v>
      </c>
      <c r="CS35" s="191">
        <v>263.6447</v>
      </c>
      <c r="CT35" s="191">
        <v>263.39519999999999</v>
      </c>
      <c r="CU35" s="191">
        <v>263.43079999999998</v>
      </c>
      <c r="CV35" s="191">
        <v>263.33330000000001</v>
      </c>
      <c r="CW35" s="191">
        <v>263.3938</v>
      </c>
      <c r="CX35" s="191">
        <v>263.48419999999999</v>
      </c>
      <c r="CY35" s="191">
        <v>263.37630000000001</v>
      </c>
      <c r="CZ35" s="191">
        <v>263.41210000000001</v>
      </c>
      <c r="DA35" s="191">
        <v>263.4051</v>
      </c>
      <c r="DB35" s="191">
        <v>263.39019999999999</v>
      </c>
      <c r="DC35" s="191">
        <v>263.34750000000003</v>
      </c>
      <c r="DD35" s="191">
        <v>263.07670000000002</v>
      </c>
      <c r="DE35" s="191">
        <v>263.08580000000001</v>
      </c>
      <c r="DF35" s="191">
        <v>263.01569999999998</v>
      </c>
      <c r="DG35" s="191">
        <v>263.11130000000003</v>
      </c>
      <c r="DH35" s="279">
        <v>263.12790000000001</v>
      </c>
      <c r="DI35" s="191">
        <v>263.15699999999998</v>
      </c>
      <c r="DJ35" s="279">
        <v>263.23689999999999</v>
      </c>
      <c r="DK35" s="191">
        <v>263.07029999999997</v>
      </c>
      <c r="DL35" s="191">
        <v>262.9896</v>
      </c>
      <c r="DM35" s="191">
        <v>263.0763</v>
      </c>
      <c r="DN35" s="191">
        <v>263.03919999999999</v>
      </c>
      <c r="DO35" s="191">
        <v>262.94200000000001</v>
      </c>
      <c r="DP35" s="191">
        <v>263.15429999999998</v>
      </c>
      <c r="DQ35" s="191">
        <v>263.21409999999997</v>
      </c>
      <c r="DR35" s="191">
        <v>263.20060000000001</v>
      </c>
      <c r="DS35" s="191">
        <v>262.87670000000003</v>
      </c>
      <c r="DT35" s="191">
        <v>263.3458</v>
      </c>
      <c r="DU35" s="191">
        <v>263.32190000000003</v>
      </c>
      <c r="DV35" s="191">
        <v>263.33359999999999</v>
      </c>
      <c r="DW35" s="191">
        <v>263.14479999999998</v>
      </c>
      <c r="DX35" s="191">
        <v>263.1549</v>
      </c>
      <c r="DY35" s="191">
        <v>263.02769999999998</v>
      </c>
      <c r="DZ35" s="191">
        <v>262.7593</v>
      </c>
      <c r="EA35" s="279">
        <v>262.98129999999998</v>
      </c>
      <c r="EB35" s="191">
        <v>262.96190000000001</v>
      </c>
      <c r="EC35" s="279">
        <v>262.68970000000002</v>
      </c>
      <c r="ED35" s="191">
        <v>262.95909999999998</v>
      </c>
      <c r="EE35" s="191">
        <v>262.98509999999999</v>
      </c>
      <c r="EF35" s="191">
        <v>262.98869999999999</v>
      </c>
      <c r="EG35" s="191">
        <v>263.10180000000003</v>
      </c>
      <c r="EH35" s="191">
        <v>263.1764</v>
      </c>
      <c r="EI35" s="191">
        <v>263.07339999999999</v>
      </c>
      <c r="EJ35" s="191">
        <v>263.03070000000002</v>
      </c>
      <c r="EK35" s="191">
        <v>262.84199999999998</v>
      </c>
      <c r="EL35" s="191">
        <v>262.84460000000001</v>
      </c>
      <c r="EM35" s="191">
        <v>262.77629999999999</v>
      </c>
      <c r="EN35" s="191">
        <v>262.6705</v>
      </c>
      <c r="EO35" s="191">
        <v>262.83679999999998</v>
      </c>
      <c r="EP35" s="191">
        <v>262.73860000000002</v>
      </c>
      <c r="EQ35" s="191">
        <v>262.74990000000003</v>
      </c>
      <c r="ER35" s="191">
        <v>262.84649999999999</v>
      </c>
      <c r="ES35" s="191">
        <v>262.75060000000002</v>
      </c>
      <c r="ET35" s="191">
        <v>262.7296</v>
      </c>
      <c r="EU35" s="279">
        <v>262.85379999999998</v>
      </c>
      <c r="EV35" s="191">
        <v>262.59640000000002</v>
      </c>
      <c r="EW35" s="191">
        <v>262.59899999999999</v>
      </c>
      <c r="EX35" s="278">
        <v>262.58109999999999</v>
      </c>
      <c r="EY35" s="191"/>
    </row>
    <row r="36" spans="1:155" ht="45" customHeight="1" x14ac:dyDescent="0.45">
      <c r="A36" s="277">
        <v>175</v>
      </c>
      <c r="B36" s="191"/>
      <c r="C36" s="191"/>
      <c r="D36" s="191"/>
      <c r="E36" s="191"/>
      <c r="F36" s="191"/>
      <c r="G36" s="191"/>
      <c r="H36" s="191"/>
      <c r="I36" s="191"/>
      <c r="J36" s="191"/>
      <c r="K36" s="191"/>
      <c r="L36" s="191"/>
      <c r="M36" s="191"/>
      <c r="N36" s="191"/>
      <c r="O36" s="191"/>
      <c r="P36" s="191"/>
      <c r="Q36" s="191"/>
      <c r="R36" s="191"/>
      <c r="S36" s="191"/>
      <c r="T36" s="191"/>
      <c r="U36" s="191"/>
      <c r="V36" s="191"/>
      <c r="W36" s="191"/>
      <c r="X36" s="191"/>
      <c r="Y36" s="191"/>
      <c r="Z36" s="191"/>
      <c r="AA36" s="191"/>
      <c r="AB36" s="191"/>
      <c r="AC36" s="191"/>
      <c r="AD36" s="191"/>
      <c r="AE36" s="191"/>
      <c r="AF36" s="191"/>
      <c r="AG36" s="191"/>
      <c r="AH36" s="191"/>
      <c r="AI36" s="191"/>
      <c r="AJ36" s="191"/>
      <c r="AK36" s="191"/>
      <c r="AL36" s="191"/>
      <c r="AM36" s="191"/>
      <c r="AN36" s="191"/>
      <c r="AO36" s="191"/>
      <c r="AP36" s="191"/>
      <c r="AQ36" s="191"/>
      <c r="AR36" s="191"/>
      <c r="AS36" s="191"/>
      <c r="AT36" s="191"/>
      <c r="AU36" s="191"/>
      <c r="AV36" s="191"/>
      <c r="AW36" s="191"/>
      <c r="AX36" s="191"/>
      <c r="AY36" s="191"/>
      <c r="AZ36" s="191"/>
      <c r="BA36" s="278">
        <v>264.38830000000002</v>
      </c>
      <c r="BB36" s="279">
        <v>264.09879999999998</v>
      </c>
      <c r="BC36" s="191">
        <v>264.12790000000001</v>
      </c>
      <c r="BD36" s="191">
        <v>264.1277</v>
      </c>
      <c r="BE36" s="191">
        <v>264.08589999999998</v>
      </c>
      <c r="BF36" s="191">
        <v>263.94110000000001</v>
      </c>
      <c r="BG36" s="191">
        <v>263.91399999999999</v>
      </c>
      <c r="BH36" s="191">
        <v>263.89319999999998</v>
      </c>
      <c r="BI36" s="191">
        <v>263.92450000000002</v>
      </c>
      <c r="BJ36" s="191">
        <v>264.13200000000001</v>
      </c>
      <c r="BK36" s="191">
        <v>263.98790000000002</v>
      </c>
      <c r="BL36" s="191">
        <v>263.9307</v>
      </c>
      <c r="BM36" s="191">
        <v>263.86869999999999</v>
      </c>
      <c r="BN36" s="191">
        <v>263.77170000000001</v>
      </c>
      <c r="BO36" s="191">
        <v>263.80739999999997</v>
      </c>
      <c r="BP36" s="191">
        <v>263.96620000000001</v>
      </c>
      <c r="BQ36" s="191">
        <v>263.71890000000002</v>
      </c>
      <c r="BR36" s="191">
        <v>263.72480000000002</v>
      </c>
      <c r="BS36" s="191">
        <v>263.82850000000002</v>
      </c>
      <c r="BT36" s="191">
        <v>263.73689999999999</v>
      </c>
      <c r="BU36" s="279">
        <v>263.48379999999997</v>
      </c>
      <c r="BV36" s="191">
        <v>263.45620000000002</v>
      </c>
      <c r="BW36" s="279">
        <v>263.47239999999999</v>
      </c>
      <c r="BX36" s="191">
        <v>263.44540000000001</v>
      </c>
      <c r="BY36" s="191">
        <v>263.48939999999999</v>
      </c>
      <c r="BZ36" s="191">
        <v>263.5496</v>
      </c>
      <c r="CA36" s="191">
        <v>263.66309999999999</v>
      </c>
      <c r="CB36" s="191">
        <v>263.58390000000003</v>
      </c>
      <c r="CC36" s="191">
        <v>263.52710000000002</v>
      </c>
      <c r="CD36" s="191">
        <v>263.726</v>
      </c>
      <c r="CE36" s="191">
        <v>263.59910000000002</v>
      </c>
      <c r="CF36" s="191">
        <v>263.66550000000001</v>
      </c>
      <c r="CG36" s="191">
        <v>263.5847</v>
      </c>
      <c r="CH36" s="191">
        <v>263.43599999999998</v>
      </c>
      <c r="CI36" s="191">
        <v>263.29790000000003</v>
      </c>
      <c r="CJ36" s="191">
        <v>263.29759999999999</v>
      </c>
      <c r="CK36" s="191">
        <v>263.64210000000003</v>
      </c>
      <c r="CL36" s="191">
        <v>263.67899999999997</v>
      </c>
      <c r="CM36" s="191">
        <v>263.54950000000002</v>
      </c>
      <c r="CN36" s="279">
        <v>263.67649999999998</v>
      </c>
      <c r="CO36" s="191">
        <v>263.68389999999999</v>
      </c>
      <c r="CP36" s="191">
        <v>263.67930000000001</v>
      </c>
      <c r="CQ36" s="279">
        <v>263.52659999999997</v>
      </c>
      <c r="CR36" s="191">
        <v>263.5675</v>
      </c>
      <c r="CS36" s="191">
        <v>263.58550000000002</v>
      </c>
      <c r="CT36" s="191">
        <v>263.50630000000001</v>
      </c>
      <c r="CU36" s="191">
        <v>263.46570000000003</v>
      </c>
      <c r="CV36" s="191">
        <v>263.25799999999998</v>
      </c>
      <c r="CW36" s="191">
        <v>263.30189999999999</v>
      </c>
      <c r="CX36" s="191">
        <v>263.35930000000002</v>
      </c>
      <c r="CY36" s="191">
        <v>263.41329999999999</v>
      </c>
      <c r="CZ36" s="191">
        <v>263.33089999999999</v>
      </c>
      <c r="DA36" s="191">
        <v>263.2783</v>
      </c>
      <c r="DB36" s="191">
        <v>263.19639999999998</v>
      </c>
      <c r="DC36" s="191">
        <v>263.3716</v>
      </c>
      <c r="DD36" s="191">
        <v>263.06540000000001</v>
      </c>
      <c r="DE36" s="191">
        <v>262.88440000000003</v>
      </c>
      <c r="DF36" s="191">
        <v>262.97840000000002</v>
      </c>
      <c r="DG36" s="191">
        <v>263.029</v>
      </c>
      <c r="DH36" s="279">
        <v>263.00580000000002</v>
      </c>
      <c r="DI36" s="191">
        <v>263.08</v>
      </c>
      <c r="DJ36" s="279">
        <v>263.10500000000002</v>
      </c>
      <c r="DK36" s="191">
        <v>263.05560000000003</v>
      </c>
      <c r="DL36" s="191">
        <v>263.08890000000002</v>
      </c>
      <c r="DM36" s="191">
        <v>263.05900000000003</v>
      </c>
      <c r="DN36" s="191">
        <v>262.9579</v>
      </c>
      <c r="DO36" s="191">
        <v>262.92950000000002</v>
      </c>
      <c r="DP36" s="191">
        <v>263.17149999999998</v>
      </c>
      <c r="DQ36" s="191">
        <v>263.07330000000002</v>
      </c>
      <c r="DR36" s="191">
        <v>263.15879999999999</v>
      </c>
      <c r="DS36" s="191">
        <v>263.10750000000002</v>
      </c>
      <c r="DT36" s="191">
        <v>263.25720000000001</v>
      </c>
      <c r="DU36" s="191">
        <v>263.3091</v>
      </c>
      <c r="DV36" s="191">
        <v>263.25549999999998</v>
      </c>
      <c r="DW36" s="191">
        <v>263.18369999999999</v>
      </c>
      <c r="DX36" s="191">
        <v>263.18889999999999</v>
      </c>
      <c r="DY36" s="191">
        <v>262.87169999999998</v>
      </c>
      <c r="DZ36" s="191">
        <v>262.87470000000002</v>
      </c>
      <c r="EA36" s="279">
        <v>262.93380000000002</v>
      </c>
      <c r="EB36" s="191">
        <v>262.89400000000001</v>
      </c>
      <c r="EC36" s="279">
        <v>262.59829999999999</v>
      </c>
      <c r="ED36" s="191">
        <v>262.92149999999998</v>
      </c>
      <c r="EE36" s="191">
        <v>262.94670000000002</v>
      </c>
      <c r="EF36" s="191">
        <v>262.827</v>
      </c>
      <c r="EG36" s="191">
        <v>262.9982</v>
      </c>
      <c r="EH36" s="191">
        <v>263.14409999999998</v>
      </c>
      <c r="EI36" s="191">
        <v>263.10939999999999</v>
      </c>
      <c r="EJ36" s="191">
        <v>262.92079999999999</v>
      </c>
      <c r="EK36" s="191">
        <v>262.89069999999998</v>
      </c>
      <c r="EL36" s="191">
        <v>262.72809999999998</v>
      </c>
      <c r="EM36" s="191">
        <v>262.63150000000002</v>
      </c>
      <c r="EN36" s="191">
        <v>262.7294</v>
      </c>
      <c r="EO36" s="191">
        <v>262.6823</v>
      </c>
      <c r="EP36" s="191">
        <v>262.77730000000003</v>
      </c>
      <c r="EQ36" s="191">
        <v>262.71190000000001</v>
      </c>
      <c r="ER36" s="191">
        <v>262.74360000000001</v>
      </c>
      <c r="ES36" s="191">
        <v>262.94349999999997</v>
      </c>
      <c r="ET36" s="191">
        <v>262.94369999999998</v>
      </c>
      <c r="EU36" s="279">
        <v>262.69080000000002</v>
      </c>
      <c r="EV36" s="191">
        <v>262.63510000000002</v>
      </c>
      <c r="EW36" s="278">
        <v>262.62270000000001</v>
      </c>
      <c r="EX36" s="191"/>
      <c r="EY36" s="191"/>
    </row>
    <row r="37" spans="1:155" ht="45" customHeight="1" x14ac:dyDescent="0.45">
      <c r="A37" s="277">
        <v>180</v>
      </c>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c r="AA37" s="191"/>
      <c r="AB37" s="191"/>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278">
        <v>263.88810000000001</v>
      </c>
      <c r="BB37" s="279">
        <v>263.80669999999998</v>
      </c>
      <c r="BC37" s="191">
        <v>263.89769999999999</v>
      </c>
      <c r="BD37" s="191">
        <v>263.96539999999999</v>
      </c>
      <c r="BE37" s="191">
        <v>264.04750000000001</v>
      </c>
      <c r="BF37" s="191">
        <v>264.0204</v>
      </c>
      <c r="BG37" s="191">
        <v>263.7432</v>
      </c>
      <c r="BH37" s="191">
        <v>263.80709999999999</v>
      </c>
      <c r="BI37" s="191">
        <v>263.80290000000002</v>
      </c>
      <c r="BJ37" s="191">
        <v>263.95960000000002</v>
      </c>
      <c r="BK37" s="191">
        <v>263.899</v>
      </c>
      <c r="BL37" s="191">
        <v>264.01260000000002</v>
      </c>
      <c r="BM37" s="191">
        <v>263.90210000000002</v>
      </c>
      <c r="BN37" s="191">
        <v>264.03870000000001</v>
      </c>
      <c r="BO37" s="191">
        <v>263.75990000000002</v>
      </c>
      <c r="BP37" s="191">
        <v>263.78609999999998</v>
      </c>
      <c r="BQ37" s="191">
        <v>263.82690000000002</v>
      </c>
      <c r="BR37" s="191">
        <v>263.61919999999998</v>
      </c>
      <c r="BS37" s="191">
        <v>263.53160000000003</v>
      </c>
      <c r="BT37" s="191">
        <v>263.99810000000002</v>
      </c>
      <c r="BU37" s="279">
        <v>263.53109999999998</v>
      </c>
      <c r="BV37" s="191">
        <v>263.48500000000001</v>
      </c>
      <c r="BW37" s="279">
        <v>263.47789999999998</v>
      </c>
      <c r="BX37" s="191">
        <v>263.36439999999999</v>
      </c>
      <c r="BY37" s="191">
        <v>263.45729999999998</v>
      </c>
      <c r="BZ37" s="191">
        <v>263.42720000000003</v>
      </c>
      <c r="CA37" s="191">
        <v>263.65210000000002</v>
      </c>
      <c r="CB37" s="191">
        <v>263.6266</v>
      </c>
      <c r="CC37" s="191">
        <v>263.6275</v>
      </c>
      <c r="CD37" s="191">
        <v>263.66910000000001</v>
      </c>
      <c r="CE37" s="191">
        <v>263.6275</v>
      </c>
      <c r="CF37" s="191">
        <v>263.57830000000001</v>
      </c>
      <c r="CG37" s="191">
        <v>263.16489999999999</v>
      </c>
      <c r="CH37" s="191">
        <v>263.25080000000003</v>
      </c>
      <c r="CI37" s="191">
        <v>263.51119999999997</v>
      </c>
      <c r="CJ37" s="191">
        <v>263.71980000000002</v>
      </c>
      <c r="CK37" s="191">
        <v>263.72919999999999</v>
      </c>
      <c r="CL37" s="191">
        <v>263.61309999999997</v>
      </c>
      <c r="CM37" s="191">
        <v>263.5822</v>
      </c>
      <c r="CN37" s="279">
        <v>263.60469999999998</v>
      </c>
      <c r="CO37" s="191">
        <v>263.39729999999997</v>
      </c>
      <c r="CP37" s="191">
        <v>263.45679999999999</v>
      </c>
      <c r="CQ37" s="279">
        <v>263.4547</v>
      </c>
      <c r="CR37" s="191">
        <v>263.673</v>
      </c>
      <c r="CS37" s="191">
        <v>263.5942</v>
      </c>
      <c r="CT37" s="191">
        <v>263.3374</v>
      </c>
      <c r="CU37" s="191">
        <v>263.29930000000002</v>
      </c>
      <c r="CV37" s="191">
        <v>263.35309999999998</v>
      </c>
      <c r="CW37" s="191">
        <v>263.37479999999999</v>
      </c>
      <c r="CX37" s="191">
        <v>263.36219999999997</v>
      </c>
      <c r="CY37" s="191">
        <v>263.30169999999998</v>
      </c>
      <c r="CZ37" s="191">
        <v>263.28649999999999</v>
      </c>
      <c r="DA37" s="191">
        <v>263.34059999999999</v>
      </c>
      <c r="DB37" s="191">
        <v>263.32589999999999</v>
      </c>
      <c r="DC37" s="191">
        <v>263.32400000000001</v>
      </c>
      <c r="DD37" s="191">
        <v>263.24250000000001</v>
      </c>
      <c r="DE37" s="191">
        <v>263.00790000000001</v>
      </c>
      <c r="DF37" s="191">
        <v>263.02910000000003</v>
      </c>
      <c r="DG37" s="191">
        <v>263.09019999999998</v>
      </c>
      <c r="DH37" s="279">
        <v>263.15339999999998</v>
      </c>
      <c r="DI37" s="191">
        <v>263.02319999999997</v>
      </c>
      <c r="DJ37" s="279">
        <v>263.11829999999998</v>
      </c>
      <c r="DK37" s="191">
        <v>263.14490000000001</v>
      </c>
      <c r="DL37" s="191">
        <v>263.1123</v>
      </c>
      <c r="DM37" s="191">
        <v>263.0643</v>
      </c>
      <c r="DN37" s="191">
        <v>263.0224</v>
      </c>
      <c r="DO37" s="191">
        <v>263.0437</v>
      </c>
      <c r="DP37" s="191">
        <v>263.38580000000002</v>
      </c>
      <c r="DQ37" s="191">
        <v>263.38799999999998</v>
      </c>
      <c r="DR37" s="191">
        <v>263.2627</v>
      </c>
      <c r="DS37" s="191">
        <v>263.32580000000002</v>
      </c>
      <c r="DT37" s="191">
        <v>263.26909999999998</v>
      </c>
      <c r="DU37" s="191">
        <v>263.27339999999998</v>
      </c>
      <c r="DV37" s="191">
        <v>263.13959999999997</v>
      </c>
      <c r="DW37" s="191">
        <v>262.99189999999999</v>
      </c>
      <c r="DX37" s="191">
        <v>262.87349999999998</v>
      </c>
      <c r="DY37" s="191">
        <v>262.94299999999998</v>
      </c>
      <c r="DZ37" s="191">
        <v>263.07069999999999</v>
      </c>
      <c r="EA37" s="279">
        <v>263.06880000000001</v>
      </c>
      <c r="EB37" s="191">
        <v>263.05790000000002</v>
      </c>
      <c r="EC37" s="279">
        <v>262.95150000000001</v>
      </c>
      <c r="ED37" s="191">
        <v>262.93329999999997</v>
      </c>
      <c r="EE37" s="191">
        <v>263.00279999999998</v>
      </c>
      <c r="EF37" s="191">
        <v>262.79430000000002</v>
      </c>
      <c r="EG37" s="191">
        <v>262.88010000000003</v>
      </c>
      <c r="EH37" s="191">
        <v>262.95350000000002</v>
      </c>
      <c r="EI37" s="191">
        <v>263.0104</v>
      </c>
      <c r="EJ37" s="191">
        <v>262.9427</v>
      </c>
      <c r="EK37" s="191">
        <v>262.88260000000002</v>
      </c>
      <c r="EL37" s="191">
        <v>262.74829999999997</v>
      </c>
      <c r="EM37" s="191">
        <v>262.60789999999997</v>
      </c>
      <c r="EN37" s="191">
        <v>262.66660000000002</v>
      </c>
      <c r="EO37" s="191">
        <v>262.65649999999999</v>
      </c>
      <c r="EP37" s="191">
        <v>262.67700000000002</v>
      </c>
      <c r="EQ37" s="191">
        <v>262.73680000000002</v>
      </c>
      <c r="ER37" s="191">
        <v>262.8297</v>
      </c>
      <c r="ES37" s="191">
        <v>262.76760000000002</v>
      </c>
      <c r="ET37" s="191">
        <v>262.6823</v>
      </c>
      <c r="EU37" s="279">
        <v>262.60430000000002</v>
      </c>
      <c r="EV37" s="191">
        <v>262.61750000000001</v>
      </c>
      <c r="EW37" s="278">
        <v>262.8032</v>
      </c>
      <c r="EX37" s="191"/>
      <c r="EY37" s="191"/>
    </row>
    <row r="38" spans="1:155" ht="45" customHeight="1" x14ac:dyDescent="0.45">
      <c r="A38" s="277">
        <v>185</v>
      </c>
      <c r="B38" s="191"/>
      <c r="C38" s="191"/>
      <c r="D38" s="191"/>
      <c r="E38" s="191"/>
      <c r="F38" s="191"/>
      <c r="G38" s="191"/>
      <c r="H38" s="191"/>
      <c r="I38" s="191"/>
      <c r="J38" s="191"/>
      <c r="K38" s="191"/>
      <c r="L38" s="191"/>
      <c r="M38" s="191"/>
      <c r="N38" s="191"/>
      <c r="O38" s="191"/>
      <c r="P38" s="191"/>
      <c r="Q38" s="191"/>
      <c r="R38" s="191"/>
      <c r="S38" s="191"/>
      <c r="T38" s="191"/>
      <c r="U38" s="191"/>
      <c r="V38" s="191"/>
      <c r="W38" s="191"/>
      <c r="X38" s="191"/>
      <c r="Y38" s="191"/>
      <c r="Z38" s="191"/>
      <c r="AA38" s="191"/>
      <c r="AB38" s="191"/>
      <c r="AC38" s="191"/>
      <c r="AD38" s="191"/>
      <c r="AE38" s="191"/>
      <c r="AF38" s="191"/>
      <c r="AG38" s="191"/>
      <c r="AH38" s="191"/>
      <c r="AI38" s="191"/>
      <c r="AJ38" s="191"/>
      <c r="AK38" s="191"/>
      <c r="AL38" s="191"/>
      <c r="AM38" s="191"/>
      <c r="AN38" s="191"/>
      <c r="AO38" s="191"/>
      <c r="AP38" s="191"/>
      <c r="AQ38" s="191"/>
      <c r="AR38" s="191"/>
      <c r="AS38" s="191"/>
      <c r="AT38" s="191"/>
      <c r="AU38" s="191"/>
      <c r="AV38" s="191"/>
      <c r="AW38" s="191"/>
      <c r="AX38" s="191"/>
      <c r="AY38" s="191"/>
      <c r="AZ38" s="191"/>
      <c r="BA38" s="278">
        <v>264.02210000000002</v>
      </c>
      <c r="BB38" s="279">
        <v>263.80709999999999</v>
      </c>
      <c r="BC38" s="191">
        <v>264</v>
      </c>
      <c r="BD38" s="191">
        <v>264.02629999999999</v>
      </c>
      <c r="BE38" s="191">
        <v>264.02170000000001</v>
      </c>
      <c r="BF38" s="191">
        <v>263.96030000000002</v>
      </c>
      <c r="BG38" s="191">
        <v>263.91030000000001</v>
      </c>
      <c r="BH38" s="191">
        <v>263.88279999999997</v>
      </c>
      <c r="BI38" s="191">
        <v>263.97019999999998</v>
      </c>
      <c r="BJ38" s="191">
        <v>264.01519999999999</v>
      </c>
      <c r="BK38" s="191">
        <v>263.95490000000001</v>
      </c>
      <c r="BL38" s="191">
        <v>263.71449999999999</v>
      </c>
      <c r="BM38" s="191">
        <v>263.77269999999999</v>
      </c>
      <c r="BN38" s="191">
        <v>263.76100000000002</v>
      </c>
      <c r="BO38" s="191">
        <v>263.78469999999999</v>
      </c>
      <c r="BP38" s="191">
        <v>263.76479999999998</v>
      </c>
      <c r="BQ38" s="191">
        <v>263.6687</v>
      </c>
      <c r="BR38" s="191">
        <v>263.67919999999998</v>
      </c>
      <c r="BS38" s="191">
        <v>263.80149999999998</v>
      </c>
      <c r="BT38" s="191">
        <v>263.69439999999997</v>
      </c>
      <c r="BU38" s="279">
        <v>263.541</v>
      </c>
      <c r="BV38" s="191">
        <v>263.5258</v>
      </c>
      <c r="BW38" s="279">
        <v>263.6028</v>
      </c>
      <c r="BX38" s="191">
        <v>263.52429999999998</v>
      </c>
      <c r="BY38" s="191">
        <v>263.75229999999999</v>
      </c>
      <c r="BZ38" s="191">
        <v>263.40190000000001</v>
      </c>
      <c r="CA38" s="191">
        <v>263.73630000000003</v>
      </c>
      <c r="CB38" s="191">
        <v>263.73939999999999</v>
      </c>
      <c r="CC38" s="191">
        <v>263.74979999999999</v>
      </c>
      <c r="CD38" s="191">
        <v>263.48540000000003</v>
      </c>
      <c r="CE38" s="191">
        <v>263.06889999999999</v>
      </c>
      <c r="CF38" s="191">
        <v>263.4511</v>
      </c>
      <c r="CG38" s="191">
        <v>263.53820000000002</v>
      </c>
      <c r="CH38" s="191">
        <v>263.5052</v>
      </c>
      <c r="CI38" s="191">
        <v>263.49680000000001</v>
      </c>
      <c r="CJ38" s="191">
        <v>263.69049999999999</v>
      </c>
      <c r="CK38" s="191">
        <v>263.59809999999999</v>
      </c>
      <c r="CL38" s="191">
        <v>263.55220000000003</v>
      </c>
      <c r="CM38" s="191">
        <v>263.47469999999998</v>
      </c>
      <c r="CN38" s="279">
        <v>263.51400000000001</v>
      </c>
      <c r="CO38" s="191">
        <v>263.32920000000001</v>
      </c>
      <c r="CP38" s="191">
        <v>263.5127</v>
      </c>
      <c r="CQ38" s="279">
        <v>263.61559999999997</v>
      </c>
      <c r="CR38" s="191">
        <v>263.63600000000002</v>
      </c>
      <c r="CS38" s="191">
        <v>263.58920000000001</v>
      </c>
      <c r="CT38" s="191">
        <v>263.31729999999999</v>
      </c>
      <c r="CU38" s="191">
        <v>263.28500000000003</v>
      </c>
      <c r="CV38" s="191">
        <v>263.31740000000002</v>
      </c>
      <c r="CW38" s="191">
        <v>263.32530000000003</v>
      </c>
      <c r="CX38" s="191">
        <v>263.32889999999998</v>
      </c>
      <c r="CY38" s="191">
        <v>263.21660000000003</v>
      </c>
      <c r="CZ38" s="191">
        <v>263.49579999999997</v>
      </c>
      <c r="DA38" s="191">
        <v>263.31939999999997</v>
      </c>
      <c r="DB38" s="191">
        <v>263.17399999999998</v>
      </c>
      <c r="DC38" s="191">
        <v>263.28019999999998</v>
      </c>
      <c r="DD38" s="191">
        <v>263.1891</v>
      </c>
      <c r="DE38" s="191">
        <v>263.15159999999997</v>
      </c>
      <c r="DF38" s="191">
        <v>263.21640000000002</v>
      </c>
      <c r="DG38" s="191">
        <v>263.07260000000002</v>
      </c>
      <c r="DH38" s="279">
        <v>263.15140000000002</v>
      </c>
      <c r="DI38" s="191">
        <v>263.20389999999998</v>
      </c>
      <c r="DJ38" s="279">
        <v>263.0881</v>
      </c>
      <c r="DK38" s="191">
        <v>263.09289999999999</v>
      </c>
      <c r="DL38" s="191">
        <v>263.02</v>
      </c>
      <c r="DM38" s="191">
        <v>263.0994</v>
      </c>
      <c r="DN38" s="191">
        <v>263.35750000000002</v>
      </c>
      <c r="DO38" s="191">
        <v>263.11450000000002</v>
      </c>
      <c r="DP38" s="191">
        <v>263.13920000000002</v>
      </c>
      <c r="DQ38" s="191">
        <v>263.34550000000002</v>
      </c>
      <c r="DR38" s="191">
        <v>263.19580000000002</v>
      </c>
      <c r="DS38" s="191">
        <v>263.42469999999997</v>
      </c>
      <c r="DT38" s="191">
        <v>263.3689</v>
      </c>
      <c r="DU38" s="191">
        <v>263.2645</v>
      </c>
      <c r="DV38" s="191">
        <v>263.24849999999998</v>
      </c>
      <c r="DW38" s="191">
        <v>262.92399999999998</v>
      </c>
      <c r="DX38" s="191">
        <v>262.8897</v>
      </c>
      <c r="DY38" s="191">
        <v>263.2568</v>
      </c>
      <c r="DZ38" s="191">
        <v>262.96140000000003</v>
      </c>
      <c r="EA38" s="279">
        <v>263.05680000000001</v>
      </c>
      <c r="EB38" s="191">
        <v>263.08330000000001</v>
      </c>
      <c r="EC38" s="279">
        <v>262.91149999999999</v>
      </c>
      <c r="ED38" s="191">
        <v>263.0324</v>
      </c>
      <c r="EE38" s="191">
        <v>263.26130000000001</v>
      </c>
      <c r="EF38" s="191">
        <v>263.02109999999999</v>
      </c>
      <c r="EG38" s="191">
        <v>262.72460000000001</v>
      </c>
      <c r="EH38" s="191">
        <v>262.94929999999999</v>
      </c>
      <c r="EI38" s="191">
        <v>262.9348</v>
      </c>
      <c r="EJ38" s="191">
        <v>262.93979999999999</v>
      </c>
      <c r="EK38" s="191">
        <v>262.75779999999997</v>
      </c>
      <c r="EL38" s="191">
        <v>262.7167</v>
      </c>
      <c r="EM38" s="191">
        <v>262.65519999999998</v>
      </c>
      <c r="EN38" s="191">
        <v>262.6148</v>
      </c>
      <c r="EO38" s="191">
        <v>262.80810000000002</v>
      </c>
      <c r="EP38" s="191">
        <v>262.76580000000001</v>
      </c>
      <c r="EQ38" s="191">
        <v>262.89690000000002</v>
      </c>
      <c r="ER38" s="191">
        <v>263.07249999999999</v>
      </c>
      <c r="ES38" s="191">
        <v>262.97699999999998</v>
      </c>
      <c r="ET38" s="191">
        <v>262.83499999999998</v>
      </c>
      <c r="EU38" s="279">
        <v>262.96499999999997</v>
      </c>
      <c r="EV38" s="191">
        <v>262.62270000000001</v>
      </c>
      <c r="EW38" s="278">
        <v>262.66770000000002</v>
      </c>
      <c r="EX38" s="191"/>
      <c r="EY38" s="191"/>
    </row>
    <row r="39" spans="1:155" ht="45" customHeight="1" x14ac:dyDescent="0.45">
      <c r="A39" s="277">
        <v>190</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Z39" s="191"/>
      <c r="AA39" s="191"/>
      <c r="AB39" s="191"/>
      <c r="AC39" s="191"/>
      <c r="AD39" s="191"/>
      <c r="AE39" s="191"/>
      <c r="AF39" s="191"/>
      <c r="AG39" s="191"/>
      <c r="AH39" s="191"/>
      <c r="AI39" s="191"/>
      <c r="AJ39" s="191"/>
      <c r="AK39" s="191"/>
      <c r="AL39" s="191"/>
      <c r="AM39" s="191"/>
      <c r="AN39" s="191"/>
      <c r="AO39" s="191"/>
      <c r="AP39" s="191"/>
      <c r="AQ39" s="191"/>
      <c r="AR39" s="191"/>
      <c r="AS39" s="191"/>
      <c r="AT39" s="191"/>
      <c r="AU39" s="191"/>
      <c r="AV39" s="191"/>
      <c r="AW39" s="191"/>
      <c r="AX39" s="191"/>
      <c r="AY39" s="191"/>
      <c r="AZ39" s="191"/>
      <c r="BA39" s="278">
        <v>264.03410000000002</v>
      </c>
      <c r="BB39" s="279">
        <v>264.0813</v>
      </c>
      <c r="BC39" s="191">
        <v>264.08510000000001</v>
      </c>
      <c r="BD39" s="191">
        <v>264.07549999999998</v>
      </c>
      <c r="BE39" s="191">
        <v>264.03230000000002</v>
      </c>
      <c r="BF39" s="191">
        <v>263.9307</v>
      </c>
      <c r="BG39" s="191">
        <v>263.91030000000001</v>
      </c>
      <c r="BH39" s="191">
        <v>263.88240000000002</v>
      </c>
      <c r="BI39" s="191">
        <v>263.96609999999998</v>
      </c>
      <c r="BJ39" s="191">
        <v>263.90249999999997</v>
      </c>
      <c r="BK39" s="191">
        <v>263.9622</v>
      </c>
      <c r="BL39" s="191">
        <v>263.84690000000001</v>
      </c>
      <c r="BM39" s="191">
        <v>263.8399</v>
      </c>
      <c r="BN39" s="191">
        <v>263.77519999999998</v>
      </c>
      <c r="BO39" s="191">
        <v>263.80990000000003</v>
      </c>
      <c r="BP39" s="191">
        <v>263.661</v>
      </c>
      <c r="BQ39" s="191">
        <v>263.63780000000003</v>
      </c>
      <c r="BR39" s="191">
        <v>263.5772</v>
      </c>
      <c r="BS39" s="191">
        <v>263.71179999999998</v>
      </c>
      <c r="BT39" s="191">
        <v>263.63909999999998</v>
      </c>
      <c r="BU39" s="279">
        <v>263.54250000000002</v>
      </c>
      <c r="BV39" s="191">
        <v>263.61919999999998</v>
      </c>
      <c r="BW39" s="279">
        <v>263.49329999999998</v>
      </c>
      <c r="BX39" s="191">
        <v>263.51519999999999</v>
      </c>
      <c r="BY39" s="191">
        <v>263.84480000000002</v>
      </c>
      <c r="BZ39" s="191">
        <v>263.7792</v>
      </c>
      <c r="CA39" s="191">
        <v>263.68959999999998</v>
      </c>
      <c r="CB39" s="191">
        <v>263.42770000000002</v>
      </c>
      <c r="CC39" s="191">
        <v>263.6352</v>
      </c>
      <c r="CD39" s="191">
        <v>263.58780000000002</v>
      </c>
      <c r="CE39" s="191">
        <v>263.65949999999998</v>
      </c>
      <c r="CF39" s="191">
        <v>263.62189999999998</v>
      </c>
      <c r="CG39" s="191">
        <v>263.5215</v>
      </c>
      <c r="CH39" s="191">
        <v>263.64269999999999</v>
      </c>
      <c r="CI39" s="191">
        <v>263.6782</v>
      </c>
      <c r="CJ39" s="191">
        <v>263.68689999999998</v>
      </c>
      <c r="CK39" s="191">
        <v>263.66770000000002</v>
      </c>
      <c r="CL39" s="191">
        <v>263.52339999999998</v>
      </c>
      <c r="CM39" s="191">
        <v>263.565</v>
      </c>
      <c r="CN39" s="279">
        <v>263.59100000000001</v>
      </c>
      <c r="CO39" s="191">
        <v>263.57190000000003</v>
      </c>
      <c r="CP39" s="191">
        <v>263.642</v>
      </c>
      <c r="CQ39" s="279">
        <v>263.64249999999998</v>
      </c>
      <c r="CR39" s="191">
        <v>263.6653</v>
      </c>
      <c r="CS39" s="191">
        <v>263.62279999999998</v>
      </c>
      <c r="CT39" s="191">
        <v>263.30070000000001</v>
      </c>
      <c r="CU39" s="191">
        <v>263.21440000000001</v>
      </c>
      <c r="CV39" s="191">
        <v>263.04320000000001</v>
      </c>
      <c r="CW39" s="191">
        <v>263.20119999999997</v>
      </c>
      <c r="CX39" s="191">
        <v>263.20549999999997</v>
      </c>
      <c r="CY39" s="191">
        <v>263.04910000000001</v>
      </c>
      <c r="CZ39" s="191">
        <v>263.08010000000002</v>
      </c>
      <c r="DA39" s="191">
        <v>263.23750000000001</v>
      </c>
      <c r="DB39" s="191">
        <v>263.23899999999998</v>
      </c>
      <c r="DC39" s="191">
        <v>263.15679999999998</v>
      </c>
      <c r="DD39" s="191">
        <v>263.17149999999998</v>
      </c>
      <c r="DE39" s="191">
        <v>263.10250000000002</v>
      </c>
      <c r="DF39" s="191">
        <v>263.1918</v>
      </c>
      <c r="DG39" s="191">
        <v>263.24860000000001</v>
      </c>
      <c r="DH39" s="279">
        <v>263.09460000000001</v>
      </c>
      <c r="DI39" s="191">
        <v>262.98259999999999</v>
      </c>
      <c r="DJ39" s="279">
        <v>263.06959999999998</v>
      </c>
      <c r="DK39" s="191">
        <v>263.10860000000002</v>
      </c>
      <c r="DL39" s="191">
        <v>263.05869999999999</v>
      </c>
      <c r="DM39" s="191">
        <v>263.13099999999997</v>
      </c>
      <c r="DN39" s="191">
        <v>263.1884</v>
      </c>
      <c r="DO39" s="191">
        <v>263.14780000000002</v>
      </c>
      <c r="DP39" s="191">
        <v>263.11610000000002</v>
      </c>
      <c r="DQ39" s="191">
        <v>263.12549999999999</v>
      </c>
      <c r="DR39" s="191">
        <v>262.99470000000002</v>
      </c>
      <c r="DS39" s="191">
        <v>263.44959999999998</v>
      </c>
      <c r="DT39" s="191">
        <v>263.3236</v>
      </c>
      <c r="DU39" s="191">
        <v>263.30470000000003</v>
      </c>
      <c r="DV39" s="191">
        <v>263.14249999999998</v>
      </c>
      <c r="DW39" s="191">
        <v>263.04109999999997</v>
      </c>
      <c r="DX39" s="191">
        <v>263.14839999999998</v>
      </c>
      <c r="DY39" s="191">
        <v>263.13150000000002</v>
      </c>
      <c r="DZ39" s="191">
        <v>263.26440000000002</v>
      </c>
      <c r="EA39" s="279">
        <v>263.18979999999999</v>
      </c>
      <c r="EB39" s="191">
        <v>263.03930000000003</v>
      </c>
      <c r="EC39" s="279">
        <v>262.93119999999999</v>
      </c>
      <c r="ED39" s="191">
        <v>262.97809999999998</v>
      </c>
      <c r="EE39" s="191">
        <v>263.21550000000002</v>
      </c>
      <c r="EF39" s="191">
        <v>263.07679999999999</v>
      </c>
      <c r="EG39" s="191">
        <v>262.96820000000002</v>
      </c>
      <c r="EH39" s="191">
        <v>262.93450000000001</v>
      </c>
      <c r="EI39" s="191">
        <v>262.92779999999999</v>
      </c>
      <c r="EJ39" s="191">
        <v>262.79340000000002</v>
      </c>
      <c r="EK39" s="191">
        <v>262.85559999999998</v>
      </c>
      <c r="EL39" s="191">
        <v>262.7319</v>
      </c>
      <c r="EM39" s="191">
        <v>262.702</v>
      </c>
      <c r="EN39" s="191">
        <v>262.8261</v>
      </c>
      <c r="EO39" s="191">
        <v>262.98579999999998</v>
      </c>
      <c r="EP39" s="191">
        <v>263.07960000000003</v>
      </c>
      <c r="EQ39" s="191">
        <v>263.19459999999998</v>
      </c>
      <c r="ER39" s="191">
        <v>262.94499999999999</v>
      </c>
      <c r="ES39" s="191">
        <v>263.02999999999997</v>
      </c>
      <c r="ET39" s="191">
        <v>263.16379999999998</v>
      </c>
      <c r="EU39" s="279">
        <v>263.10250000000002</v>
      </c>
      <c r="EV39" s="191">
        <v>262.80029999999999</v>
      </c>
      <c r="EW39" s="278">
        <v>262.66340000000002</v>
      </c>
      <c r="EX39" s="191"/>
      <c r="EY39" s="191"/>
    </row>
    <row r="40" spans="1:155" ht="45" customHeight="1" x14ac:dyDescent="0.45">
      <c r="A40" s="277">
        <v>195</v>
      </c>
      <c r="B40" s="191"/>
      <c r="C40" s="191"/>
      <c r="D40" s="191"/>
      <c r="E40" s="191"/>
      <c r="F40" s="191"/>
      <c r="G40" s="191"/>
      <c r="H40" s="191"/>
      <c r="I40" s="191"/>
      <c r="J40" s="191"/>
      <c r="K40" s="191"/>
      <c r="L40" s="191"/>
      <c r="M40" s="191"/>
      <c r="N40" s="191"/>
      <c r="O40" s="191"/>
      <c r="P40" s="278">
        <v>264.26080000000002</v>
      </c>
      <c r="Q40" s="278">
        <v>264.48680000000002</v>
      </c>
      <c r="R40" s="278">
        <v>264.44060000000002</v>
      </c>
      <c r="S40" s="278">
        <v>264.40269999999998</v>
      </c>
      <c r="T40" s="278">
        <v>264.36529999999999</v>
      </c>
      <c r="U40" s="278">
        <v>264.36419999999998</v>
      </c>
      <c r="V40" s="191"/>
      <c r="W40" s="191"/>
      <c r="X40" s="191"/>
      <c r="Y40" s="191"/>
      <c r="Z40" s="191"/>
      <c r="AA40" s="191"/>
      <c r="AB40" s="191"/>
      <c r="AC40" s="191"/>
      <c r="AD40" s="191"/>
      <c r="AE40" s="191"/>
      <c r="AF40" s="191"/>
      <c r="AG40" s="191"/>
      <c r="AH40" s="191"/>
      <c r="AI40" s="191"/>
      <c r="AJ40" s="191"/>
      <c r="AK40" s="191"/>
      <c r="AL40" s="191"/>
      <c r="AM40" s="191"/>
      <c r="AN40" s="191"/>
      <c r="AO40" s="191"/>
      <c r="AP40" s="191"/>
      <c r="AQ40" s="191"/>
      <c r="AR40" s="191"/>
      <c r="AS40" s="191"/>
      <c r="AT40" s="191"/>
      <c r="AU40" s="191"/>
      <c r="AV40" s="191"/>
      <c r="AW40" s="191"/>
      <c r="AX40" s="191"/>
      <c r="AY40" s="191"/>
      <c r="AZ40" s="278">
        <v>264.2296</v>
      </c>
      <c r="BA40" s="191">
        <v>263.98360000000002</v>
      </c>
      <c r="BB40" s="279">
        <v>264.16370000000001</v>
      </c>
      <c r="BC40" s="191">
        <v>264.09550000000002</v>
      </c>
      <c r="BD40" s="191">
        <v>264.05669999999998</v>
      </c>
      <c r="BE40" s="191">
        <v>263.94</v>
      </c>
      <c r="BF40" s="191">
        <v>263.88220000000001</v>
      </c>
      <c r="BG40" s="191">
        <v>263.89980000000003</v>
      </c>
      <c r="BH40" s="191">
        <v>263.9658</v>
      </c>
      <c r="BI40" s="191">
        <v>263.95819999999998</v>
      </c>
      <c r="BJ40" s="191">
        <v>263.91090000000003</v>
      </c>
      <c r="BK40" s="191">
        <v>263.98880000000003</v>
      </c>
      <c r="BL40" s="191">
        <v>263.83749999999998</v>
      </c>
      <c r="BM40" s="191">
        <v>263.87970000000001</v>
      </c>
      <c r="BN40" s="191">
        <v>263.79849999999999</v>
      </c>
      <c r="BO40" s="191">
        <v>263.73939999999999</v>
      </c>
      <c r="BP40" s="191">
        <v>263.75330000000002</v>
      </c>
      <c r="BQ40" s="191">
        <v>263.69979999999998</v>
      </c>
      <c r="BR40" s="191">
        <v>263.86110000000002</v>
      </c>
      <c r="BS40" s="191">
        <v>263.82310000000001</v>
      </c>
      <c r="BT40" s="191">
        <v>263.83789999999999</v>
      </c>
      <c r="BU40" s="279">
        <v>263.88929999999999</v>
      </c>
      <c r="BV40" s="191">
        <v>263.7851</v>
      </c>
      <c r="BW40" s="279">
        <v>263.74099999999999</v>
      </c>
      <c r="BX40" s="191">
        <v>263.62830000000002</v>
      </c>
      <c r="BY40" s="191">
        <v>263.73939999999999</v>
      </c>
      <c r="BZ40" s="191">
        <v>263.59039999999999</v>
      </c>
      <c r="CA40" s="191">
        <v>263.59890000000001</v>
      </c>
      <c r="CB40" s="191">
        <v>263.69260000000003</v>
      </c>
      <c r="CC40" s="191">
        <v>263.67320000000001</v>
      </c>
      <c r="CD40" s="191">
        <v>263.67169999999999</v>
      </c>
      <c r="CE40" s="191">
        <v>263.59539999999998</v>
      </c>
      <c r="CF40" s="191">
        <v>263.52260000000001</v>
      </c>
      <c r="CG40" s="191">
        <v>263.57429999999999</v>
      </c>
      <c r="CH40" s="191">
        <v>263.5222</v>
      </c>
      <c r="CI40" s="191">
        <v>263.6318</v>
      </c>
      <c r="CJ40" s="191">
        <v>263.6626</v>
      </c>
      <c r="CK40" s="191">
        <v>263.75459999999998</v>
      </c>
      <c r="CL40" s="191">
        <v>263.68549999999999</v>
      </c>
      <c r="CM40" s="191">
        <v>263.66820000000001</v>
      </c>
      <c r="CN40" s="279">
        <v>263.5532</v>
      </c>
      <c r="CO40" s="191">
        <v>263.53919999999999</v>
      </c>
      <c r="CP40" s="191">
        <v>263.54419999999999</v>
      </c>
      <c r="CQ40" s="279">
        <v>263.64069999999998</v>
      </c>
      <c r="CR40" s="191">
        <v>263.57170000000002</v>
      </c>
      <c r="CS40" s="191">
        <v>263.6114</v>
      </c>
      <c r="CT40" s="191">
        <v>263.17759999999998</v>
      </c>
      <c r="CU40" s="191">
        <v>263.06319999999999</v>
      </c>
      <c r="CV40" s="191">
        <v>263.04739999999998</v>
      </c>
      <c r="CW40" s="191">
        <v>263.19779999999997</v>
      </c>
      <c r="CX40" s="191">
        <v>263.14330000000001</v>
      </c>
      <c r="CY40" s="191">
        <v>263.08049999999997</v>
      </c>
      <c r="CZ40" s="191">
        <v>263.34350000000001</v>
      </c>
      <c r="DA40" s="191">
        <v>263.23399999999998</v>
      </c>
      <c r="DB40" s="191">
        <v>263.23480000000001</v>
      </c>
      <c r="DC40" s="191">
        <v>263.1189</v>
      </c>
      <c r="DD40" s="191">
        <v>263.10590000000002</v>
      </c>
      <c r="DE40" s="191">
        <v>263.12110000000001</v>
      </c>
      <c r="DF40" s="191">
        <v>263.14400000000001</v>
      </c>
      <c r="DG40" s="191">
        <v>263.05739999999997</v>
      </c>
      <c r="DH40" s="279">
        <v>263.10129999999998</v>
      </c>
      <c r="DI40" s="191">
        <v>263.1712</v>
      </c>
      <c r="DJ40" s="279">
        <v>263.15089999999998</v>
      </c>
      <c r="DK40" s="191">
        <v>263.1816</v>
      </c>
      <c r="DL40" s="191">
        <v>263.01049999999998</v>
      </c>
      <c r="DM40" s="191">
        <v>263.21420000000001</v>
      </c>
      <c r="DN40" s="191">
        <v>263.11419999999998</v>
      </c>
      <c r="DO40" s="191">
        <v>263.1191</v>
      </c>
      <c r="DP40" s="191">
        <v>263.16699999999997</v>
      </c>
      <c r="DQ40" s="191">
        <v>263.1721</v>
      </c>
      <c r="DR40" s="191">
        <v>262.79059999999998</v>
      </c>
      <c r="DS40" s="191">
        <v>263.43450000000001</v>
      </c>
      <c r="DT40" s="191">
        <v>263.36070000000001</v>
      </c>
      <c r="DU40" s="191">
        <v>263.39839999999998</v>
      </c>
      <c r="DV40" s="191">
        <v>263.09949999999998</v>
      </c>
      <c r="DW40" s="191">
        <v>263.1146</v>
      </c>
      <c r="DX40" s="191">
        <v>263.25279999999998</v>
      </c>
      <c r="DY40" s="191">
        <v>263.34890000000001</v>
      </c>
      <c r="DZ40" s="191">
        <v>263.21699999999998</v>
      </c>
      <c r="EA40" s="279">
        <v>263.2559</v>
      </c>
      <c r="EB40" s="191">
        <v>263.0256</v>
      </c>
      <c r="EC40" s="279">
        <v>262.88889999999998</v>
      </c>
      <c r="ED40" s="191">
        <v>262.89249999999998</v>
      </c>
      <c r="EE40" s="191">
        <v>263.05930000000001</v>
      </c>
      <c r="EF40" s="191">
        <v>263.22570000000002</v>
      </c>
      <c r="EG40" s="191">
        <v>263.07810000000001</v>
      </c>
      <c r="EH40" s="191">
        <v>262.87569999999999</v>
      </c>
      <c r="EI40" s="191">
        <v>262.8109</v>
      </c>
      <c r="EJ40" s="191">
        <v>262.90390000000002</v>
      </c>
      <c r="EK40" s="191">
        <v>263.01600000000002</v>
      </c>
      <c r="EL40" s="191">
        <v>262.86020000000002</v>
      </c>
      <c r="EM40" s="191">
        <v>262.65519999999998</v>
      </c>
      <c r="EN40" s="191">
        <v>262.99930000000001</v>
      </c>
      <c r="EO40" s="191">
        <v>262.5616</v>
      </c>
      <c r="EP40" s="191">
        <v>262.79020000000003</v>
      </c>
      <c r="EQ40" s="191">
        <v>263.14249999999998</v>
      </c>
      <c r="ER40" s="191">
        <v>262.928</v>
      </c>
      <c r="ES40" s="191">
        <v>263.0487</v>
      </c>
      <c r="ET40" s="191">
        <v>262.75450000000001</v>
      </c>
      <c r="EU40" s="279">
        <v>263.1961</v>
      </c>
      <c r="EV40" s="191">
        <v>262.69529999999997</v>
      </c>
      <c r="EW40" s="278">
        <v>263.01479999999998</v>
      </c>
      <c r="EX40" s="191"/>
      <c r="EY40" s="191"/>
    </row>
    <row r="41" spans="1:155" ht="45" customHeight="1" x14ac:dyDescent="0.45">
      <c r="A41" s="277">
        <v>200</v>
      </c>
      <c r="B41" s="191"/>
      <c r="C41" s="191"/>
      <c r="D41" s="191"/>
      <c r="E41" s="191"/>
      <c r="F41" s="191"/>
      <c r="G41" s="191"/>
      <c r="H41" s="191"/>
      <c r="I41" s="191"/>
      <c r="J41" s="191"/>
      <c r="K41" s="278">
        <v>265.46910000000003</v>
      </c>
      <c r="L41" s="278">
        <v>264.54989999999998</v>
      </c>
      <c r="M41" s="278">
        <v>264.24709999999999</v>
      </c>
      <c r="N41" s="278">
        <v>264.07220000000001</v>
      </c>
      <c r="O41" s="278">
        <v>264.04680000000002</v>
      </c>
      <c r="P41" s="191">
        <v>264.029</v>
      </c>
      <c r="Q41" s="191">
        <v>264.01170000000002</v>
      </c>
      <c r="R41" s="191">
        <v>264.00720000000001</v>
      </c>
      <c r="S41" s="191">
        <v>264.02879999999999</v>
      </c>
      <c r="T41" s="191">
        <v>264</v>
      </c>
      <c r="U41" s="278">
        <v>264.01979999999998</v>
      </c>
      <c r="V41" s="191"/>
      <c r="W41" s="191"/>
      <c r="X41" s="191"/>
      <c r="Y41" s="191"/>
      <c r="Z41" s="191"/>
      <c r="AA41" s="191"/>
      <c r="AB41" s="191"/>
      <c r="AC41" s="191"/>
      <c r="AD41" s="191"/>
      <c r="AE41" s="191"/>
      <c r="AF41" s="191"/>
      <c r="AG41" s="191"/>
      <c r="AH41" s="191"/>
      <c r="AI41" s="191"/>
      <c r="AJ41" s="191"/>
      <c r="AK41" s="191"/>
      <c r="AL41" s="191"/>
      <c r="AM41" s="191"/>
      <c r="AN41" s="191"/>
      <c r="AO41" s="191"/>
      <c r="AP41" s="191"/>
      <c r="AQ41" s="191"/>
      <c r="AR41" s="191"/>
      <c r="AS41" s="191"/>
      <c r="AT41" s="191"/>
      <c r="AU41" s="191"/>
      <c r="AV41" s="191"/>
      <c r="AW41" s="191"/>
      <c r="AX41" s="191"/>
      <c r="AY41" s="191"/>
      <c r="AZ41" s="278">
        <v>264.03199999999998</v>
      </c>
      <c r="BA41" s="191">
        <v>263.8766</v>
      </c>
      <c r="BB41" s="279">
        <v>264.22980000000001</v>
      </c>
      <c r="BC41" s="279">
        <v>264.1112</v>
      </c>
      <c r="BD41" s="279">
        <v>264.1146</v>
      </c>
      <c r="BE41" s="279">
        <v>263.96190000000001</v>
      </c>
      <c r="BF41" s="279">
        <v>263.8929</v>
      </c>
      <c r="BG41" s="279">
        <v>263.94549999999998</v>
      </c>
      <c r="BH41" s="279">
        <v>263.95670000000001</v>
      </c>
      <c r="BI41" s="279">
        <v>263.88569999999999</v>
      </c>
      <c r="BJ41" s="279">
        <v>263.97199999999998</v>
      </c>
      <c r="BK41" s="279">
        <v>263.9633</v>
      </c>
      <c r="BL41" s="279">
        <v>263.79129999999998</v>
      </c>
      <c r="BM41" s="279">
        <v>263.77980000000002</v>
      </c>
      <c r="BN41" s="279">
        <v>263.76940000000002</v>
      </c>
      <c r="BO41" s="279">
        <v>263.67039999999997</v>
      </c>
      <c r="BP41" s="279">
        <v>263.62619999999998</v>
      </c>
      <c r="BQ41" s="279">
        <v>263.9153</v>
      </c>
      <c r="BR41" s="279">
        <v>263.93040000000002</v>
      </c>
      <c r="BS41" s="279">
        <v>263.97629999999998</v>
      </c>
      <c r="BT41" s="279">
        <v>263.99560000000002</v>
      </c>
      <c r="BU41" s="279">
        <v>263.77080000000001</v>
      </c>
      <c r="BV41" s="191">
        <v>263.66860000000003</v>
      </c>
      <c r="BW41" s="279">
        <v>263.62709999999998</v>
      </c>
      <c r="BX41" s="279">
        <v>263.3623</v>
      </c>
      <c r="BY41" s="279">
        <v>263.52199999999999</v>
      </c>
      <c r="BZ41" s="279">
        <v>263.70569999999998</v>
      </c>
      <c r="CA41" s="279">
        <v>263.73849999999999</v>
      </c>
      <c r="CB41" s="279">
        <v>263.63959999999997</v>
      </c>
      <c r="CC41" s="279">
        <v>263.62310000000002</v>
      </c>
      <c r="CD41" s="279">
        <v>263.5333</v>
      </c>
      <c r="CE41" s="279">
        <v>263.54070000000002</v>
      </c>
      <c r="CF41" s="279">
        <v>263.52620000000002</v>
      </c>
      <c r="CG41" s="279">
        <v>263.60750000000002</v>
      </c>
      <c r="CH41" s="279">
        <v>263.56900000000002</v>
      </c>
      <c r="CI41" s="279">
        <v>263.61709999999999</v>
      </c>
      <c r="CJ41" s="279">
        <v>263.68009999999998</v>
      </c>
      <c r="CK41" s="279">
        <v>263.6977</v>
      </c>
      <c r="CL41" s="279">
        <v>263.64550000000003</v>
      </c>
      <c r="CM41" s="279">
        <v>263.62110000000001</v>
      </c>
      <c r="CN41" s="279">
        <v>263.48329999999999</v>
      </c>
      <c r="CO41" s="191">
        <v>263.33949999999999</v>
      </c>
      <c r="CP41" s="191">
        <v>263.4194</v>
      </c>
      <c r="CQ41" s="279">
        <v>263.47820000000002</v>
      </c>
      <c r="CR41" s="279">
        <v>263.53809999999999</v>
      </c>
      <c r="CS41" s="279">
        <v>263.4135</v>
      </c>
      <c r="CT41" s="279">
        <v>262.95859999999999</v>
      </c>
      <c r="CU41" s="279">
        <v>263.09219999999999</v>
      </c>
      <c r="CV41" s="279">
        <v>263.26889999999997</v>
      </c>
      <c r="CW41" s="279">
        <v>263.26100000000002</v>
      </c>
      <c r="CX41" s="279">
        <v>263.15230000000003</v>
      </c>
      <c r="CY41" s="279">
        <v>263.1422</v>
      </c>
      <c r="CZ41" s="279">
        <v>263.20179999999999</v>
      </c>
      <c r="DA41" s="279">
        <v>263.178</v>
      </c>
      <c r="DB41" s="279">
        <v>263.15589999999997</v>
      </c>
      <c r="DC41" s="279">
        <v>263.11380000000003</v>
      </c>
      <c r="DD41" s="279">
        <v>263.05950000000001</v>
      </c>
      <c r="DE41" s="279">
        <v>263.07839999999999</v>
      </c>
      <c r="DF41" s="279">
        <v>263.10329999999999</v>
      </c>
      <c r="DG41" s="279">
        <v>263.0899</v>
      </c>
      <c r="DH41" s="279">
        <v>263.01889999999997</v>
      </c>
      <c r="DI41" s="191">
        <v>263.00810000000001</v>
      </c>
      <c r="DJ41" s="279">
        <v>263.14089999999999</v>
      </c>
      <c r="DK41" s="279">
        <v>262.88069999999999</v>
      </c>
      <c r="DL41" s="279">
        <v>262.97449999999998</v>
      </c>
      <c r="DM41" s="279">
        <v>263.07470000000001</v>
      </c>
      <c r="DN41" s="279">
        <v>263.07339999999999</v>
      </c>
      <c r="DO41" s="279">
        <v>263.19549999999998</v>
      </c>
      <c r="DP41" s="279">
        <v>263.08089999999999</v>
      </c>
      <c r="DQ41" s="279">
        <v>263.18520000000001</v>
      </c>
      <c r="DR41" s="279">
        <v>262.8854</v>
      </c>
      <c r="DS41" s="279">
        <v>263.37130000000002</v>
      </c>
      <c r="DT41" s="279">
        <v>263.28629999999998</v>
      </c>
      <c r="DU41" s="279">
        <v>263.3895</v>
      </c>
      <c r="DV41" s="279">
        <v>263.01850000000002</v>
      </c>
      <c r="DW41" s="279">
        <v>263.25729999999999</v>
      </c>
      <c r="DX41" s="279">
        <v>263.18709999999999</v>
      </c>
      <c r="DY41" s="279">
        <v>263.3526</v>
      </c>
      <c r="DZ41" s="279">
        <v>263.3571</v>
      </c>
      <c r="EA41" s="279">
        <v>263.1189</v>
      </c>
      <c r="EB41" s="191">
        <v>263.12470000000002</v>
      </c>
      <c r="EC41" s="279">
        <v>262.9708</v>
      </c>
      <c r="ED41" s="279">
        <v>262.94940000000003</v>
      </c>
      <c r="EE41" s="279">
        <v>263.06979999999999</v>
      </c>
      <c r="EF41" s="279">
        <v>263.16480000000001</v>
      </c>
      <c r="EG41" s="279">
        <v>263.19929999999999</v>
      </c>
      <c r="EH41" s="279">
        <v>263.0992</v>
      </c>
      <c r="EI41" s="279">
        <v>263.0068</v>
      </c>
      <c r="EJ41" s="279">
        <v>262.9545</v>
      </c>
      <c r="EK41" s="279">
        <v>263.07229999999998</v>
      </c>
      <c r="EL41" s="279">
        <v>262.67059999999998</v>
      </c>
      <c r="EM41" s="279">
        <v>262.8639</v>
      </c>
      <c r="EN41" s="279">
        <v>262.93509999999998</v>
      </c>
      <c r="EO41" s="279">
        <v>262.9828</v>
      </c>
      <c r="EP41" s="279">
        <v>262.98489999999998</v>
      </c>
      <c r="EQ41" s="279">
        <v>263.11309999999997</v>
      </c>
      <c r="ER41" s="279">
        <v>263.14429999999999</v>
      </c>
      <c r="ES41" s="279">
        <v>263.17779999999999</v>
      </c>
      <c r="ET41" s="279">
        <v>262.88049999999998</v>
      </c>
      <c r="EU41" s="279">
        <v>263.1035</v>
      </c>
      <c r="EV41" s="191">
        <v>262.6902</v>
      </c>
      <c r="EW41" s="278">
        <v>262.9409</v>
      </c>
      <c r="EX41" s="191"/>
      <c r="EY41" s="191"/>
    </row>
    <row r="42" spans="1:155" ht="45" customHeight="1" x14ac:dyDescent="0.45">
      <c r="A42" s="277">
        <v>205</v>
      </c>
      <c r="B42" s="191"/>
      <c r="C42" s="191"/>
      <c r="D42" s="191"/>
      <c r="E42" s="191"/>
      <c r="F42" s="191"/>
      <c r="G42" s="191"/>
      <c r="H42" s="278">
        <v>264.85539999999997</v>
      </c>
      <c r="I42" s="278">
        <v>264.85680000000002</v>
      </c>
      <c r="J42" s="278">
        <v>264.22289999999998</v>
      </c>
      <c r="K42" s="191">
        <v>264.1635</v>
      </c>
      <c r="L42" s="191">
        <v>264.11770000000001</v>
      </c>
      <c r="M42" s="191">
        <v>264.21600000000001</v>
      </c>
      <c r="N42" s="191">
        <v>264.0215</v>
      </c>
      <c r="O42" s="191">
        <v>264.02699999999999</v>
      </c>
      <c r="P42" s="191">
        <v>264.02640000000002</v>
      </c>
      <c r="Q42" s="191">
        <v>263.98829999999998</v>
      </c>
      <c r="R42" s="191">
        <v>263.9649</v>
      </c>
      <c r="S42" s="191">
        <v>263.94650000000001</v>
      </c>
      <c r="T42" s="191">
        <v>263.93349999999998</v>
      </c>
      <c r="U42" s="278">
        <v>263.97680000000003</v>
      </c>
      <c r="V42" s="191"/>
      <c r="W42" s="191"/>
      <c r="X42" s="191"/>
      <c r="Y42" s="191"/>
      <c r="Z42" s="191"/>
      <c r="AA42" s="191"/>
      <c r="AB42" s="191"/>
      <c r="AC42" s="191"/>
      <c r="AD42" s="191"/>
      <c r="AE42" s="191"/>
      <c r="AF42" s="191"/>
      <c r="AG42" s="191"/>
      <c r="AH42" s="191"/>
      <c r="AI42" s="191"/>
      <c r="AJ42" s="191"/>
      <c r="AK42" s="191"/>
      <c r="AL42" s="191"/>
      <c r="AM42" s="191"/>
      <c r="AN42" s="191"/>
      <c r="AO42" s="191"/>
      <c r="AP42" s="191"/>
      <c r="AQ42" s="191"/>
      <c r="AR42" s="191"/>
      <c r="AS42" s="191"/>
      <c r="AT42" s="191"/>
      <c r="AU42" s="191"/>
      <c r="AV42" s="191"/>
      <c r="AW42" s="191"/>
      <c r="AX42" s="191"/>
      <c r="AY42" s="191"/>
      <c r="AZ42" s="278">
        <v>264.18599999999998</v>
      </c>
      <c r="BA42" s="191">
        <v>263.88549999999998</v>
      </c>
      <c r="BB42" s="191">
        <v>264.15980000000002</v>
      </c>
      <c r="BC42" s="191">
        <v>264.1617</v>
      </c>
      <c r="BD42" s="191">
        <v>264.12709999999998</v>
      </c>
      <c r="BE42" s="191">
        <v>263.9794</v>
      </c>
      <c r="BF42" s="191">
        <v>263.9117</v>
      </c>
      <c r="BG42" s="191">
        <v>263.92720000000003</v>
      </c>
      <c r="BH42" s="191">
        <v>263.91820000000001</v>
      </c>
      <c r="BI42" s="191">
        <v>263.77640000000002</v>
      </c>
      <c r="BJ42" s="191">
        <v>263.98289999999997</v>
      </c>
      <c r="BK42" s="191">
        <v>263.81950000000001</v>
      </c>
      <c r="BL42" s="191">
        <v>263.9205</v>
      </c>
      <c r="BM42" s="191">
        <v>263.69970000000001</v>
      </c>
      <c r="BN42" s="191">
        <v>263.7869</v>
      </c>
      <c r="BO42" s="191">
        <v>263.72329999999999</v>
      </c>
      <c r="BP42" s="191">
        <v>263.82119999999998</v>
      </c>
      <c r="BQ42" s="191">
        <v>263.89350000000002</v>
      </c>
      <c r="BR42" s="191">
        <v>263.90210000000002</v>
      </c>
      <c r="BS42" s="191">
        <v>263.697</v>
      </c>
      <c r="BT42" s="191">
        <v>263.6345</v>
      </c>
      <c r="BU42" s="191">
        <v>263.34710000000001</v>
      </c>
      <c r="BV42" s="191">
        <v>263.5496</v>
      </c>
      <c r="BW42" s="191">
        <v>263.60480000000001</v>
      </c>
      <c r="BX42" s="191">
        <v>263.6909</v>
      </c>
      <c r="BY42" s="191">
        <v>263.6875</v>
      </c>
      <c r="BZ42" s="191">
        <v>263.65199999999999</v>
      </c>
      <c r="CA42" s="191">
        <v>263.71499999999997</v>
      </c>
      <c r="CB42" s="191">
        <v>263.67399999999998</v>
      </c>
      <c r="CC42" s="191">
        <v>263.62700000000001</v>
      </c>
      <c r="CD42" s="191">
        <v>263.66129999999998</v>
      </c>
      <c r="CE42" s="191">
        <v>263.5249</v>
      </c>
      <c r="CF42" s="191">
        <v>263.55119999999999</v>
      </c>
      <c r="CG42" s="191">
        <v>263.5684</v>
      </c>
      <c r="CH42" s="191">
        <v>263.51400000000001</v>
      </c>
      <c r="CI42" s="191">
        <v>263.6234</v>
      </c>
      <c r="CJ42" s="191">
        <v>263.61270000000002</v>
      </c>
      <c r="CK42" s="191">
        <v>263.64159999999998</v>
      </c>
      <c r="CL42" s="191">
        <v>263.61579999999998</v>
      </c>
      <c r="CM42" s="191">
        <v>263.48700000000002</v>
      </c>
      <c r="CN42" s="191">
        <v>263.51299999999998</v>
      </c>
      <c r="CO42" s="191">
        <v>263.32740000000001</v>
      </c>
      <c r="CP42" s="191">
        <v>263.3811</v>
      </c>
      <c r="CQ42" s="191">
        <v>263.52820000000003</v>
      </c>
      <c r="CR42" s="191">
        <v>263.57049999999998</v>
      </c>
      <c r="CS42" s="191">
        <v>263.5967</v>
      </c>
      <c r="CT42" s="191">
        <v>263.1651</v>
      </c>
      <c r="CU42" s="191">
        <v>263.23340000000002</v>
      </c>
      <c r="CV42" s="191">
        <v>263.2176</v>
      </c>
      <c r="CW42" s="191">
        <v>263.19380000000001</v>
      </c>
      <c r="CX42" s="191">
        <v>263.19389999999999</v>
      </c>
      <c r="CY42" s="191">
        <v>263.22070000000002</v>
      </c>
      <c r="CZ42" s="191">
        <v>263.21870000000001</v>
      </c>
      <c r="DA42" s="191">
        <v>263.15309999999999</v>
      </c>
      <c r="DB42" s="191">
        <v>263.12130000000002</v>
      </c>
      <c r="DC42" s="191">
        <v>263.02319999999997</v>
      </c>
      <c r="DD42" s="191">
        <v>263.07170000000002</v>
      </c>
      <c r="DE42" s="191">
        <v>263.15249999999997</v>
      </c>
      <c r="DF42" s="191">
        <v>263.14400000000001</v>
      </c>
      <c r="DG42" s="191">
        <v>263.13150000000002</v>
      </c>
      <c r="DH42" s="191">
        <v>263.09980000000002</v>
      </c>
      <c r="DI42" s="191">
        <v>263.10129999999998</v>
      </c>
      <c r="DJ42" s="191">
        <v>263.12439999999998</v>
      </c>
      <c r="DK42" s="191">
        <v>263.08420000000001</v>
      </c>
      <c r="DL42" s="191">
        <v>262.95240000000001</v>
      </c>
      <c r="DM42" s="191">
        <v>263.18270000000001</v>
      </c>
      <c r="DN42" s="191">
        <v>263.04020000000003</v>
      </c>
      <c r="DO42" s="191">
        <v>263.08319999999998</v>
      </c>
      <c r="DP42" s="191">
        <v>263.10829999999999</v>
      </c>
      <c r="DQ42" s="191">
        <v>263.19139999999999</v>
      </c>
      <c r="DR42" s="191">
        <v>263.09780000000001</v>
      </c>
      <c r="DS42" s="191">
        <v>263.2645</v>
      </c>
      <c r="DT42" s="191">
        <v>263.03949999999998</v>
      </c>
      <c r="DU42" s="191">
        <v>263.26229999999998</v>
      </c>
      <c r="DV42" s="191">
        <v>262.8623</v>
      </c>
      <c r="DW42" s="191">
        <v>263.14519999999999</v>
      </c>
      <c r="DX42" s="191">
        <v>263.04360000000003</v>
      </c>
      <c r="DY42" s="191">
        <v>263.19069999999999</v>
      </c>
      <c r="DZ42" s="191">
        <v>263.2638</v>
      </c>
      <c r="EA42" s="191">
        <v>263.13490000000002</v>
      </c>
      <c r="EB42" s="191">
        <v>263.0806</v>
      </c>
      <c r="EC42" s="191">
        <v>262.94909999999999</v>
      </c>
      <c r="ED42" s="191">
        <v>263.03050000000002</v>
      </c>
      <c r="EE42" s="191">
        <v>263.07940000000002</v>
      </c>
      <c r="EF42" s="191">
        <v>263.19760000000002</v>
      </c>
      <c r="EG42" s="191">
        <v>263.30239999999998</v>
      </c>
      <c r="EH42" s="191">
        <v>263.22019999999998</v>
      </c>
      <c r="EI42" s="191">
        <v>263.149</v>
      </c>
      <c r="EJ42" s="191">
        <v>263.15649999999999</v>
      </c>
      <c r="EK42" s="191">
        <v>263.08659999999998</v>
      </c>
      <c r="EL42" s="191">
        <v>262.87119999999999</v>
      </c>
      <c r="EM42" s="191">
        <v>262.90129999999999</v>
      </c>
      <c r="EN42" s="191">
        <v>263.07600000000002</v>
      </c>
      <c r="EO42" s="191">
        <v>263.0575</v>
      </c>
      <c r="EP42" s="191">
        <v>262.95510000000002</v>
      </c>
      <c r="EQ42" s="191">
        <v>262.8723</v>
      </c>
      <c r="ER42" s="191">
        <v>263.0677</v>
      </c>
      <c r="ES42" s="191">
        <v>263.18369999999999</v>
      </c>
      <c r="ET42" s="191">
        <v>263.01679999999999</v>
      </c>
      <c r="EU42" s="191">
        <v>263.11349999999999</v>
      </c>
      <c r="EV42" s="191">
        <v>262.68150000000003</v>
      </c>
      <c r="EW42" s="278">
        <v>263.09609999999998</v>
      </c>
      <c r="EX42" s="191"/>
      <c r="EY42" s="191"/>
    </row>
    <row r="43" spans="1:155" ht="45" customHeight="1" x14ac:dyDescent="0.45">
      <c r="A43" s="277">
        <v>210</v>
      </c>
      <c r="B43" s="191"/>
      <c r="C43" s="191"/>
      <c r="D43" s="191"/>
      <c r="E43" s="278">
        <v>264.61</v>
      </c>
      <c r="F43" s="278">
        <v>264.7</v>
      </c>
      <c r="G43" s="278">
        <v>264.1225</v>
      </c>
      <c r="H43" s="191">
        <v>264.02260000000001</v>
      </c>
      <c r="I43" s="191">
        <v>264.00790000000001</v>
      </c>
      <c r="J43" s="191">
        <v>264.0489</v>
      </c>
      <c r="K43" s="191">
        <v>264.01280000000003</v>
      </c>
      <c r="L43" s="191">
        <v>264.08370000000002</v>
      </c>
      <c r="M43" s="191">
        <v>264.19159999999999</v>
      </c>
      <c r="N43" s="191">
        <v>264.0487</v>
      </c>
      <c r="O43" s="191">
        <v>263.99380000000002</v>
      </c>
      <c r="P43" s="191">
        <v>263.96339999999998</v>
      </c>
      <c r="Q43" s="191">
        <v>263.94830000000002</v>
      </c>
      <c r="R43" s="191">
        <v>263.88729999999998</v>
      </c>
      <c r="S43" s="191">
        <v>263.8836</v>
      </c>
      <c r="T43" s="191">
        <v>263.92329999999998</v>
      </c>
      <c r="U43" s="191">
        <v>263.89670000000001</v>
      </c>
      <c r="V43" s="278">
        <v>263.93009999999998</v>
      </c>
      <c r="W43" s="191"/>
      <c r="X43" s="191"/>
      <c r="Y43" s="191"/>
      <c r="Z43" s="191"/>
      <c r="AA43" s="191"/>
      <c r="AB43" s="191"/>
      <c r="AC43" s="191"/>
      <c r="AD43" s="191"/>
      <c r="AE43" s="191"/>
      <c r="AF43" s="191"/>
      <c r="AG43" s="191"/>
      <c r="AH43" s="191"/>
      <c r="AI43" s="191"/>
      <c r="AJ43" s="191"/>
      <c r="AK43" s="191"/>
      <c r="AL43" s="191"/>
      <c r="AM43" s="191"/>
      <c r="AN43" s="191"/>
      <c r="AO43" s="191"/>
      <c r="AP43" s="191"/>
      <c r="AQ43" s="191"/>
      <c r="AR43" s="191"/>
      <c r="AS43" s="191"/>
      <c r="AT43" s="191"/>
      <c r="AU43" s="191"/>
      <c r="AV43" s="191"/>
      <c r="AW43" s="191"/>
      <c r="AX43" s="191"/>
      <c r="AY43" s="191"/>
      <c r="AZ43" s="278">
        <v>264.24540000000002</v>
      </c>
      <c r="BA43" s="191">
        <v>263.93029999999999</v>
      </c>
      <c r="BB43" s="191">
        <v>264.02999999999997</v>
      </c>
      <c r="BC43" s="191">
        <v>264.06229999999999</v>
      </c>
      <c r="BD43" s="191">
        <v>264.0181</v>
      </c>
      <c r="BE43" s="191">
        <v>264.01940000000002</v>
      </c>
      <c r="BF43" s="191">
        <v>263.94589999999999</v>
      </c>
      <c r="BG43" s="191">
        <v>263.83260000000001</v>
      </c>
      <c r="BH43" s="191">
        <v>263.79669999999999</v>
      </c>
      <c r="BI43" s="191">
        <v>263.82420000000002</v>
      </c>
      <c r="BJ43" s="191">
        <v>263.73689999999999</v>
      </c>
      <c r="BK43" s="191">
        <v>263.71370000000002</v>
      </c>
      <c r="BL43" s="191">
        <v>263.76369999999997</v>
      </c>
      <c r="BM43" s="191">
        <v>263.83980000000003</v>
      </c>
      <c r="BN43" s="191">
        <v>263.8279</v>
      </c>
      <c r="BO43" s="191">
        <v>263.83229999999998</v>
      </c>
      <c r="BP43" s="191">
        <v>263.80579999999998</v>
      </c>
      <c r="BQ43" s="191">
        <v>263.86790000000002</v>
      </c>
      <c r="BR43" s="191">
        <v>263.87380000000002</v>
      </c>
      <c r="BS43" s="191">
        <v>263.79469999999998</v>
      </c>
      <c r="BT43" s="191">
        <v>263.6866</v>
      </c>
      <c r="BU43" s="191">
        <v>263.67700000000002</v>
      </c>
      <c r="BV43" s="191">
        <v>263.71800000000002</v>
      </c>
      <c r="BW43" s="191">
        <v>263.70679999999999</v>
      </c>
      <c r="BX43" s="191">
        <v>263.71839999999997</v>
      </c>
      <c r="BY43" s="191">
        <v>263.68680000000001</v>
      </c>
      <c r="BZ43" s="191">
        <v>263.69319999999999</v>
      </c>
      <c r="CA43" s="191">
        <v>263.62169999999998</v>
      </c>
      <c r="CB43" s="191">
        <v>263.59469999999999</v>
      </c>
      <c r="CC43" s="191">
        <v>263.52780000000001</v>
      </c>
      <c r="CD43" s="191">
        <v>263.57810000000001</v>
      </c>
      <c r="CE43" s="191">
        <v>263.49270000000001</v>
      </c>
      <c r="CF43" s="191">
        <v>263.48599999999999</v>
      </c>
      <c r="CG43" s="191">
        <v>263.53379999999999</v>
      </c>
      <c r="CH43" s="191">
        <v>263.625</v>
      </c>
      <c r="CI43" s="191">
        <v>263.55840000000001</v>
      </c>
      <c r="CJ43" s="191">
        <v>263.56509999999997</v>
      </c>
      <c r="CK43" s="191">
        <v>263.55520000000001</v>
      </c>
      <c r="CL43" s="191">
        <v>263.5643</v>
      </c>
      <c r="CM43" s="191">
        <v>263.483</v>
      </c>
      <c r="CN43" s="191">
        <v>263.44450000000001</v>
      </c>
      <c r="CO43" s="191">
        <v>263.49619999999999</v>
      </c>
      <c r="CP43" s="191">
        <v>263.5659</v>
      </c>
      <c r="CQ43" s="191">
        <v>263.55160000000001</v>
      </c>
      <c r="CR43" s="191">
        <v>263.51830000000001</v>
      </c>
      <c r="CS43" s="191">
        <v>263.60559999999998</v>
      </c>
      <c r="CT43" s="191">
        <v>263.09829999999999</v>
      </c>
      <c r="CU43" s="191">
        <v>263.19439999999997</v>
      </c>
      <c r="CV43" s="191">
        <v>263.1687</v>
      </c>
      <c r="CW43" s="191">
        <v>263.09160000000003</v>
      </c>
      <c r="CX43" s="191">
        <v>263.166</v>
      </c>
      <c r="CY43" s="191">
        <v>263.1771</v>
      </c>
      <c r="CZ43" s="191">
        <v>263.1447</v>
      </c>
      <c r="DA43" s="191">
        <v>263.16910000000001</v>
      </c>
      <c r="DB43" s="191">
        <v>263.15699999999998</v>
      </c>
      <c r="DC43" s="191">
        <v>263.12009999999998</v>
      </c>
      <c r="DD43" s="191">
        <v>263.04379999999998</v>
      </c>
      <c r="DE43" s="191">
        <v>263.07560000000001</v>
      </c>
      <c r="DF43" s="191">
        <v>263.10789999999997</v>
      </c>
      <c r="DG43" s="191">
        <v>263.10329999999999</v>
      </c>
      <c r="DH43" s="191">
        <v>263.08409999999998</v>
      </c>
      <c r="DI43" s="191">
        <v>262.96690000000001</v>
      </c>
      <c r="DJ43" s="191">
        <v>263.08080000000001</v>
      </c>
      <c r="DK43" s="191">
        <v>263.03989999999999</v>
      </c>
      <c r="DL43" s="191">
        <v>263.00580000000002</v>
      </c>
      <c r="DM43" s="191">
        <v>263.07330000000002</v>
      </c>
      <c r="DN43" s="191">
        <v>263.05509999999998</v>
      </c>
      <c r="DO43" s="191">
        <v>263.05070000000001</v>
      </c>
      <c r="DP43" s="191">
        <v>263.06779999999998</v>
      </c>
      <c r="DQ43" s="191">
        <v>263.04320000000001</v>
      </c>
      <c r="DR43" s="191">
        <v>263.25029999999998</v>
      </c>
      <c r="DS43" s="191">
        <v>263.21780000000001</v>
      </c>
      <c r="DT43" s="191">
        <v>263.28390000000002</v>
      </c>
      <c r="DU43" s="191">
        <v>263.26769999999999</v>
      </c>
      <c r="DV43" s="191">
        <v>262.87049999999999</v>
      </c>
      <c r="DW43" s="191">
        <v>263.11829999999998</v>
      </c>
      <c r="DX43" s="191">
        <v>263.19069999999999</v>
      </c>
      <c r="DY43" s="191">
        <v>263.05149999999998</v>
      </c>
      <c r="DZ43" s="191">
        <v>263.13220000000001</v>
      </c>
      <c r="EA43" s="191">
        <v>263.1266</v>
      </c>
      <c r="EB43" s="191">
        <v>262.95679999999999</v>
      </c>
      <c r="EC43" s="191">
        <v>263.06060000000002</v>
      </c>
      <c r="ED43" s="191">
        <v>262.96390000000002</v>
      </c>
      <c r="EE43" s="191">
        <v>263.05689999999998</v>
      </c>
      <c r="EF43" s="191">
        <v>263.00310000000002</v>
      </c>
      <c r="EG43" s="191">
        <v>263.19799999999998</v>
      </c>
      <c r="EH43" s="191">
        <v>262.99990000000003</v>
      </c>
      <c r="EI43" s="191">
        <v>262.9975</v>
      </c>
      <c r="EJ43" s="191">
        <v>263.05930000000001</v>
      </c>
      <c r="EK43" s="191">
        <v>262.93239999999997</v>
      </c>
      <c r="EL43" s="191">
        <v>262.84690000000001</v>
      </c>
      <c r="EM43" s="191">
        <v>262.91000000000003</v>
      </c>
      <c r="EN43" s="191">
        <v>263.04640000000001</v>
      </c>
      <c r="EO43" s="191">
        <v>263.04180000000002</v>
      </c>
      <c r="EP43" s="191">
        <v>263.02789999999999</v>
      </c>
      <c r="EQ43" s="191">
        <v>263.1397</v>
      </c>
      <c r="ER43" s="191">
        <v>262.98</v>
      </c>
      <c r="ES43" s="191">
        <v>263.10700000000003</v>
      </c>
      <c r="ET43" s="191">
        <v>262.92649999999998</v>
      </c>
      <c r="EU43" s="191">
        <v>263.1046</v>
      </c>
      <c r="EV43" s="191">
        <v>262.66230000000002</v>
      </c>
      <c r="EW43" s="278">
        <v>263.28469999999999</v>
      </c>
      <c r="EX43" s="191"/>
      <c r="EY43" s="191"/>
    </row>
    <row r="44" spans="1:155" ht="45" customHeight="1" x14ac:dyDescent="0.45">
      <c r="A44" s="277">
        <v>215</v>
      </c>
      <c r="B44" s="278">
        <v>264.5582</v>
      </c>
      <c r="C44" s="278">
        <v>264.39030000000002</v>
      </c>
      <c r="D44" s="278">
        <v>264.19409999999999</v>
      </c>
      <c r="E44" s="191">
        <v>264.02109999999999</v>
      </c>
      <c r="F44" s="279">
        <v>263.99860000000001</v>
      </c>
      <c r="G44" s="279">
        <v>263.9991</v>
      </c>
      <c r="H44" s="279">
        <v>263.96769999999998</v>
      </c>
      <c r="I44" s="279">
        <v>263.95359999999999</v>
      </c>
      <c r="J44" s="279">
        <v>263.97640000000001</v>
      </c>
      <c r="K44" s="279">
        <v>263.95740000000001</v>
      </c>
      <c r="L44" s="279">
        <v>263.9873</v>
      </c>
      <c r="M44" s="279">
        <v>264.05700000000002</v>
      </c>
      <c r="N44" s="279">
        <v>263.98880000000003</v>
      </c>
      <c r="O44" s="279">
        <v>263.97770000000003</v>
      </c>
      <c r="P44" s="279">
        <v>263.98540000000003</v>
      </c>
      <c r="Q44" s="279">
        <v>263.92059999999998</v>
      </c>
      <c r="R44" s="279">
        <v>263.86989999999997</v>
      </c>
      <c r="S44" s="279">
        <v>263.8596</v>
      </c>
      <c r="T44" s="279">
        <v>263.86309999999997</v>
      </c>
      <c r="U44" s="279">
        <v>263.8417</v>
      </c>
      <c r="V44" s="191">
        <v>263.82810000000001</v>
      </c>
      <c r="W44" s="278">
        <v>264.01350000000002</v>
      </c>
      <c r="X44" s="191"/>
      <c r="Y44" s="191"/>
      <c r="Z44" s="191"/>
      <c r="AA44" s="191"/>
      <c r="AB44" s="191"/>
      <c r="AC44" s="191"/>
      <c r="AD44" s="191"/>
      <c r="AE44" s="191"/>
      <c r="AF44" s="191"/>
      <c r="AG44" s="191"/>
      <c r="AH44" s="191"/>
      <c r="AI44" s="191"/>
      <c r="AJ44" s="191"/>
      <c r="AK44" s="191"/>
      <c r="AL44" s="191"/>
      <c r="AM44" s="191"/>
      <c r="AN44" s="191"/>
      <c r="AO44" s="191"/>
      <c r="AP44" s="191"/>
      <c r="AQ44" s="191"/>
      <c r="AR44" s="191"/>
      <c r="AS44" s="191"/>
      <c r="AT44" s="191"/>
      <c r="AU44" s="191"/>
      <c r="AV44" s="191"/>
      <c r="AW44" s="191"/>
      <c r="AX44" s="191"/>
      <c r="AY44" s="191"/>
      <c r="AZ44" s="278">
        <v>263.94619999999998</v>
      </c>
      <c r="BA44" s="191">
        <v>263.95139999999998</v>
      </c>
      <c r="BB44" s="191">
        <v>263.99430000000001</v>
      </c>
      <c r="BC44" s="191">
        <v>263.94439999999997</v>
      </c>
      <c r="BD44" s="191">
        <v>263.89659999999998</v>
      </c>
      <c r="BE44" s="191">
        <v>263.92250000000001</v>
      </c>
      <c r="BF44" s="279">
        <v>263.8494</v>
      </c>
      <c r="BG44" s="279">
        <v>263.74009999999998</v>
      </c>
      <c r="BH44" s="279">
        <v>263.72859999999997</v>
      </c>
      <c r="BI44" s="279">
        <v>263.96890000000002</v>
      </c>
      <c r="BJ44" s="279">
        <v>263.93360000000001</v>
      </c>
      <c r="BK44" s="279">
        <v>263.70979999999997</v>
      </c>
      <c r="BL44" s="279">
        <v>263.73309999999998</v>
      </c>
      <c r="BM44" s="279">
        <v>263.88529999999997</v>
      </c>
      <c r="BN44" s="279">
        <v>263.82339999999999</v>
      </c>
      <c r="BO44" s="279">
        <v>263.75479999999999</v>
      </c>
      <c r="BP44" s="279">
        <v>263.75049999999999</v>
      </c>
      <c r="BQ44" s="279">
        <v>263.8159</v>
      </c>
      <c r="BR44" s="279">
        <v>263.88279999999997</v>
      </c>
      <c r="BS44" s="279">
        <v>263.7996</v>
      </c>
      <c r="BT44" s="279">
        <v>263.82310000000001</v>
      </c>
      <c r="BU44" s="279">
        <v>263.76749999999998</v>
      </c>
      <c r="BV44" s="279">
        <v>263.69619999999998</v>
      </c>
      <c r="BW44" s="279">
        <v>263.81849999999997</v>
      </c>
      <c r="BX44" s="279">
        <v>263.72399999999999</v>
      </c>
      <c r="BY44" s="279">
        <v>263.71929999999998</v>
      </c>
      <c r="BZ44" s="279">
        <v>263.62889999999999</v>
      </c>
      <c r="CA44" s="191">
        <v>263.61849999999998</v>
      </c>
      <c r="CB44" s="191">
        <v>263.49630000000002</v>
      </c>
      <c r="CC44" s="279">
        <v>263.5616</v>
      </c>
      <c r="CD44" s="279">
        <v>263.51310000000001</v>
      </c>
      <c r="CE44" s="279">
        <v>263.4785</v>
      </c>
      <c r="CF44" s="279">
        <v>263.4554</v>
      </c>
      <c r="CG44" s="279">
        <v>263.51850000000002</v>
      </c>
      <c r="CH44" s="279">
        <v>263.53879999999998</v>
      </c>
      <c r="CI44" s="279">
        <v>263.48860000000002</v>
      </c>
      <c r="CJ44" s="279">
        <v>263.50799999999998</v>
      </c>
      <c r="CK44" s="279">
        <v>263.55200000000002</v>
      </c>
      <c r="CL44" s="279">
        <v>263.48270000000002</v>
      </c>
      <c r="CM44" s="279">
        <v>263.52600000000001</v>
      </c>
      <c r="CN44" s="279">
        <v>263.4796</v>
      </c>
      <c r="CO44" s="279">
        <v>263.54770000000002</v>
      </c>
      <c r="CP44" s="279">
        <v>263.54610000000002</v>
      </c>
      <c r="CQ44" s="279">
        <v>263.59300000000002</v>
      </c>
      <c r="CR44" s="279">
        <v>263.58030000000002</v>
      </c>
      <c r="CS44" s="279">
        <v>263.5188</v>
      </c>
      <c r="CT44" s="279">
        <v>263.11849999999998</v>
      </c>
      <c r="CU44" s="279">
        <v>263.21839999999997</v>
      </c>
      <c r="CV44" s="279">
        <v>263.11200000000002</v>
      </c>
      <c r="CW44" s="279">
        <v>263.08730000000003</v>
      </c>
      <c r="CX44" s="191">
        <v>263.09629999999999</v>
      </c>
      <c r="CY44" s="279">
        <v>263.12529999999998</v>
      </c>
      <c r="CZ44" s="279">
        <v>263.16359999999997</v>
      </c>
      <c r="DA44" s="279">
        <v>263.14440000000002</v>
      </c>
      <c r="DB44" s="279">
        <v>263.17430000000002</v>
      </c>
      <c r="DC44" s="279">
        <v>263.10320000000002</v>
      </c>
      <c r="DD44" s="279">
        <v>263.10649999999998</v>
      </c>
      <c r="DE44" s="279">
        <v>263.03140000000002</v>
      </c>
      <c r="DF44" s="279">
        <v>263.08699999999999</v>
      </c>
      <c r="DG44" s="279">
        <v>263.09899999999999</v>
      </c>
      <c r="DH44" s="279">
        <v>263.09190000000001</v>
      </c>
      <c r="DI44" s="279">
        <v>263.17469999999997</v>
      </c>
      <c r="DJ44" s="279">
        <v>263.05239999999998</v>
      </c>
      <c r="DK44" s="279">
        <v>263.09249999999997</v>
      </c>
      <c r="DL44" s="279">
        <v>263.12310000000002</v>
      </c>
      <c r="DM44" s="279">
        <v>263.07040000000001</v>
      </c>
      <c r="DN44" s="279">
        <v>263.04719999999998</v>
      </c>
      <c r="DO44" s="279">
        <v>263.02929999999998</v>
      </c>
      <c r="DP44" s="279">
        <v>263.06369999999998</v>
      </c>
      <c r="DQ44" s="279">
        <v>262.77440000000001</v>
      </c>
      <c r="DR44" s="279">
        <v>263.38209999999998</v>
      </c>
      <c r="DS44" s="279">
        <v>263.5025</v>
      </c>
      <c r="DT44" s="191">
        <v>263.44799999999998</v>
      </c>
      <c r="DU44" s="191">
        <v>263.47039999999998</v>
      </c>
      <c r="DV44" s="279">
        <v>262.93540000000002</v>
      </c>
      <c r="DW44" s="279">
        <v>262.9563</v>
      </c>
      <c r="DX44" s="279">
        <v>262.92579999999998</v>
      </c>
      <c r="DY44" s="279">
        <v>263.14330000000001</v>
      </c>
      <c r="DZ44" s="279">
        <v>263.1816</v>
      </c>
      <c r="EA44" s="279">
        <v>263.20710000000003</v>
      </c>
      <c r="EB44" s="279">
        <v>263.07929999999999</v>
      </c>
      <c r="EC44" s="279">
        <v>263.08769999999998</v>
      </c>
      <c r="ED44" s="279">
        <v>263.14690000000002</v>
      </c>
      <c r="EE44" s="279">
        <v>263.26729999999998</v>
      </c>
      <c r="EF44" s="279">
        <v>263.15800000000002</v>
      </c>
      <c r="EG44" s="279">
        <v>263.08940000000001</v>
      </c>
      <c r="EH44" s="279">
        <v>263.07650000000001</v>
      </c>
      <c r="EI44" s="279">
        <v>262.86680000000001</v>
      </c>
      <c r="EJ44" s="279">
        <v>262.93900000000002</v>
      </c>
      <c r="EK44" s="279">
        <v>263.01150000000001</v>
      </c>
      <c r="EL44" s="191">
        <v>262.96660000000003</v>
      </c>
      <c r="EM44" s="191">
        <v>262.92239999999998</v>
      </c>
      <c r="EN44" s="191">
        <v>262.74079999999998</v>
      </c>
      <c r="EO44" s="191">
        <v>262.8818</v>
      </c>
      <c r="EP44" s="191">
        <v>262.76330000000002</v>
      </c>
      <c r="EQ44" s="191">
        <v>263.0967</v>
      </c>
      <c r="ER44" s="191">
        <v>262.82080000000002</v>
      </c>
      <c r="ES44" s="191">
        <v>262.84750000000003</v>
      </c>
      <c r="ET44" s="191">
        <v>263.06720000000001</v>
      </c>
      <c r="EU44" s="191">
        <v>262.85750000000002</v>
      </c>
      <c r="EV44" s="191">
        <v>262.66829999999999</v>
      </c>
      <c r="EW44" s="278">
        <v>263.2783</v>
      </c>
      <c r="EX44" s="191"/>
      <c r="EY44" s="191"/>
    </row>
    <row r="45" spans="1:155" ht="45" customHeight="1" x14ac:dyDescent="0.45">
      <c r="A45" s="277">
        <v>220</v>
      </c>
      <c r="B45" s="278">
        <v>264.48899999999998</v>
      </c>
      <c r="C45" s="191">
        <v>263.94959999999998</v>
      </c>
      <c r="D45" s="191">
        <v>263.94569999999999</v>
      </c>
      <c r="E45" s="191">
        <v>263.93779999999998</v>
      </c>
      <c r="F45" s="279">
        <v>263.9624</v>
      </c>
      <c r="G45" s="191">
        <v>263.96620000000001</v>
      </c>
      <c r="H45" s="191">
        <v>263.93630000000002</v>
      </c>
      <c r="I45" s="191">
        <v>263.93060000000003</v>
      </c>
      <c r="J45" s="191">
        <v>263.93099999999998</v>
      </c>
      <c r="K45" s="191">
        <v>263.92329999999998</v>
      </c>
      <c r="L45" s="191">
        <v>263.96820000000002</v>
      </c>
      <c r="M45" s="191">
        <v>264.00409999999999</v>
      </c>
      <c r="N45" s="191">
        <v>263.92959999999999</v>
      </c>
      <c r="O45" s="191">
        <v>263.94720000000001</v>
      </c>
      <c r="P45" s="191">
        <v>263.96899999999999</v>
      </c>
      <c r="Q45" s="191">
        <v>263.91180000000003</v>
      </c>
      <c r="R45" s="191">
        <v>263.84269999999998</v>
      </c>
      <c r="S45" s="191">
        <v>263.84710000000001</v>
      </c>
      <c r="T45" s="191">
        <v>263.86790000000002</v>
      </c>
      <c r="U45" s="279">
        <v>263.815</v>
      </c>
      <c r="V45" s="191">
        <v>263.8279</v>
      </c>
      <c r="W45" s="278">
        <v>263.8895</v>
      </c>
      <c r="X45" s="191"/>
      <c r="Y45" s="191"/>
      <c r="Z45" s="191"/>
      <c r="AA45" s="191"/>
      <c r="AB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c r="AZ45" s="278">
        <v>263.90899999999999</v>
      </c>
      <c r="BA45" s="191">
        <v>264.09269999999998</v>
      </c>
      <c r="BB45" s="191">
        <v>263.86930000000001</v>
      </c>
      <c r="BC45" s="191">
        <v>263.86959999999999</v>
      </c>
      <c r="BD45" s="191">
        <v>263.85410000000002</v>
      </c>
      <c r="BE45" s="191">
        <v>263.80259999999998</v>
      </c>
      <c r="BF45" s="279">
        <v>263.66129999999998</v>
      </c>
      <c r="BG45" s="191">
        <v>263.745</v>
      </c>
      <c r="BH45" s="191">
        <v>263.75510000000003</v>
      </c>
      <c r="BI45" s="191">
        <v>263.9171</v>
      </c>
      <c r="BJ45" s="191">
        <v>263.92360000000002</v>
      </c>
      <c r="BK45" s="191">
        <v>263.86669999999998</v>
      </c>
      <c r="BL45" s="191">
        <v>263.94439999999997</v>
      </c>
      <c r="BM45" s="191">
        <v>264.0258</v>
      </c>
      <c r="BN45" s="191">
        <v>264.1019</v>
      </c>
      <c r="BO45" s="191">
        <v>264.03039999999999</v>
      </c>
      <c r="BP45" s="191">
        <v>263.78399999999999</v>
      </c>
      <c r="BQ45" s="191">
        <v>263.68810000000002</v>
      </c>
      <c r="BR45" s="191">
        <v>263.6909</v>
      </c>
      <c r="BS45" s="191">
        <v>263.78710000000001</v>
      </c>
      <c r="BT45" s="191">
        <v>263.72019999999998</v>
      </c>
      <c r="BU45" s="191">
        <v>263.65690000000001</v>
      </c>
      <c r="BV45" s="191">
        <v>263.68700000000001</v>
      </c>
      <c r="BW45" s="191">
        <v>263.72649999999999</v>
      </c>
      <c r="BX45" s="191">
        <v>263.56810000000002</v>
      </c>
      <c r="BY45" s="191">
        <v>263.61939999999998</v>
      </c>
      <c r="BZ45" s="279">
        <v>263.60469999999998</v>
      </c>
      <c r="CA45" s="191">
        <v>263.51729999999998</v>
      </c>
      <c r="CB45" s="191">
        <v>263.49709999999999</v>
      </c>
      <c r="CC45" s="279">
        <v>263.53300000000002</v>
      </c>
      <c r="CD45" s="191">
        <v>263.47219999999999</v>
      </c>
      <c r="CE45" s="191">
        <v>263.39909999999998</v>
      </c>
      <c r="CF45" s="191">
        <v>263.5034</v>
      </c>
      <c r="CG45" s="191">
        <v>263.57190000000003</v>
      </c>
      <c r="CH45" s="191">
        <v>263.44</v>
      </c>
      <c r="CI45" s="191">
        <v>263.29079999999999</v>
      </c>
      <c r="CJ45" s="191">
        <v>263.53640000000001</v>
      </c>
      <c r="CK45" s="191">
        <v>263.53809999999999</v>
      </c>
      <c r="CL45" s="191">
        <v>263.6046</v>
      </c>
      <c r="CM45" s="191">
        <v>263.55560000000003</v>
      </c>
      <c r="CN45" s="191">
        <v>263.5446</v>
      </c>
      <c r="CO45" s="191">
        <v>263.60559999999998</v>
      </c>
      <c r="CP45" s="191">
        <v>263.55829999999997</v>
      </c>
      <c r="CQ45" s="191">
        <v>263.55650000000003</v>
      </c>
      <c r="CR45" s="191">
        <v>263.5917</v>
      </c>
      <c r="CS45" s="191">
        <v>263.59870000000001</v>
      </c>
      <c r="CT45" s="191">
        <v>263.16849999999999</v>
      </c>
      <c r="CU45" s="191">
        <v>263.2002</v>
      </c>
      <c r="CV45" s="191">
        <v>263.15199999999999</v>
      </c>
      <c r="CW45" s="279">
        <v>263.1361</v>
      </c>
      <c r="CX45" s="191">
        <v>263.0933</v>
      </c>
      <c r="CY45" s="279">
        <v>263.084</v>
      </c>
      <c r="CZ45" s="191">
        <v>263.06540000000001</v>
      </c>
      <c r="DA45" s="191">
        <v>263.11090000000002</v>
      </c>
      <c r="DB45" s="191">
        <v>263.13589999999999</v>
      </c>
      <c r="DC45" s="191">
        <v>263.08519999999999</v>
      </c>
      <c r="DD45" s="191">
        <v>263.09870000000001</v>
      </c>
      <c r="DE45" s="191">
        <v>263.09530000000001</v>
      </c>
      <c r="DF45" s="191">
        <v>263.05950000000001</v>
      </c>
      <c r="DG45" s="191">
        <v>263.09370000000001</v>
      </c>
      <c r="DH45" s="191">
        <v>263.12279999999998</v>
      </c>
      <c r="DI45" s="191">
        <v>263.05529999999999</v>
      </c>
      <c r="DJ45" s="191">
        <v>263.06610000000001</v>
      </c>
      <c r="DK45" s="191">
        <v>263.0634</v>
      </c>
      <c r="DL45" s="191">
        <v>263.0378</v>
      </c>
      <c r="DM45" s="191">
        <v>263.04230000000001</v>
      </c>
      <c r="DN45" s="191">
        <v>263.00689999999997</v>
      </c>
      <c r="DO45" s="191">
        <v>263.14080000000001</v>
      </c>
      <c r="DP45" s="191">
        <v>262.87310000000002</v>
      </c>
      <c r="DQ45" s="191">
        <v>262.7998</v>
      </c>
      <c r="DR45" s="191">
        <v>263.1567</v>
      </c>
      <c r="DS45" s="279">
        <v>263.20870000000002</v>
      </c>
      <c r="DT45" s="191">
        <v>263.23669999999998</v>
      </c>
      <c r="DU45" s="191">
        <v>263.1773</v>
      </c>
      <c r="DV45" s="279">
        <v>263.01420000000002</v>
      </c>
      <c r="DW45" s="191">
        <v>263.14499999999998</v>
      </c>
      <c r="DX45" s="191">
        <v>263.14389999999997</v>
      </c>
      <c r="DY45" s="191">
        <v>263.18950000000001</v>
      </c>
      <c r="DZ45" s="191">
        <v>263.16399999999999</v>
      </c>
      <c r="EA45" s="191">
        <v>263.37729999999999</v>
      </c>
      <c r="EB45" s="191">
        <v>263.52379999999999</v>
      </c>
      <c r="EC45" s="191">
        <v>263.40030000000002</v>
      </c>
      <c r="ED45" s="191">
        <v>263.39120000000003</v>
      </c>
      <c r="EE45" s="191">
        <v>263.1139</v>
      </c>
      <c r="EF45" s="191">
        <v>263.44540000000001</v>
      </c>
      <c r="EG45" s="191">
        <v>263.3347</v>
      </c>
      <c r="EH45" s="191">
        <v>263.42410000000001</v>
      </c>
      <c r="EI45" s="191">
        <v>263.14460000000003</v>
      </c>
      <c r="EJ45" s="191">
        <v>262.9751</v>
      </c>
      <c r="EK45" s="279">
        <v>263.00189999999998</v>
      </c>
      <c r="EL45" s="191">
        <v>263.12259999999998</v>
      </c>
      <c r="EM45" s="191">
        <v>263.15519999999998</v>
      </c>
      <c r="EN45" s="191">
        <v>262.9753</v>
      </c>
      <c r="EO45" s="191">
        <v>262.95979999999997</v>
      </c>
      <c r="EP45" s="191">
        <v>263.0231</v>
      </c>
      <c r="EQ45" s="191">
        <v>263.01659999999998</v>
      </c>
      <c r="ER45" s="191">
        <v>263.12290000000002</v>
      </c>
      <c r="ES45" s="191">
        <v>263.1619</v>
      </c>
      <c r="ET45" s="191">
        <v>263.11369999999999</v>
      </c>
      <c r="EU45" s="191">
        <v>262.75450000000001</v>
      </c>
      <c r="EV45" s="278">
        <v>262.6644</v>
      </c>
      <c r="EW45" s="191"/>
      <c r="EX45" s="191"/>
      <c r="EY45" s="191"/>
    </row>
    <row r="46" spans="1:155" ht="45" customHeight="1" x14ac:dyDescent="0.45">
      <c r="A46" s="277">
        <v>225</v>
      </c>
      <c r="B46" s="278">
        <v>264.5301</v>
      </c>
      <c r="C46" s="191">
        <v>263.96260000000001</v>
      </c>
      <c r="D46" s="191">
        <v>263.89010000000002</v>
      </c>
      <c r="E46" s="191">
        <v>263.89280000000002</v>
      </c>
      <c r="F46" s="279">
        <v>263.8997</v>
      </c>
      <c r="G46" s="191">
        <v>263.89729999999997</v>
      </c>
      <c r="H46" s="191">
        <v>263.90699999999998</v>
      </c>
      <c r="I46" s="191">
        <v>263.92469999999997</v>
      </c>
      <c r="J46" s="191">
        <v>263.9042</v>
      </c>
      <c r="K46" s="191">
        <v>263.92910000000001</v>
      </c>
      <c r="L46" s="191">
        <v>263.93079999999998</v>
      </c>
      <c r="M46" s="191">
        <v>263.96769999999998</v>
      </c>
      <c r="N46" s="191">
        <v>263.8999</v>
      </c>
      <c r="O46" s="191">
        <v>263.92</v>
      </c>
      <c r="P46" s="191">
        <v>263.9092</v>
      </c>
      <c r="Q46" s="191">
        <v>263.88830000000002</v>
      </c>
      <c r="R46" s="191">
        <v>263.83960000000002</v>
      </c>
      <c r="S46" s="191">
        <v>263.84620000000001</v>
      </c>
      <c r="T46" s="191">
        <v>263.87950000000001</v>
      </c>
      <c r="U46" s="279">
        <v>263.8295</v>
      </c>
      <c r="V46" s="191">
        <v>263.8365</v>
      </c>
      <c r="W46" s="191">
        <v>263.80360000000002</v>
      </c>
      <c r="X46" s="278">
        <v>264.00170000000003</v>
      </c>
      <c r="Y46" s="191"/>
      <c r="Z46" s="191"/>
      <c r="AA46" s="191"/>
      <c r="AB46" s="191"/>
      <c r="AC46" s="191"/>
      <c r="AD46" s="191"/>
      <c r="AE46" s="191"/>
      <c r="AF46" s="191"/>
      <c r="AG46" s="191"/>
      <c r="AH46" s="191"/>
      <c r="AI46" s="191"/>
      <c r="AJ46" s="191"/>
      <c r="AK46" s="191"/>
      <c r="AL46" s="191"/>
      <c r="AM46" s="191"/>
      <c r="AN46" s="191"/>
      <c r="AO46" s="191"/>
      <c r="AP46" s="191"/>
      <c r="AQ46" s="191"/>
      <c r="AR46" s="191"/>
      <c r="AS46" s="191"/>
      <c r="AT46" s="191"/>
      <c r="AU46" s="191"/>
      <c r="AV46" s="191"/>
      <c r="AW46" s="191"/>
      <c r="AX46" s="191"/>
      <c r="AY46" s="191"/>
      <c r="AZ46" s="278">
        <v>263.8494</v>
      </c>
      <c r="BA46" s="191">
        <v>263.84769999999997</v>
      </c>
      <c r="BB46" s="191">
        <v>263.85629999999998</v>
      </c>
      <c r="BC46" s="191">
        <v>263.79500000000002</v>
      </c>
      <c r="BD46" s="191">
        <v>263.76679999999999</v>
      </c>
      <c r="BE46" s="191">
        <v>263.68889999999999</v>
      </c>
      <c r="BF46" s="279">
        <v>263.6771</v>
      </c>
      <c r="BG46" s="191">
        <v>263.67399999999998</v>
      </c>
      <c r="BH46" s="191">
        <v>263.76620000000003</v>
      </c>
      <c r="BI46" s="191">
        <v>263.90879999999999</v>
      </c>
      <c r="BJ46" s="191">
        <v>263.79219999999998</v>
      </c>
      <c r="BK46" s="191">
        <v>263.78660000000002</v>
      </c>
      <c r="BL46" s="191">
        <v>264.07389999999998</v>
      </c>
      <c r="BM46" s="191">
        <v>264.01519999999999</v>
      </c>
      <c r="BN46" s="191">
        <v>264.02260000000001</v>
      </c>
      <c r="BO46" s="191">
        <v>263.97629999999998</v>
      </c>
      <c r="BP46" s="191">
        <v>263.96449999999999</v>
      </c>
      <c r="BQ46" s="191">
        <v>263.70609999999999</v>
      </c>
      <c r="BR46" s="191">
        <v>263.61189999999999</v>
      </c>
      <c r="BS46" s="191">
        <v>263.5677</v>
      </c>
      <c r="BT46" s="191">
        <v>263.68790000000001</v>
      </c>
      <c r="BU46" s="191">
        <v>263.72250000000003</v>
      </c>
      <c r="BV46" s="191">
        <v>263.6583</v>
      </c>
      <c r="BW46" s="191">
        <v>263.678</v>
      </c>
      <c r="BX46" s="191">
        <v>263.76569999999998</v>
      </c>
      <c r="BY46" s="191">
        <v>263.71129999999999</v>
      </c>
      <c r="BZ46" s="279">
        <v>263.55520000000001</v>
      </c>
      <c r="CA46" s="191">
        <v>263.56360000000001</v>
      </c>
      <c r="CB46" s="191">
        <v>263.49619999999999</v>
      </c>
      <c r="CC46" s="279">
        <v>263.45440000000002</v>
      </c>
      <c r="CD46" s="191">
        <v>263.49059999999997</v>
      </c>
      <c r="CE46" s="191">
        <v>263.50069999999999</v>
      </c>
      <c r="CF46" s="191">
        <v>263.50319999999999</v>
      </c>
      <c r="CG46" s="191">
        <v>263.55110000000002</v>
      </c>
      <c r="CH46" s="191">
        <v>263.52260000000001</v>
      </c>
      <c r="CI46" s="191">
        <v>263.3596</v>
      </c>
      <c r="CJ46" s="191">
        <v>263.46620000000001</v>
      </c>
      <c r="CK46" s="191">
        <v>263.47430000000003</v>
      </c>
      <c r="CL46" s="191">
        <v>263.42090000000002</v>
      </c>
      <c r="CM46" s="191">
        <v>263.50510000000003</v>
      </c>
      <c r="CN46" s="191">
        <v>263.5111</v>
      </c>
      <c r="CO46" s="191">
        <v>263.47039999999998</v>
      </c>
      <c r="CP46" s="191">
        <v>263.60489999999999</v>
      </c>
      <c r="CQ46" s="191">
        <v>263.53980000000001</v>
      </c>
      <c r="CR46" s="191">
        <v>263.70659999999998</v>
      </c>
      <c r="CS46" s="191">
        <v>263.54559999999998</v>
      </c>
      <c r="CT46" s="191">
        <v>263.19490000000002</v>
      </c>
      <c r="CU46" s="191">
        <v>263.35390000000001</v>
      </c>
      <c r="CV46" s="191">
        <v>263.1798</v>
      </c>
      <c r="CW46" s="279">
        <v>263.2253</v>
      </c>
      <c r="CX46" s="191">
        <v>263.17059999999998</v>
      </c>
      <c r="CY46" s="279">
        <v>263.10789999999997</v>
      </c>
      <c r="CZ46" s="191">
        <v>263.2072</v>
      </c>
      <c r="DA46" s="191">
        <v>263.20260000000002</v>
      </c>
      <c r="DB46" s="191">
        <v>263.15609999999998</v>
      </c>
      <c r="DC46" s="191">
        <v>263.12970000000001</v>
      </c>
      <c r="DD46" s="191">
        <v>263.13929999999999</v>
      </c>
      <c r="DE46" s="191">
        <v>263.12819999999999</v>
      </c>
      <c r="DF46" s="191">
        <v>263.11759999999998</v>
      </c>
      <c r="DG46" s="191">
        <v>263.16489999999999</v>
      </c>
      <c r="DH46" s="191">
        <v>263.27890000000002</v>
      </c>
      <c r="DI46" s="191">
        <v>263.19209999999998</v>
      </c>
      <c r="DJ46" s="191">
        <v>263.20620000000002</v>
      </c>
      <c r="DK46" s="191">
        <v>263.0729</v>
      </c>
      <c r="DL46" s="191">
        <v>263.03629999999998</v>
      </c>
      <c r="DM46" s="191">
        <v>263.07369999999997</v>
      </c>
      <c r="DN46" s="191">
        <v>263.08479999999997</v>
      </c>
      <c r="DO46" s="191">
        <v>262.84410000000003</v>
      </c>
      <c r="DP46" s="191">
        <v>262.95819999999998</v>
      </c>
      <c r="DQ46" s="191">
        <v>262.83589999999998</v>
      </c>
      <c r="DR46" s="191">
        <v>263.06349999999998</v>
      </c>
      <c r="DS46" s="279">
        <v>263.238</v>
      </c>
      <c r="DT46" s="191">
        <v>263.51889999999997</v>
      </c>
      <c r="DU46" s="191">
        <v>263.03199999999998</v>
      </c>
      <c r="DV46" s="279">
        <v>263.15710000000001</v>
      </c>
      <c r="DW46" s="191">
        <v>263.22489999999999</v>
      </c>
      <c r="DX46" s="191">
        <v>263.24970000000002</v>
      </c>
      <c r="DY46" s="191">
        <v>263.16759999999999</v>
      </c>
      <c r="DZ46" s="191">
        <v>263.1977</v>
      </c>
      <c r="EA46" s="191">
        <v>263.12990000000002</v>
      </c>
      <c r="EB46" s="191">
        <v>263.3218</v>
      </c>
      <c r="EC46" s="191">
        <v>263.33359999999999</v>
      </c>
      <c r="ED46" s="191">
        <v>263.2303</v>
      </c>
      <c r="EE46" s="191">
        <v>263.32049999999998</v>
      </c>
      <c r="EF46" s="191">
        <v>263.18639999999999</v>
      </c>
      <c r="EG46" s="191">
        <v>263.1943</v>
      </c>
      <c r="EH46" s="191">
        <v>263.34309999999999</v>
      </c>
      <c r="EI46" s="191">
        <v>263.26990000000001</v>
      </c>
      <c r="EJ46" s="191">
        <v>263.43720000000002</v>
      </c>
      <c r="EK46" s="279">
        <v>263.29270000000002</v>
      </c>
      <c r="EL46" s="191">
        <v>263.26760000000002</v>
      </c>
      <c r="EM46" s="191">
        <v>263.16050000000001</v>
      </c>
      <c r="EN46" s="191">
        <v>263.16070000000002</v>
      </c>
      <c r="EO46" s="191">
        <v>263.22879999999998</v>
      </c>
      <c r="EP46" s="191">
        <v>262.99990000000003</v>
      </c>
      <c r="EQ46" s="191">
        <v>263.14299999999997</v>
      </c>
      <c r="ER46" s="191">
        <v>263.07639999999998</v>
      </c>
      <c r="ES46" s="191">
        <v>263.05930000000001</v>
      </c>
      <c r="ET46" s="191">
        <v>262.8793</v>
      </c>
      <c r="EU46" s="191">
        <v>262.70139999999998</v>
      </c>
      <c r="EV46" s="278">
        <v>262.69670000000002</v>
      </c>
      <c r="EW46" s="191"/>
      <c r="EX46" s="191"/>
      <c r="EY46" s="191"/>
    </row>
    <row r="47" spans="1:155" ht="45" customHeight="1" x14ac:dyDescent="0.45">
      <c r="A47" s="277">
        <v>230</v>
      </c>
      <c r="B47" s="278">
        <v>264.47480000000002</v>
      </c>
      <c r="C47" s="191">
        <v>264.02449999999999</v>
      </c>
      <c r="D47" s="191">
        <v>263.84039999999999</v>
      </c>
      <c r="E47" s="191">
        <v>263.85640000000001</v>
      </c>
      <c r="F47" s="279">
        <v>263.85520000000002</v>
      </c>
      <c r="G47" s="191">
        <v>263.8587</v>
      </c>
      <c r="H47" s="191">
        <v>263.86919999999998</v>
      </c>
      <c r="I47" s="191">
        <v>263.8879</v>
      </c>
      <c r="J47" s="191">
        <v>263.88150000000002</v>
      </c>
      <c r="K47" s="191">
        <v>263.90949999999998</v>
      </c>
      <c r="L47" s="191">
        <v>263.93110000000001</v>
      </c>
      <c r="M47" s="191">
        <v>263.93849999999998</v>
      </c>
      <c r="N47" s="191">
        <v>263.87799999999999</v>
      </c>
      <c r="O47" s="191">
        <v>263.88740000000001</v>
      </c>
      <c r="P47" s="191">
        <v>263.89389999999997</v>
      </c>
      <c r="Q47" s="191">
        <v>263.82690000000002</v>
      </c>
      <c r="R47" s="191">
        <v>263.83370000000002</v>
      </c>
      <c r="S47" s="191">
        <v>263.8288</v>
      </c>
      <c r="T47" s="191">
        <v>263.8227</v>
      </c>
      <c r="U47" s="279">
        <v>263.82150000000001</v>
      </c>
      <c r="V47" s="191">
        <v>263.81130000000002</v>
      </c>
      <c r="W47" s="191">
        <v>263.81060000000002</v>
      </c>
      <c r="X47" s="278">
        <v>263.76339999999999</v>
      </c>
      <c r="Y47" s="191"/>
      <c r="Z47" s="191"/>
      <c r="AA47" s="191"/>
      <c r="AB47" s="191"/>
      <c r="AC47" s="191"/>
      <c r="AD47" s="191"/>
      <c r="AE47" s="191"/>
      <c r="AF47" s="191"/>
      <c r="AG47" s="191"/>
      <c r="AH47" s="191"/>
      <c r="AI47" s="191"/>
      <c r="AJ47" s="191"/>
      <c r="AK47" s="191"/>
      <c r="AL47" s="191"/>
      <c r="AM47" s="191"/>
      <c r="AN47" s="191"/>
      <c r="AO47" s="191"/>
      <c r="AP47" s="191"/>
      <c r="AQ47" s="191"/>
      <c r="AR47" s="191"/>
      <c r="AS47" s="191"/>
      <c r="AT47" s="191"/>
      <c r="AU47" s="191"/>
      <c r="AV47" s="191"/>
      <c r="AW47" s="191"/>
      <c r="AX47" s="191"/>
      <c r="AY47" s="191"/>
      <c r="AZ47" s="278">
        <v>263.71719999999999</v>
      </c>
      <c r="BA47" s="191">
        <v>263.82900000000001</v>
      </c>
      <c r="BB47" s="191">
        <v>263.83030000000002</v>
      </c>
      <c r="BC47" s="191">
        <v>263.80939999999998</v>
      </c>
      <c r="BD47" s="191">
        <v>263.81180000000001</v>
      </c>
      <c r="BE47" s="191">
        <v>263.791</v>
      </c>
      <c r="BF47" s="279">
        <v>263.80200000000002</v>
      </c>
      <c r="BG47" s="191">
        <v>263.70679999999999</v>
      </c>
      <c r="BH47" s="191">
        <v>263.84699999999998</v>
      </c>
      <c r="BI47" s="191">
        <v>263.67259999999999</v>
      </c>
      <c r="BJ47" s="191">
        <v>263.83030000000002</v>
      </c>
      <c r="BK47" s="191">
        <v>263.76459999999997</v>
      </c>
      <c r="BL47" s="191">
        <v>263.82810000000001</v>
      </c>
      <c r="BM47" s="191">
        <v>263.83600000000001</v>
      </c>
      <c r="BN47" s="191">
        <v>263.8698</v>
      </c>
      <c r="BO47" s="191">
        <v>263.86849999999998</v>
      </c>
      <c r="BP47" s="191">
        <v>263.86709999999999</v>
      </c>
      <c r="BQ47" s="191">
        <v>263.73360000000002</v>
      </c>
      <c r="BR47" s="191">
        <v>263.47289999999998</v>
      </c>
      <c r="BS47" s="191">
        <v>263.45929999999998</v>
      </c>
      <c r="BT47" s="191">
        <v>263.63470000000001</v>
      </c>
      <c r="BU47" s="191">
        <v>263.7715</v>
      </c>
      <c r="BV47" s="191">
        <v>263.81479999999999</v>
      </c>
      <c r="BW47" s="191">
        <v>263.6848</v>
      </c>
      <c r="BX47" s="191">
        <v>263.64490000000001</v>
      </c>
      <c r="BY47" s="191">
        <v>263.59769999999997</v>
      </c>
      <c r="BZ47" s="279">
        <v>263.55090000000001</v>
      </c>
      <c r="CA47" s="191">
        <v>263.50380000000001</v>
      </c>
      <c r="CB47" s="191">
        <v>263.50700000000001</v>
      </c>
      <c r="CC47" s="279">
        <v>263.40940000000001</v>
      </c>
      <c r="CD47" s="191">
        <v>263.28070000000002</v>
      </c>
      <c r="CE47" s="191">
        <v>263.32889999999998</v>
      </c>
      <c r="CF47" s="191">
        <v>263.31310000000002</v>
      </c>
      <c r="CG47" s="191">
        <v>263.23750000000001</v>
      </c>
      <c r="CH47" s="191">
        <v>263.24270000000001</v>
      </c>
      <c r="CI47" s="191">
        <v>263.21030000000002</v>
      </c>
      <c r="CJ47" s="191">
        <v>263.15010000000001</v>
      </c>
      <c r="CK47" s="191">
        <v>263.39150000000001</v>
      </c>
      <c r="CL47" s="191">
        <v>263.36380000000003</v>
      </c>
      <c r="CM47" s="191">
        <v>263.22829999999999</v>
      </c>
      <c r="CN47" s="191">
        <v>263.40570000000002</v>
      </c>
      <c r="CO47" s="191">
        <v>263.476</v>
      </c>
      <c r="CP47" s="191">
        <v>263.32769999999999</v>
      </c>
      <c r="CQ47" s="191">
        <v>263.62729999999999</v>
      </c>
      <c r="CR47" s="191">
        <v>263.726</v>
      </c>
      <c r="CS47" s="191">
        <v>263.59609999999998</v>
      </c>
      <c r="CT47" s="191">
        <v>263.59120000000001</v>
      </c>
      <c r="CU47" s="191">
        <v>263.34070000000003</v>
      </c>
      <c r="CV47" s="191">
        <v>263.03199999999998</v>
      </c>
      <c r="CW47" s="279">
        <v>263.18369999999999</v>
      </c>
      <c r="CX47" s="191">
        <v>263.18209999999999</v>
      </c>
      <c r="CY47" s="279">
        <v>263.1302</v>
      </c>
      <c r="CZ47" s="191">
        <v>263.19810000000001</v>
      </c>
      <c r="DA47" s="191">
        <v>263.29000000000002</v>
      </c>
      <c r="DB47" s="191">
        <v>263.30200000000002</v>
      </c>
      <c r="DC47" s="191">
        <v>263.2765</v>
      </c>
      <c r="DD47" s="191">
        <v>263.27210000000002</v>
      </c>
      <c r="DE47" s="191">
        <v>263.22919999999999</v>
      </c>
      <c r="DF47" s="191">
        <v>263.25900000000001</v>
      </c>
      <c r="DG47" s="191">
        <v>263.13260000000002</v>
      </c>
      <c r="DH47" s="191">
        <v>263.31959999999998</v>
      </c>
      <c r="DI47" s="191">
        <v>263.47489999999999</v>
      </c>
      <c r="DJ47" s="191">
        <v>263.44900000000001</v>
      </c>
      <c r="DK47" s="191">
        <v>263.315</v>
      </c>
      <c r="DL47" s="191">
        <v>263.4898</v>
      </c>
      <c r="DM47" s="191">
        <v>263.23439999999999</v>
      </c>
      <c r="DN47" s="191">
        <v>262.89440000000002</v>
      </c>
      <c r="DO47" s="191">
        <v>263.02140000000003</v>
      </c>
      <c r="DP47" s="191">
        <v>263.05329999999998</v>
      </c>
      <c r="DQ47" s="191">
        <v>263.07100000000003</v>
      </c>
      <c r="DR47" s="191">
        <v>263.53160000000003</v>
      </c>
      <c r="DS47" s="279">
        <v>263.54489999999998</v>
      </c>
      <c r="DT47" s="191">
        <v>263.37430000000001</v>
      </c>
      <c r="DU47" s="191">
        <v>262.7441</v>
      </c>
      <c r="DV47" s="279">
        <v>263.20319999999998</v>
      </c>
      <c r="DW47" s="191">
        <v>263.13679999999999</v>
      </c>
      <c r="DX47" s="191">
        <v>263.07369999999997</v>
      </c>
      <c r="DY47" s="191">
        <v>263.11419999999998</v>
      </c>
      <c r="DZ47" s="191">
        <v>263.21409999999997</v>
      </c>
      <c r="EA47" s="191">
        <v>263.09530000000001</v>
      </c>
      <c r="EB47" s="191">
        <v>263.01940000000002</v>
      </c>
      <c r="EC47" s="191">
        <v>263.30700000000002</v>
      </c>
      <c r="ED47" s="191">
        <v>263.3014</v>
      </c>
      <c r="EE47" s="191">
        <v>263.11320000000001</v>
      </c>
      <c r="EF47" s="191">
        <v>263.14819999999997</v>
      </c>
      <c r="EG47" s="191">
        <v>263.15809999999999</v>
      </c>
      <c r="EH47" s="191">
        <v>263.17829999999998</v>
      </c>
      <c r="EI47" s="191">
        <v>263.17790000000002</v>
      </c>
      <c r="EJ47" s="191">
        <v>263.34930000000003</v>
      </c>
      <c r="EK47" s="279">
        <v>263.11739999999998</v>
      </c>
      <c r="EL47" s="191">
        <v>263.23500000000001</v>
      </c>
      <c r="EM47" s="191">
        <v>263.14089999999999</v>
      </c>
      <c r="EN47" s="191">
        <v>262.88659999999999</v>
      </c>
      <c r="EO47" s="191">
        <v>263.00310000000002</v>
      </c>
      <c r="EP47" s="191">
        <v>263.28550000000001</v>
      </c>
      <c r="EQ47" s="191">
        <v>263.1003</v>
      </c>
      <c r="ER47" s="191">
        <v>262.84199999999998</v>
      </c>
      <c r="ES47" s="191">
        <v>262.9203</v>
      </c>
      <c r="ET47" s="191">
        <v>262.71269999999998</v>
      </c>
      <c r="EU47" s="191">
        <v>262.70859999999999</v>
      </c>
      <c r="EV47" s="278">
        <v>262.69839999999999</v>
      </c>
      <c r="EW47" s="191"/>
      <c r="EX47" s="191"/>
      <c r="EY47" s="191"/>
    </row>
    <row r="48" spans="1:155" ht="45" customHeight="1" x14ac:dyDescent="0.45">
      <c r="A48" s="277">
        <v>235</v>
      </c>
      <c r="B48" s="191"/>
      <c r="C48" s="278">
        <v>263.96199999999999</v>
      </c>
      <c r="D48" s="191">
        <v>263.82220000000001</v>
      </c>
      <c r="E48" s="191">
        <v>263.84140000000002</v>
      </c>
      <c r="F48" s="279">
        <v>263.84399999999999</v>
      </c>
      <c r="G48" s="191">
        <v>263.82380000000001</v>
      </c>
      <c r="H48" s="191">
        <v>263.84609999999998</v>
      </c>
      <c r="I48" s="191">
        <v>263.86380000000003</v>
      </c>
      <c r="J48" s="191">
        <v>263.834</v>
      </c>
      <c r="K48" s="191">
        <v>263.84739999999999</v>
      </c>
      <c r="L48" s="191">
        <v>263.8646</v>
      </c>
      <c r="M48" s="191">
        <v>263.88690000000003</v>
      </c>
      <c r="N48" s="191">
        <v>263.88600000000002</v>
      </c>
      <c r="O48" s="191">
        <v>263.86079999999998</v>
      </c>
      <c r="P48" s="191">
        <v>263.83710000000002</v>
      </c>
      <c r="Q48" s="191">
        <v>263.81810000000002</v>
      </c>
      <c r="R48" s="191">
        <v>263.80470000000003</v>
      </c>
      <c r="S48" s="191">
        <v>263.798</v>
      </c>
      <c r="T48" s="191">
        <v>263.77859999999998</v>
      </c>
      <c r="U48" s="279">
        <v>263.79309999999998</v>
      </c>
      <c r="V48" s="191">
        <v>263.80470000000003</v>
      </c>
      <c r="W48" s="191">
        <v>263.75850000000003</v>
      </c>
      <c r="X48" s="191">
        <v>263.73439999999999</v>
      </c>
      <c r="Y48" s="278">
        <v>264.26679999999999</v>
      </c>
      <c r="Z48" s="191"/>
      <c r="AA48" s="191"/>
      <c r="AB48" s="191"/>
      <c r="AC48" s="191"/>
      <c r="AD48" s="191"/>
      <c r="AE48" s="191"/>
      <c r="AF48" s="191"/>
      <c r="AG48" s="191"/>
      <c r="AH48" s="191"/>
      <c r="AI48" s="191"/>
      <c r="AJ48" s="191"/>
      <c r="AK48" s="191"/>
      <c r="AL48" s="191"/>
      <c r="AM48" s="191"/>
      <c r="AN48" s="191"/>
      <c r="AO48" s="191"/>
      <c r="AP48" s="191"/>
      <c r="AQ48" s="191"/>
      <c r="AR48" s="191"/>
      <c r="AS48" s="191"/>
      <c r="AT48" s="191"/>
      <c r="AU48" s="191"/>
      <c r="AV48" s="191"/>
      <c r="AW48" s="191"/>
      <c r="AX48" s="191"/>
      <c r="AY48" s="191"/>
      <c r="AZ48" s="278">
        <v>263.71960000000001</v>
      </c>
      <c r="BA48" s="191">
        <v>264.21030000000002</v>
      </c>
      <c r="BB48" s="191">
        <v>263.79109999999997</v>
      </c>
      <c r="BC48" s="191">
        <v>263.62889999999999</v>
      </c>
      <c r="BD48" s="191">
        <v>263.5994</v>
      </c>
      <c r="BE48" s="191">
        <v>263.85309999999998</v>
      </c>
      <c r="BF48" s="279">
        <v>264.0052</v>
      </c>
      <c r="BG48" s="191">
        <v>263.98200000000003</v>
      </c>
      <c r="BH48" s="191">
        <v>263.834</v>
      </c>
      <c r="BI48" s="191">
        <v>263.8793</v>
      </c>
      <c r="BJ48" s="191">
        <v>263.9015</v>
      </c>
      <c r="BK48" s="191">
        <v>263.77510000000001</v>
      </c>
      <c r="BL48" s="191">
        <v>263.76139999999998</v>
      </c>
      <c r="BM48" s="191">
        <v>263.82909999999998</v>
      </c>
      <c r="BN48" s="191">
        <v>263.75839999999999</v>
      </c>
      <c r="BO48" s="191">
        <v>263.74310000000003</v>
      </c>
      <c r="BP48" s="191">
        <v>263.72329999999999</v>
      </c>
      <c r="BQ48" s="191">
        <v>263.63740000000001</v>
      </c>
      <c r="BR48" s="191">
        <v>263.66879999999998</v>
      </c>
      <c r="BS48" s="191">
        <v>263.47179999999997</v>
      </c>
      <c r="BT48" s="191">
        <v>263.68680000000001</v>
      </c>
      <c r="BU48" s="191">
        <v>263.65230000000003</v>
      </c>
      <c r="BV48" s="191">
        <v>263.39550000000003</v>
      </c>
      <c r="BW48" s="191">
        <v>263.39659999999998</v>
      </c>
      <c r="BX48" s="191">
        <v>263.40350000000001</v>
      </c>
      <c r="BY48" s="191">
        <v>263.49639999999999</v>
      </c>
      <c r="BZ48" s="279">
        <v>263.44839999999999</v>
      </c>
      <c r="CA48" s="191">
        <v>263.5283</v>
      </c>
      <c r="CB48" s="191">
        <v>263.52010000000001</v>
      </c>
      <c r="CC48" s="279">
        <v>263.50819999999999</v>
      </c>
      <c r="CD48" s="191">
        <v>263.4425</v>
      </c>
      <c r="CE48" s="191">
        <v>263.34679999999997</v>
      </c>
      <c r="CF48" s="191">
        <v>263.39640000000003</v>
      </c>
      <c r="CG48" s="191">
        <v>263.41750000000002</v>
      </c>
      <c r="CH48" s="191">
        <v>263.50479999999999</v>
      </c>
      <c r="CI48" s="191">
        <v>263.48829999999998</v>
      </c>
      <c r="CJ48" s="191">
        <v>263.37790000000001</v>
      </c>
      <c r="CK48" s="191">
        <v>263.2901</v>
      </c>
      <c r="CL48" s="191">
        <v>263.2414</v>
      </c>
      <c r="CM48" s="191">
        <v>263.24549999999999</v>
      </c>
      <c r="CN48" s="191">
        <v>263.25979999999998</v>
      </c>
      <c r="CO48" s="191">
        <v>263.29759999999999</v>
      </c>
      <c r="CP48" s="191">
        <v>263.3526</v>
      </c>
      <c r="CQ48" s="191">
        <v>263.54059999999998</v>
      </c>
      <c r="CR48" s="191">
        <v>263.65620000000001</v>
      </c>
      <c r="CS48" s="191">
        <v>263.66379999999998</v>
      </c>
      <c r="CT48" s="191">
        <v>263.61779999999999</v>
      </c>
      <c r="CU48" s="191">
        <v>263.43450000000001</v>
      </c>
      <c r="CV48" s="191">
        <v>263.2835</v>
      </c>
      <c r="CW48" s="279">
        <v>263.39749999999998</v>
      </c>
      <c r="CX48" s="191">
        <v>263.44709999999998</v>
      </c>
      <c r="CY48" s="279">
        <v>263.35520000000002</v>
      </c>
      <c r="CZ48" s="191">
        <v>263.56529999999998</v>
      </c>
      <c r="DA48" s="191">
        <v>263.52659999999997</v>
      </c>
      <c r="DB48" s="191">
        <v>263.45519999999999</v>
      </c>
      <c r="DC48" s="191">
        <v>263.54349999999999</v>
      </c>
      <c r="DD48" s="191">
        <v>263.53739999999999</v>
      </c>
      <c r="DE48" s="191">
        <v>263.66370000000001</v>
      </c>
      <c r="DF48" s="191">
        <v>263.43439999999998</v>
      </c>
      <c r="DG48" s="191">
        <v>263.46820000000002</v>
      </c>
      <c r="DH48" s="191">
        <v>263.57150000000001</v>
      </c>
      <c r="DI48" s="191">
        <v>263.4359</v>
      </c>
      <c r="DJ48" s="191">
        <v>263.29480000000001</v>
      </c>
      <c r="DK48" s="191">
        <v>263.38510000000002</v>
      </c>
      <c r="DL48" s="191">
        <v>263.40100000000001</v>
      </c>
      <c r="DM48" s="191">
        <v>263.31020000000001</v>
      </c>
      <c r="DN48" s="191">
        <v>263.38200000000001</v>
      </c>
      <c r="DO48" s="191">
        <v>263.14490000000001</v>
      </c>
      <c r="DP48" s="191">
        <v>263.15039999999999</v>
      </c>
      <c r="DQ48" s="191">
        <v>263.16669999999999</v>
      </c>
      <c r="DR48" s="191">
        <v>263.18180000000001</v>
      </c>
      <c r="DS48" s="279">
        <v>263.43729999999999</v>
      </c>
      <c r="DT48" s="191">
        <v>263.0333</v>
      </c>
      <c r="DU48" s="191">
        <v>263.37130000000002</v>
      </c>
      <c r="DV48" s="279">
        <v>263.31439999999998</v>
      </c>
      <c r="DW48" s="191">
        <v>263.24130000000002</v>
      </c>
      <c r="DX48" s="191">
        <v>263.29759999999999</v>
      </c>
      <c r="DY48" s="191">
        <v>263.13819999999998</v>
      </c>
      <c r="DZ48" s="191">
        <v>263.22239999999999</v>
      </c>
      <c r="EA48" s="191">
        <v>263.37709999999998</v>
      </c>
      <c r="EB48" s="191">
        <v>263.10329999999999</v>
      </c>
      <c r="EC48" s="191">
        <v>263.3109</v>
      </c>
      <c r="ED48" s="191">
        <v>263.20519999999999</v>
      </c>
      <c r="EE48" s="191">
        <v>263.12759999999997</v>
      </c>
      <c r="EF48" s="191">
        <v>263.08690000000001</v>
      </c>
      <c r="EG48" s="191">
        <v>263.0865</v>
      </c>
      <c r="EH48" s="191">
        <v>263.14069999999998</v>
      </c>
      <c r="EI48" s="191">
        <v>263.07909999999998</v>
      </c>
      <c r="EJ48" s="191">
        <v>263.11630000000002</v>
      </c>
      <c r="EK48" s="279">
        <v>263.09989999999999</v>
      </c>
      <c r="EL48" s="191">
        <v>263.1968</v>
      </c>
      <c r="EM48" s="191">
        <v>263.13080000000002</v>
      </c>
      <c r="EN48" s="191">
        <v>263.11410000000001</v>
      </c>
      <c r="EO48" s="191">
        <v>263.06279999999998</v>
      </c>
      <c r="EP48" s="191">
        <v>262.87970000000001</v>
      </c>
      <c r="EQ48" s="191">
        <v>263.03190000000001</v>
      </c>
      <c r="ER48" s="191">
        <v>262.99380000000002</v>
      </c>
      <c r="ES48" s="191">
        <v>262.72680000000003</v>
      </c>
      <c r="ET48" s="191">
        <v>262.7022</v>
      </c>
      <c r="EU48" s="191">
        <v>262.68939999999998</v>
      </c>
      <c r="EV48" s="278">
        <v>262.72239999999999</v>
      </c>
      <c r="EW48" s="191"/>
      <c r="EX48" s="191"/>
      <c r="EY48" s="191"/>
    </row>
    <row r="49" spans="1:155" ht="45" customHeight="1" x14ac:dyDescent="0.45">
      <c r="A49" s="277">
        <v>240</v>
      </c>
      <c r="B49" s="191"/>
      <c r="C49" s="278">
        <v>264.07429999999999</v>
      </c>
      <c r="D49" s="191">
        <v>263.8569</v>
      </c>
      <c r="E49" s="191">
        <v>263.8458</v>
      </c>
      <c r="F49" s="279">
        <v>263.81700000000001</v>
      </c>
      <c r="G49" s="191">
        <v>263.8109</v>
      </c>
      <c r="H49" s="191">
        <v>263.82049999999998</v>
      </c>
      <c r="I49" s="191">
        <v>263.81020000000001</v>
      </c>
      <c r="J49" s="191">
        <v>263.81560000000002</v>
      </c>
      <c r="K49" s="191">
        <v>263.81119999999999</v>
      </c>
      <c r="L49" s="191">
        <v>263.83620000000002</v>
      </c>
      <c r="M49" s="191">
        <v>263.84730000000002</v>
      </c>
      <c r="N49" s="191">
        <v>263.93189999999998</v>
      </c>
      <c r="O49" s="191">
        <v>263.84899999999999</v>
      </c>
      <c r="P49" s="191">
        <v>263.83330000000001</v>
      </c>
      <c r="Q49" s="191">
        <v>263.80680000000001</v>
      </c>
      <c r="R49" s="191">
        <v>263.77620000000002</v>
      </c>
      <c r="S49" s="191">
        <v>263.75839999999999</v>
      </c>
      <c r="T49" s="191">
        <v>263.73869999999999</v>
      </c>
      <c r="U49" s="279">
        <v>263.73820000000001</v>
      </c>
      <c r="V49" s="279">
        <v>263.76319999999998</v>
      </c>
      <c r="W49" s="279">
        <v>263.74130000000002</v>
      </c>
      <c r="X49" s="279">
        <v>263.74149999999997</v>
      </c>
      <c r="Y49" s="279">
        <v>264.04239999999999</v>
      </c>
      <c r="Z49" s="278">
        <v>264.17529999999999</v>
      </c>
      <c r="AA49" s="191"/>
      <c r="AB49" s="191"/>
      <c r="AC49" s="191"/>
      <c r="AD49" s="191"/>
      <c r="AE49" s="191"/>
      <c r="AF49" s="191"/>
      <c r="AG49" s="191"/>
      <c r="AH49" s="191"/>
      <c r="AI49" s="191"/>
      <c r="AJ49" s="191"/>
      <c r="AK49" s="191"/>
      <c r="AL49" s="191"/>
      <c r="AM49" s="191"/>
      <c r="AN49" s="191"/>
      <c r="AO49" s="191"/>
      <c r="AP49" s="191"/>
      <c r="AQ49" s="191"/>
      <c r="AR49" s="191"/>
      <c r="AS49" s="191"/>
      <c r="AT49" s="191"/>
      <c r="AU49" s="191"/>
      <c r="AV49" s="191"/>
      <c r="AW49" s="191"/>
      <c r="AX49" s="191"/>
      <c r="AY49" s="191"/>
      <c r="AZ49" s="278">
        <v>263.75349999999997</v>
      </c>
      <c r="BA49" s="191">
        <v>264.57499999999999</v>
      </c>
      <c r="BB49" s="191">
        <v>263.95600000000002</v>
      </c>
      <c r="BC49" s="191">
        <v>263.81830000000002</v>
      </c>
      <c r="BD49" s="191">
        <v>263.91039999999998</v>
      </c>
      <c r="BE49" s="191">
        <v>264.14670000000001</v>
      </c>
      <c r="BF49" s="279">
        <v>263.84519999999998</v>
      </c>
      <c r="BG49" s="191">
        <v>263.87119999999999</v>
      </c>
      <c r="BH49" s="191">
        <v>263.83890000000002</v>
      </c>
      <c r="BI49" s="191">
        <v>263.81540000000001</v>
      </c>
      <c r="BJ49" s="191">
        <v>263.77159999999998</v>
      </c>
      <c r="BK49" s="191">
        <v>263.7765</v>
      </c>
      <c r="BL49" s="191">
        <v>263.77710000000002</v>
      </c>
      <c r="BM49" s="191">
        <v>263.7901</v>
      </c>
      <c r="BN49" s="191">
        <v>263.76</v>
      </c>
      <c r="BO49" s="191">
        <v>263.65960000000001</v>
      </c>
      <c r="BP49" s="191">
        <v>263.65159999999997</v>
      </c>
      <c r="BQ49" s="191">
        <v>263.65660000000003</v>
      </c>
      <c r="BR49" s="191">
        <v>263.46690000000001</v>
      </c>
      <c r="BS49" s="191">
        <v>263.38409999999999</v>
      </c>
      <c r="BT49" s="191">
        <v>263.48050000000001</v>
      </c>
      <c r="BU49" s="191">
        <v>263.5274</v>
      </c>
      <c r="BV49" s="191">
        <v>263.65359999999998</v>
      </c>
      <c r="BW49" s="191">
        <v>263.6465</v>
      </c>
      <c r="BX49" s="191">
        <v>263.47609999999997</v>
      </c>
      <c r="BY49" s="191">
        <v>263.61939999999998</v>
      </c>
      <c r="BZ49" s="279">
        <v>263.57960000000003</v>
      </c>
      <c r="CA49" s="191">
        <v>263.61610000000002</v>
      </c>
      <c r="CB49" s="191">
        <v>263.52370000000002</v>
      </c>
      <c r="CC49" s="279">
        <v>263.38209999999998</v>
      </c>
      <c r="CD49" s="191">
        <v>263.33749999999998</v>
      </c>
      <c r="CE49" s="191">
        <v>263.31240000000003</v>
      </c>
      <c r="CF49" s="191">
        <v>263.2276</v>
      </c>
      <c r="CG49" s="191">
        <v>263.2715</v>
      </c>
      <c r="CH49" s="191">
        <v>263.26600000000002</v>
      </c>
      <c r="CI49" s="191">
        <v>263.24250000000001</v>
      </c>
      <c r="CJ49" s="191">
        <v>263.2527</v>
      </c>
      <c r="CK49" s="191">
        <v>263.26650000000001</v>
      </c>
      <c r="CL49" s="191">
        <v>263.24799999999999</v>
      </c>
      <c r="CM49" s="191">
        <v>263.25560000000002</v>
      </c>
      <c r="CN49" s="191">
        <v>263.23329999999999</v>
      </c>
      <c r="CO49" s="191">
        <v>263.21100000000001</v>
      </c>
      <c r="CP49" s="191">
        <v>263.19659999999999</v>
      </c>
      <c r="CQ49" s="191">
        <v>263.3433</v>
      </c>
      <c r="CR49" s="191">
        <v>263.59300000000002</v>
      </c>
      <c r="CS49" s="191">
        <v>263.55360000000002</v>
      </c>
      <c r="CT49" s="191">
        <v>263.36649999999997</v>
      </c>
      <c r="CU49" s="191">
        <v>263.3562</v>
      </c>
      <c r="CV49" s="191">
        <v>263.3159</v>
      </c>
      <c r="CW49" s="279">
        <v>263.4511</v>
      </c>
      <c r="CX49" s="191">
        <v>263.27190000000002</v>
      </c>
      <c r="CY49" s="279">
        <v>263.3159</v>
      </c>
      <c r="CZ49" s="191">
        <v>263.36149999999998</v>
      </c>
      <c r="DA49" s="191">
        <v>263.4547</v>
      </c>
      <c r="DB49" s="191">
        <v>263.31150000000002</v>
      </c>
      <c r="DC49" s="191">
        <v>263.40030000000002</v>
      </c>
      <c r="DD49" s="191">
        <v>263.25450000000001</v>
      </c>
      <c r="DE49" s="191">
        <v>263.24160000000001</v>
      </c>
      <c r="DF49" s="191">
        <v>263.43380000000002</v>
      </c>
      <c r="DG49" s="191">
        <v>263.45299999999997</v>
      </c>
      <c r="DH49" s="191">
        <v>263.34379999999999</v>
      </c>
      <c r="DI49" s="191">
        <v>263.28489999999999</v>
      </c>
      <c r="DJ49" s="191">
        <v>263.27100000000002</v>
      </c>
      <c r="DK49" s="191">
        <v>263.3374</v>
      </c>
      <c r="DL49" s="191">
        <v>263.4323</v>
      </c>
      <c r="DM49" s="191">
        <v>263.4658</v>
      </c>
      <c r="DN49" s="191">
        <v>263.31470000000002</v>
      </c>
      <c r="DO49" s="191">
        <v>263.22000000000003</v>
      </c>
      <c r="DP49" s="191">
        <v>263.46359999999999</v>
      </c>
      <c r="DQ49" s="191">
        <v>263.20650000000001</v>
      </c>
      <c r="DR49" s="191">
        <v>263.33730000000003</v>
      </c>
      <c r="DS49" s="279">
        <v>263.23430000000002</v>
      </c>
      <c r="DT49" s="191">
        <v>263.35789999999997</v>
      </c>
      <c r="DU49" s="191">
        <v>263.20460000000003</v>
      </c>
      <c r="DV49" s="279">
        <v>263.08190000000002</v>
      </c>
      <c r="DW49" s="191">
        <v>263.12</v>
      </c>
      <c r="DX49" s="191">
        <v>263.12740000000002</v>
      </c>
      <c r="DY49" s="191">
        <v>263.21780000000001</v>
      </c>
      <c r="DZ49" s="191">
        <v>263.10300000000001</v>
      </c>
      <c r="EA49" s="191">
        <v>263.04559999999998</v>
      </c>
      <c r="EB49" s="191">
        <v>263.0727</v>
      </c>
      <c r="EC49" s="191">
        <v>263.15649999999999</v>
      </c>
      <c r="ED49" s="191">
        <v>263.17840000000001</v>
      </c>
      <c r="EE49" s="191">
        <v>263.05040000000002</v>
      </c>
      <c r="EF49" s="191">
        <v>263.06990000000002</v>
      </c>
      <c r="EG49" s="191">
        <v>263.0856</v>
      </c>
      <c r="EH49" s="191">
        <v>263.1302</v>
      </c>
      <c r="EI49" s="191">
        <v>263.04599999999999</v>
      </c>
      <c r="EJ49" s="191">
        <v>263.04849999999999</v>
      </c>
      <c r="EK49" s="279">
        <v>263.04039999999998</v>
      </c>
      <c r="EL49" s="191">
        <v>263.13909999999998</v>
      </c>
      <c r="EM49" s="191">
        <v>263.08949999999999</v>
      </c>
      <c r="EN49" s="191">
        <v>263.09460000000001</v>
      </c>
      <c r="EO49" s="191">
        <v>263.05790000000002</v>
      </c>
      <c r="EP49" s="191">
        <v>263.05959999999999</v>
      </c>
      <c r="EQ49" s="191">
        <v>262.85520000000002</v>
      </c>
      <c r="ER49" s="191">
        <v>262.73340000000002</v>
      </c>
      <c r="ES49" s="191">
        <v>262.7681</v>
      </c>
      <c r="ET49" s="191">
        <v>262.74860000000001</v>
      </c>
      <c r="EU49" s="191">
        <v>262.71080000000001</v>
      </c>
      <c r="EV49" s="278">
        <v>262.73680000000002</v>
      </c>
      <c r="EW49" s="191"/>
      <c r="EX49" s="191"/>
      <c r="EY49" s="191"/>
    </row>
    <row r="50" spans="1:155" ht="45" customHeight="1" x14ac:dyDescent="0.45">
      <c r="A50" s="277">
        <v>245</v>
      </c>
      <c r="B50" s="191"/>
      <c r="C50" s="278">
        <v>264.18860000000001</v>
      </c>
      <c r="D50" s="191">
        <v>263.83690000000001</v>
      </c>
      <c r="E50" s="191">
        <v>263.83640000000003</v>
      </c>
      <c r="F50" s="279">
        <v>263.81979999999999</v>
      </c>
      <c r="G50" s="191">
        <v>263.786</v>
      </c>
      <c r="H50" s="191">
        <v>263.77769999999998</v>
      </c>
      <c r="I50" s="191">
        <v>263.79059999999998</v>
      </c>
      <c r="J50" s="191">
        <v>263.77859999999998</v>
      </c>
      <c r="K50" s="191">
        <v>263.77879999999999</v>
      </c>
      <c r="L50" s="191">
        <v>263.79250000000002</v>
      </c>
      <c r="M50" s="191">
        <v>263.8279</v>
      </c>
      <c r="N50" s="191">
        <v>263.98450000000003</v>
      </c>
      <c r="O50" s="191">
        <v>263.80709999999999</v>
      </c>
      <c r="P50" s="191">
        <v>263.80500000000001</v>
      </c>
      <c r="Q50" s="191">
        <v>263.78390000000002</v>
      </c>
      <c r="R50" s="191">
        <v>263.78640000000001</v>
      </c>
      <c r="S50" s="191">
        <v>263.7681</v>
      </c>
      <c r="T50" s="191">
        <v>263.74689999999998</v>
      </c>
      <c r="U50" s="191">
        <v>263.74</v>
      </c>
      <c r="V50" s="191">
        <v>263.72030000000001</v>
      </c>
      <c r="W50" s="191">
        <v>263.71170000000001</v>
      </c>
      <c r="X50" s="191">
        <v>263.75200000000001</v>
      </c>
      <c r="Y50" s="279">
        <v>264.07119999999998</v>
      </c>
      <c r="Z50" s="191">
        <v>263.9144</v>
      </c>
      <c r="AA50" s="278">
        <v>263.94290000000001</v>
      </c>
      <c r="AB50" s="191"/>
      <c r="AC50" s="191"/>
      <c r="AD50" s="191"/>
      <c r="AE50" s="191"/>
      <c r="AF50" s="191"/>
      <c r="AG50" s="191"/>
      <c r="AH50" s="191"/>
      <c r="AI50" s="191"/>
      <c r="AJ50" s="191"/>
      <c r="AK50" s="191"/>
      <c r="AL50" s="191"/>
      <c r="AM50" s="191"/>
      <c r="AN50" s="191"/>
      <c r="AO50" s="191"/>
      <c r="AP50" s="191"/>
      <c r="AQ50" s="191"/>
      <c r="AR50" s="191"/>
      <c r="AS50" s="191"/>
      <c r="AT50" s="191"/>
      <c r="AU50" s="191"/>
      <c r="AV50" s="191"/>
      <c r="AW50" s="191"/>
      <c r="AX50" s="191"/>
      <c r="AY50" s="191"/>
      <c r="AZ50" s="191"/>
      <c r="BA50" s="278">
        <v>264.2432</v>
      </c>
      <c r="BB50" s="191">
        <v>263.83859999999999</v>
      </c>
      <c r="BC50" s="191">
        <v>263.93959999999998</v>
      </c>
      <c r="BD50" s="191">
        <v>263.9348</v>
      </c>
      <c r="BE50" s="191">
        <v>263.79579999999999</v>
      </c>
      <c r="BF50" s="279">
        <v>263.57119999999998</v>
      </c>
      <c r="BG50" s="191">
        <v>263.6832</v>
      </c>
      <c r="BH50" s="191">
        <v>263.82780000000002</v>
      </c>
      <c r="BI50" s="191">
        <v>263.61799999999999</v>
      </c>
      <c r="BJ50" s="191">
        <v>263.56470000000002</v>
      </c>
      <c r="BK50" s="191">
        <v>263.5265</v>
      </c>
      <c r="BL50" s="191">
        <v>263.5718</v>
      </c>
      <c r="BM50" s="191">
        <v>263.53269999999998</v>
      </c>
      <c r="BN50" s="191">
        <v>263.49279999999999</v>
      </c>
      <c r="BO50" s="191">
        <v>263.50369999999998</v>
      </c>
      <c r="BP50" s="191">
        <v>263.5521</v>
      </c>
      <c r="BQ50" s="191">
        <v>263.55790000000002</v>
      </c>
      <c r="BR50" s="191">
        <v>263.66059999999999</v>
      </c>
      <c r="BS50" s="191">
        <v>263.67399999999998</v>
      </c>
      <c r="BT50" s="191">
        <v>263.73689999999999</v>
      </c>
      <c r="BU50" s="191">
        <v>263.54750000000001</v>
      </c>
      <c r="BV50" s="191">
        <v>263.4196</v>
      </c>
      <c r="BW50" s="191">
        <v>263.39069999999998</v>
      </c>
      <c r="BX50" s="191">
        <v>263.34019999999998</v>
      </c>
      <c r="BY50" s="191">
        <v>263.33609999999999</v>
      </c>
      <c r="BZ50" s="279">
        <v>263.32150000000001</v>
      </c>
      <c r="CA50" s="191">
        <v>263.35149999999999</v>
      </c>
      <c r="CB50" s="191">
        <v>263.33390000000003</v>
      </c>
      <c r="CC50" s="279">
        <v>263.31939999999997</v>
      </c>
      <c r="CD50" s="191">
        <v>263.30689999999998</v>
      </c>
      <c r="CE50" s="191">
        <v>263.3075</v>
      </c>
      <c r="CF50" s="191">
        <v>263.22890000000001</v>
      </c>
      <c r="CG50" s="191">
        <v>263.24380000000002</v>
      </c>
      <c r="CH50" s="191">
        <v>263.25560000000002</v>
      </c>
      <c r="CI50" s="191">
        <v>263.2647</v>
      </c>
      <c r="CJ50" s="191">
        <v>263.26319999999998</v>
      </c>
      <c r="CK50" s="191">
        <v>263.27769999999998</v>
      </c>
      <c r="CL50" s="191">
        <v>263.25850000000003</v>
      </c>
      <c r="CM50" s="191">
        <v>263.22629999999998</v>
      </c>
      <c r="CN50" s="191">
        <v>263.19839999999999</v>
      </c>
      <c r="CO50" s="191">
        <v>263.16410000000002</v>
      </c>
      <c r="CP50" s="191">
        <v>263.16849999999999</v>
      </c>
      <c r="CQ50" s="191">
        <v>263.13639999999998</v>
      </c>
      <c r="CR50" s="191">
        <v>263.35930000000002</v>
      </c>
      <c r="CS50" s="191">
        <v>263.48070000000001</v>
      </c>
      <c r="CT50" s="191">
        <v>263.4735</v>
      </c>
      <c r="CU50" s="191">
        <v>263.48059999999998</v>
      </c>
      <c r="CV50" s="191">
        <v>263.48259999999999</v>
      </c>
      <c r="CW50" s="279">
        <v>263.3064</v>
      </c>
      <c r="CX50" s="191">
        <v>263.29109999999997</v>
      </c>
      <c r="CY50" s="279">
        <v>263.29790000000003</v>
      </c>
      <c r="CZ50" s="191">
        <v>263.30799999999999</v>
      </c>
      <c r="DA50" s="191">
        <v>263.20139999999998</v>
      </c>
      <c r="DB50" s="191">
        <v>263.28570000000002</v>
      </c>
      <c r="DC50" s="191">
        <v>263.21249999999998</v>
      </c>
      <c r="DD50" s="191">
        <v>263.37950000000001</v>
      </c>
      <c r="DE50" s="191">
        <v>263.2894</v>
      </c>
      <c r="DF50" s="191">
        <v>263.19580000000002</v>
      </c>
      <c r="DG50" s="191">
        <v>263.45229999999998</v>
      </c>
      <c r="DH50" s="191">
        <v>263.2704</v>
      </c>
      <c r="DI50" s="191">
        <v>263.19630000000001</v>
      </c>
      <c r="DJ50" s="191">
        <v>263.13619999999997</v>
      </c>
      <c r="DK50" s="191">
        <v>263.10879999999997</v>
      </c>
      <c r="DL50" s="191">
        <v>263.38040000000001</v>
      </c>
      <c r="DM50" s="191">
        <v>263.15929999999997</v>
      </c>
      <c r="DN50" s="191">
        <v>263.161</v>
      </c>
      <c r="DO50" s="191">
        <v>263.15949999999998</v>
      </c>
      <c r="DP50" s="191">
        <v>263.20499999999998</v>
      </c>
      <c r="DQ50" s="191">
        <v>263.15949999999998</v>
      </c>
      <c r="DR50" s="191">
        <v>262.66640000000001</v>
      </c>
      <c r="DS50" s="279">
        <v>262.94729999999998</v>
      </c>
      <c r="DT50" s="191">
        <v>263.22399999999999</v>
      </c>
      <c r="DU50" s="191">
        <v>263.25389999999999</v>
      </c>
      <c r="DV50" s="279">
        <v>263.26389999999998</v>
      </c>
      <c r="DW50" s="191">
        <v>263.24119999999999</v>
      </c>
      <c r="DX50" s="191">
        <v>263.20179999999999</v>
      </c>
      <c r="DY50" s="191">
        <v>263.17</v>
      </c>
      <c r="DZ50" s="191">
        <v>263.13889999999998</v>
      </c>
      <c r="EA50" s="191">
        <v>263.11099999999999</v>
      </c>
      <c r="EB50" s="191">
        <v>263.12990000000002</v>
      </c>
      <c r="EC50" s="191">
        <v>263.15960000000001</v>
      </c>
      <c r="ED50" s="191">
        <v>263.02510000000001</v>
      </c>
      <c r="EE50" s="191">
        <v>263.02190000000002</v>
      </c>
      <c r="EF50" s="191">
        <v>263.0684</v>
      </c>
      <c r="EG50" s="191">
        <v>262.96210000000002</v>
      </c>
      <c r="EH50" s="191">
        <v>262.99770000000001</v>
      </c>
      <c r="EI50" s="191">
        <v>263.07209999999998</v>
      </c>
      <c r="EJ50" s="191">
        <v>263.02859999999998</v>
      </c>
      <c r="EK50" s="279">
        <v>263.07690000000002</v>
      </c>
      <c r="EL50" s="191">
        <v>263.12970000000001</v>
      </c>
      <c r="EM50" s="191">
        <v>262.93220000000002</v>
      </c>
      <c r="EN50" s="191">
        <v>263.02440000000001</v>
      </c>
      <c r="EO50" s="191">
        <v>262.89550000000003</v>
      </c>
      <c r="EP50" s="191">
        <v>262.97710000000001</v>
      </c>
      <c r="EQ50" s="191">
        <v>262.89460000000003</v>
      </c>
      <c r="ER50" s="191">
        <v>262.7713</v>
      </c>
      <c r="ES50" s="191">
        <v>262.8322</v>
      </c>
      <c r="ET50" s="191">
        <v>262.75450000000001</v>
      </c>
      <c r="EU50" s="191">
        <v>262.74299999999999</v>
      </c>
      <c r="EV50" s="278">
        <v>262.76060000000001</v>
      </c>
      <c r="EW50" s="191"/>
      <c r="EX50" s="191"/>
      <c r="EY50" s="191"/>
    </row>
    <row r="51" spans="1:155" ht="45" customHeight="1" x14ac:dyDescent="0.45">
      <c r="A51" s="277">
        <v>250</v>
      </c>
      <c r="B51" s="191"/>
      <c r="C51" s="278">
        <v>264.1687</v>
      </c>
      <c r="D51" s="191">
        <v>263.81380000000001</v>
      </c>
      <c r="E51" s="191">
        <v>263.83510000000001</v>
      </c>
      <c r="F51" s="279">
        <v>263.78980000000001</v>
      </c>
      <c r="G51" s="191">
        <v>263.7679</v>
      </c>
      <c r="H51" s="191">
        <v>263.74950000000001</v>
      </c>
      <c r="I51" s="191">
        <v>263.75819999999999</v>
      </c>
      <c r="J51" s="191">
        <v>263.75240000000002</v>
      </c>
      <c r="K51" s="191">
        <v>263.75080000000003</v>
      </c>
      <c r="L51" s="191">
        <v>263.7559</v>
      </c>
      <c r="M51" s="191">
        <v>263.7747</v>
      </c>
      <c r="N51" s="191">
        <v>263.8768</v>
      </c>
      <c r="O51" s="191">
        <v>263.77690000000001</v>
      </c>
      <c r="P51" s="191">
        <v>263.762</v>
      </c>
      <c r="Q51" s="191">
        <v>263.78019999999998</v>
      </c>
      <c r="R51" s="191">
        <v>263.77379999999999</v>
      </c>
      <c r="S51" s="191">
        <v>263.77890000000002</v>
      </c>
      <c r="T51" s="191">
        <v>263.76330000000002</v>
      </c>
      <c r="U51" s="191">
        <v>263.75200000000001</v>
      </c>
      <c r="V51" s="191">
        <v>263.70929999999998</v>
      </c>
      <c r="W51" s="191">
        <v>263.73039999999997</v>
      </c>
      <c r="X51" s="191">
        <v>263.77629999999999</v>
      </c>
      <c r="Y51" s="279">
        <v>263.92669999999998</v>
      </c>
      <c r="Z51" s="191">
        <v>263.85840000000002</v>
      </c>
      <c r="AA51" s="278">
        <v>263.92840000000001</v>
      </c>
      <c r="AB51" s="191"/>
      <c r="AC51" s="191"/>
      <c r="AD51" s="191"/>
      <c r="AE51" s="191"/>
      <c r="AF51" s="191"/>
      <c r="AG51" s="191"/>
      <c r="AH51" s="191"/>
      <c r="AI51" s="191"/>
      <c r="AJ51" s="191"/>
      <c r="AK51" s="191"/>
      <c r="AL51" s="191"/>
      <c r="AM51" s="191"/>
      <c r="AN51" s="191"/>
      <c r="AO51" s="191"/>
      <c r="AP51" s="191"/>
      <c r="AQ51" s="191"/>
      <c r="AR51" s="191"/>
      <c r="AS51" s="191"/>
      <c r="AT51" s="191"/>
      <c r="AU51" s="191"/>
      <c r="AV51" s="191"/>
      <c r="AW51" s="191"/>
      <c r="AX51" s="191"/>
      <c r="AY51" s="191"/>
      <c r="AZ51" s="191"/>
      <c r="BA51" s="278">
        <v>263.97179999999997</v>
      </c>
      <c r="BB51" s="278">
        <v>263.46260000000001</v>
      </c>
      <c r="BC51" s="278">
        <v>264.2414</v>
      </c>
      <c r="BD51" s="191">
        <v>263.65800000000002</v>
      </c>
      <c r="BE51" s="191">
        <v>263.49259999999998</v>
      </c>
      <c r="BF51" s="279">
        <v>263.51319999999998</v>
      </c>
      <c r="BG51" s="191">
        <v>263.19889999999998</v>
      </c>
      <c r="BH51" s="191">
        <v>263.57870000000003</v>
      </c>
      <c r="BI51" s="191">
        <v>263.5675</v>
      </c>
      <c r="BJ51" s="191">
        <v>263.55700000000002</v>
      </c>
      <c r="BK51" s="191">
        <v>263.58960000000002</v>
      </c>
      <c r="BL51" s="191">
        <v>263.56459999999998</v>
      </c>
      <c r="BM51" s="191">
        <v>263.53489999999999</v>
      </c>
      <c r="BN51" s="191">
        <v>263.52539999999999</v>
      </c>
      <c r="BO51" s="191">
        <v>263.53550000000001</v>
      </c>
      <c r="BP51" s="191">
        <v>263.5154</v>
      </c>
      <c r="BQ51" s="191">
        <v>263.51900000000001</v>
      </c>
      <c r="BR51" s="191">
        <v>263.51639999999998</v>
      </c>
      <c r="BS51" s="191">
        <v>263.43619999999999</v>
      </c>
      <c r="BT51" s="191">
        <v>263.40730000000002</v>
      </c>
      <c r="BU51" s="191">
        <v>263.37090000000001</v>
      </c>
      <c r="BV51" s="191">
        <v>263.38560000000001</v>
      </c>
      <c r="BW51" s="191">
        <v>263.38420000000002</v>
      </c>
      <c r="BX51" s="191">
        <v>263.36369999999999</v>
      </c>
      <c r="BY51" s="191">
        <v>263.36590000000001</v>
      </c>
      <c r="BZ51" s="279">
        <v>263.33170000000001</v>
      </c>
      <c r="CA51" s="191">
        <v>263.33</v>
      </c>
      <c r="CB51" s="191">
        <v>263.31670000000003</v>
      </c>
      <c r="CC51" s="279">
        <v>263.33159999999998</v>
      </c>
      <c r="CD51" s="191">
        <v>263.31299999999999</v>
      </c>
      <c r="CE51" s="191">
        <v>263.31079999999997</v>
      </c>
      <c r="CF51" s="191">
        <v>263.26209999999998</v>
      </c>
      <c r="CG51" s="191">
        <v>263.24900000000002</v>
      </c>
      <c r="CH51" s="191">
        <v>263.22989999999999</v>
      </c>
      <c r="CI51" s="191">
        <v>263.25409999999999</v>
      </c>
      <c r="CJ51" s="191">
        <v>263.25170000000003</v>
      </c>
      <c r="CK51" s="191">
        <v>263.2636</v>
      </c>
      <c r="CL51" s="191">
        <v>263.27409999999998</v>
      </c>
      <c r="CM51" s="191">
        <v>263.2353</v>
      </c>
      <c r="CN51" s="191">
        <v>263.20999999999998</v>
      </c>
      <c r="CO51" s="191">
        <v>263.18200000000002</v>
      </c>
      <c r="CP51" s="191">
        <v>263.21069999999997</v>
      </c>
      <c r="CQ51" s="191">
        <v>263.20170000000002</v>
      </c>
      <c r="CR51" s="191">
        <v>263.41849999999999</v>
      </c>
      <c r="CS51" s="191">
        <v>263.35090000000002</v>
      </c>
      <c r="CT51" s="191">
        <v>263.29829999999998</v>
      </c>
      <c r="CU51" s="191">
        <v>263.21690000000001</v>
      </c>
      <c r="CV51" s="191">
        <v>263.20819999999998</v>
      </c>
      <c r="CW51" s="279">
        <v>262.92259999999999</v>
      </c>
      <c r="CX51" s="191">
        <v>263.07470000000001</v>
      </c>
      <c r="CY51" s="279">
        <v>263.23899999999998</v>
      </c>
      <c r="CZ51" s="191">
        <v>263.1619</v>
      </c>
      <c r="DA51" s="191">
        <v>263.47410000000002</v>
      </c>
      <c r="DB51" s="191">
        <v>263.21199999999999</v>
      </c>
      <c r="DC51" s="191">
        <v>263.16989999999998</v>
      </c>
      <c r="DD51" s="191">
        <v>263.25850000000003</v>
      </c>
      <c r="DE51" s="191">
        <v>263.12169999999998</v>
      </c>
      <c r="DF51" s="191">
        <v>263.19959999999998</v>
      </c>
      <c r="DG51" s="191">
        <v>263.21809999999999</v>
      </c>
      <c r="DH51" s="191">
        <v>263.21949999999998</v>
      </c>
      <c r="DI51" s="191">
        <v>263.04090000000002</v>
      </c>
      <c r="DJ51" s="191">
        <v>263.06459999999998</v>
      </c>
      <c r="DK51" s="191">
        <v>263.06200000000001</v>
      </c>
      <c r="DL51" s="191">
        <v>263.20119999999997</v>
      </c>
      <c r="DM51" s="191">
        <v>263.15890000000002</v>
      </c>
      <c r="DN51" s="191">
        <v>263.13010000000003</v>
      </c>
      <c r="DO51" s="191">
        <v>263.2176</v>
      </c>
      <c r="DP51" s="191">
        <v>263.25729999999999</v>
      </c>
      <c r="DQ51" s="191">
        <v>263.18650000000002</v>
      </c>
      <c r="DR51" s="191">
        <v>262.7201</v>
      </c>
      <c r="DS51" s="279">
        <v>262.87400000000002</v>
      </c>
      <c r="DT51" s="191">
        <v>262.93130000000002</v>
      </c>
      <c r="DU51" s="191">
        <v>263.05990000000003</v>
      </c>
      <c r="DV51" s="279">
        <v>263.16309999999999</v>
      </c>
      <c r="DW51" s="191">
        <v>263.2235</v>
      </c>
      <c r="DX51" s="191">
        <v>263.0378</v>
      </c>
      <c r="DY51" s="191">
        <v>262.9753</v>
      </c>
      <c r="DZ51" s="191">
        <v>262.99669999999998</v>
      </c>
      <c r="EA51" s="191">
        <v>263.0478</v>
      </c>
      <c r="EB51" s="191">
        <v>262.94220000000001</v>
      </c>
      <c r="EC51" s="191">
        <v>262.95729999999998</v>
      </c>
      <c r="ED51" s="191">
        <v>263.02499999999998</v>
      </c>
      <c r="EE51" s="191">
        <v>263.03539999999998</v>
      </c>
      <c r="EF51" s="191">
        <v>262.9939</v>
      </c>
      <c r="EG51" s="191">
        <v>263.00830000000002</v>
      </c>
      <c r="EH51" s="191">
        <v>262.99340000000001</v>
      </c>
      <c r="EI51" s="191">
        <v>263.04059999999998</v>
      </c>
      <c r="EJ51" s="191">
        <v>262.88510000000002</v>
      </c>
      <c r="EK51" s="279">
        <v>262.99619999999999</v>
      </c>
      <c r="EL51" s="191">
        <v>262.87830000000002</v>
      </c>
      <c r="EM51" s="191">
        <v>262.90660000000003</v>
      </c>
      <c r="EN51" s="191">
        <v>262.83510000000001</v>
      </c>
      <c r="EO51" s="191">
        <v>262.85019999999997</v>
      </c>
      <c r="EP51" s="191">
        <v>262.72109999999998</v>
      </c>
      <c r="EQ51" s="191">
        <v>262.73110000000003</v>
      </c>
      <c r="ER51" s="191">
        <v>262.75150000000002</v>
      </c>
      <c r="ES51" s="191">
        <v>262.77769999999998</v>
      </c>
      <c r="ET51" s="191">
        <v>262.77109999999999</v>
      </c>
      <c r="EU51" s="191">
        <v>262.78550000000001</v>
      </c>
      <c r="EV51" s="278">
        <v>262.78949999999998</v>
      </c>
      <c r="EW51" s="191"/>
      <c r="EX51" s="191"/>
      <c r="EY51" s="191"/>
    </row>
    <row r="52" spans="1:155" ht="45" customHeight="1" x14ac:dyDescent="0.45">
      <c r="A52" s="277">
        <v>255</v>
      </c>
      <c r="B52" s="191"/>
      <c r="C52" s="278">
        <v>264.20350000000002</v>
      </c>
      <c r="D52" s="191">
        <v>263.83479999999997</v>
      </c>
      <c r="E52" s="191">
        <v>263.81180000000001</v>
      </c>
      <c r="F52" s="279">
        <v>263.77499999999998</v>
      </c>
      <c r="G52" s="191">
        <v>263.76429999999999</v>
      </c>
      <c r="H52" s="191">
        <v>263.75529999999998</v>
      </c>
      <c r="I52" s="191">
        <v>263.745</v>
      </c>
      <c r="J52" s="191">
        <v>263.73809999999997</v>
      </c>
      <c r="K52" s="191">
        <v>263.74509999999998</v>
      </c>
      <c r="L52" s="191">
        <v>263.77569999999997</v>
      </c>
      <c r="M52" s="191">
        <v>263.80149999999998</v>
      </c>
      <c r="N52" s="191">
        <v>263.79610000000002</v>
      </c>
      <c r="O52" s="191">
        <v>263.69330000000002</v>
      </c>
      <c r="P52" s="191">
        <v>263.75400000000002</v>
      </c>
      <c r="Q52" s="191">
        <v>263.78840000000002</v>
      </c>
      <c r="R52" s="191">
        <v>263.84469999999999</v>
      </c>
      <c r="S52" s="191">
        <v>263.82389999999998</v>
      </c>
      <c r="T52" s="191">
        <v>263.79169999999999</v>
      </c>
      <c r="U52" s="191">
        <v>263.77069999999998</v>
      </c>
      <c r="V52" s="191">
        <v>263.77659999999997</v>
      </c>
      <c r="W52" s="191">
        <v>263.75</v>
      </c>
      <c r="X52" s="191">
        <v>263.75889999999998</v>
      </c>
      <c r="Y52" s="279">
        <v>263.94830000000002</v>
      </c>
      <c r="Z52" s="191">
        <v>263.84800000000001</v>
      </c>
      <c r="AA52" s="191">
        <v>263.88690000000003</v>
      </c>
      <c r="AB52" s="278">
        <v>264.10789999999997</v>
      </c>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278"/>
      <c r="BB52" s="191"/>
      <c r="BC52" s="278">
        <v>263.80180000000001</v>
      </c>
      <c r="BD52" s="191">
        <v>263.84010000000001</v>
      </c>
      <c r="BE52" s="191">
        <v>263.72890000000001</v>
      </c>
      <c r="BF52" s="279">
        <v>263.62790000000001</v>
      </c>
      <c r="BG52" s="191">
        <v>263.43119999999999</v>
      </c>
      <c r="BH52" s="191">
        <v>263.55439999999999</v>
      </c>
      <c r="BI52" s="191">
        <v>263.56610000000001</v>
      </c>
      <c r="BJ52" s="191">
        <v>263.57819999999998</v>
      </c>
      <c r="BK52" s="191">
        <v>263.58240000000001</v>
      </c>
      <c r="BL52" s="191">
        <v>263.54419999999999</v>
      </c>
      <c r="BM52" s="191">
        <v>263.55130000000003</v>
      </c>
      <c r="BN52" s="191">
        <v>263.55860000000001</v>
      </c>
      <c r="BO52" s="191">
        <v>263.52890000000002</v>
      </c>
      <c r="BP52" s="191">
        <v>263.52330000000001</v>
      </c>
      <c r="BQ52" s="191">
        <v>263.50200000000001</v>
      </c>
      <c r="BR52" s="191">
        <v>263.49430000000001</v>
      </c>
      <c r="BS52" s="191">
        <v>263.36959999999999</v>
      </c>
      <c r="BT52" s="191">
        <v>263.36590000000001</v>
      </c>
      <c r="BU52" s="191">
        <v>263.35899999999998</v>
      </c>
      <c r="BV52" s="191">
        <v>263.36919999999998</v>
      </c>
      <c r="BW52" s="191">
        <v>263.38240000000002</v>
      </c>
      <c r="BX52" s="191">
        <v>263.37900000000002</v>
      </c>
      <c r="BY52" s="191">
        <v>263.37470000000002</v>
      </c>
      <c r="BZ52" s="279">
        <v>263.34100000000001</v>
      </c>
      <c r="CA52" s="191">
        <v>263.34010000000001</v>
      </c>
      <c r="CB52" s="191">
        <v>263.34750000000003</v>
      </c>
      <c r="CC52" s="279">
        <v>263.32459999999998</v>
      </c>
      <c r="CD52" s="191">
        <v>263.33539999999999</v>
      </c>
      <c r="CE52" s="191">
        <v>263.34120000000001</v>
      </c>
      <c r="CF52" s="191">
        <v>263.2731</v>
      </c>
      <c r="CG52" s="191">
        <v>263.25330000000002</v>
      </c>
      <c r="CH52" s="191">
        <v>263.24149999999997</v>
      </c>
      <c r="CI52" s="191">
        <v>263.27620000000002</v>
      </c>
      <c r="CJ52" s="191">
        <v>263.23910000000001</v>
      </c>
      <c r="CK52" s="191">
        <v>263.23309999999998</v>
      </c>
      <c r="CL52" s="191">
        <v>263.2527</v>
      </c>
      <c r="CM52" s="191">
        <v>263.23509999999999</v>
      </c>
      <c r="CN52" s="191">
        <v>263.22379999999998</v>
      </c>
      <c r="CO52" s="191">
        <v>263.21420000000001</v>
      </c>
      <c r="CP52" s="191">
        <v>263.19839999999999</v>
      </c>
      <c r="CQ52" s="191">
        <v>263.1567</v>
      </c>
      <c r="CR52" s="191">
        <v>263.09399999999999</v>
      </c>
      <c r="CS52" s="191">
        <v>263.38040000000001</v>
      </c>
      <c r="CT52" s="191">
        <v>263.30200000000002</v>
      </c>
      <c r="CU52" s="191">
        <v>263.29880000000003</v>
      </c>
      <c r="CV52" s="191">
        <v>263.30669999999998</v>
      </c>
      <c r="CW52" s="279">
        <v>263.2167</v>
      </c>
      <c r="CX52" s="191">
        <v>263.2826</v>
      </c>
      <c r="CY52" s="279">
        <v>263.31099999999998</v>
      </c>
      <c r="CZ52" s="191">
        <v>263.40550000000002</v>
      </c>
      <c r="DA52" s="191">
        <v>263.32560000000001</v>
      </c>
      <c r="DB52" s="191">
        <v>263.25389999999999</v>
      </c>
      <c r="DC52" s="191">
        <v>263.26830000000001</v>
      </c>
      <c r="DD52" s="191">
        <v>263.27109999999999</v>
      </c>
      <c r="DE52" s="191">
        <v>263.1019</v>
      </c>
      <c r="DF52" s="191">
        <v>263.15019999999998</v>
      </c>
      <c r="DG52" s="191">
        <v>263.24430000000001</v>
      </c>
      <c r="DH52" s="191">
        <v>263.14100000000002</v>
      </c>
      <c r="DI52" s="191">
        <v>263.10550000000001</v>
      </c>
      <c r="DJ52" s="191">
        <v>263.13260000000002</v>
      </c>
      <c r="DK52" s="191">
        <v>263.11419999999998</v>
      </c>
      <c r="DL52" s="191">
        <v>263.21480000000003</v>
      </c>
      <c r="DM52" s="191">
        <v>263.21710000000002</v>
      </c>
      <c r="DN52" s="191">
        <v>263.30509999999998</v>
      </c>
      <c r="DO52" s="191">
        <v>262.9778</v>
      </c>
      <c r="DP52" s="191">
        <v>262.94490000000002</v>
      </c>
      <c r="DQ52" s="191">
        <v>263.1696</v>
      </c>
      <c r="DR52" s="191">
        <v>263.12990000000002</v>
      </c>
      <c r="DS52" s="279">
        <v>263.01920000000001</v>
      </c>
      <c r="DT52" s="191">
        <v>262.98849999999999</v>
      </c>
      <c r="DU52" s="191">
        <v>262.95999999999998</v>
      </c>
      <c r="DV52" s="279">
        <v>262.99540000000002</v>
      </c>
      <c r="DW52" s="191">
        <v>262.92520000000002</v>
      </c>
      <c r="DX52" s="191">
        <v>262.95949999999999</v>
      </c>
      <c r="DY52" s="191">
        <v>262.88709999999998</v>
      </c>
      <c r="DZ52" s="191">
        <v>262.82740000000001</v>
      </c>
      <c r="EA52" s="191">
        <v>262.86020000000002</v>
      </c>
      <c r="EB52" s="191">
        <v>263.05549999999999</v>
      </c>
      <c r="EC52" s="191">
        <v>262.81790000000001</v>
      </c>
      <c r="ED52" s="191">
        <v>262.80070000000001</v>
      </c>
      <c r="EE52" s="191">
        <v>262.94839999999999</v>
      </c>
      <c r="EF52" s="191">
        <v>262.77800000000002</v>
      </c>
      <c r="EG52" s="191">
        <v>262.68970000000002</v>
      </c>
      <c r="EH52" s="191">
        <v>262.71780000000001</v>
      </c>
      <c r="EI52" s="191">
        <v>262.72829999999999</v>
      </c>
      <c r="EJ52" s="191">
        <v>262.68060000000003</v>
      </c>
      <c r="EK52" s="279">
        <v>262.71620000000001</v>
      </c>
      <c r="EL52" s="191">
        <v>262.73570000000001</v>
      </c>
      <c r="EM52" s="191">
        <v>262.72059999999999</v>
      </c>
      <c r="EN52" s="191">
        <v>262.73399999999998</v>
      </c>
      <c r="EO52" s="278">
        <v>262.93790000000001</v>
      </c>
      <c r="EP52" s="278">
        <v>262.77330000000001</v>
      </c>
      <c r="EQ52" s="278">
        <v>262.76920000000001</v>
      </c>
      <c r="ER52" s="278">
        <v>262.8689</v>
      </c>
      <c r="ES52" s="278">
        <v>262.8032</v>
      </c>
      <c r="ET52" s="278">
        <v>262.83260000000001</v>
      </c>
      <c r="EU52" s="278">
        <v>262.94110000000001</v>
      </c>
      <c r="EV52" s="191"/>
      <c r="EW52" s="191"/>
      <c r="EX52" s="191"/>
      <c r="EY52" s="191"/>
    </row>
    <row r="53" spans="1:155" ht="45" customHeight="1" x14ac:dyDescent="0.45">
      <c r="A53" s="277">
        <v>260</v>
      </c>
      <c r="B53" s="191"/>
      <c r="C53" s="278">
        <v>264.31169999999997</v>
      </c>
      <c r="D53" s="191">
        <v>263.82900000000001</v>
      </c>
      <c r="E53" s="191">
        <v>263.7912</v>
      </c>
      <c r="F53" s="279">
        <v>263.7654</v>
      </c>
      <c r="G53" s="191">
        <v>263.7491</v>
      </c>
      <c r="H53" s="191">
        <v>263.7364</v>
      </c>
      <c r="I53" s="191">
        <v>263.77749999999997</v>
      </c>
      <c r="J53" s="191">
        <v>263.84739999999999</v>
      </c>
      <c r="K53" s="191">
        <v>263.99329999999998</v>
      </c>
      <c r="L53" s="191">
        <v>264.03339999999997</v>
      </c>
      <c r="M53" s="191">
        <v>263.89569999999998</v>
      </c>
      <c r="N53" s="191">
        <v>263.83749999999998</v>
      </c>
      <c r="O53" s="191">
        <v>263.72089999999997</v>
      </c>
      <c r="P53" s="191">
        <v>263.7414</v>
      </c>
      <c r="Q53" s="191">
        <v>263.7294</v>
      </c>
      <c r="R53" s="191">
        <v>263.75729999999999</v>
      </c>
      <c r="S53" s="191">
        <v>263.74599999999998</v>
      </c>
      <c r="T53" s="191">
        <v>263.77949999999998</v>
      </c>
      <c r="U53" s="191">
        <v>263.76990000000001</v>
      </c>
      <c r="V53" s="191">
        <v>263.78030000000001</v>
      </c>
      <c r="W53" s="191">
        <v>263.79349999999999</v>
      </c>
      <c r="X53" s="191">
        <v>263.79410000000001</v>
      </c>
      <c r="Y53" s="279">
        <v>263.90809999999999</v>
      </c>
      <c r="Z53" s="191">
        <v>263.89870000000002</v>
      </c>
      <c r="AA53" s="191">
        <v>263.90949999999998</v>
      </c>
      <c r="AB53" s="278">
        <v>263.9194</v>
      </c>
      <c r="AC53" s="191"/>
      <c r="AD53" s="191"/>
      <c r="AE53" s="191"/>
      <c r="AF53" s="191"/>
      <c r="AG53" s="191"/>
      <c r="AH53" s="191"/>
      <c r="AI53" s="191"/>
      <c r="AJ53" s="191"/>
      <c r="AK53" s="191"/>
      <c r="AL53" s="191"/>
      <c r="AM53" s="191"/>
      <c r="AN53" s="191"/>
      <c r="AO53" s="191"/>
      <c r="AP53" s="191"/>
      <c r="AQ53" s="191"/>
      <c r="AR53" s="191"/>
      <c r="AS53" s="191"/>
      <c r="AT53" s="191"/>
      <c r="AU53" s="191"/>
      <c r="AV53" s="191"/>
      <c r="AW53" s="191"/>
      <c r="AX53" s="191"/>
      <c r="AY53" s="191"/>
      <c r="AZ53" s="191"/>
      <c r="BA53" s="191"/>
      <c r="BB53" s="191"/>
      <c r="BC53" s="191"/>
      <c r="BD53" s="278">
        <v>263.77600000000001</v>
      </c>
      <c r="BE53" s="191">
        <v>263.63670000000002</v>
      </c>
      <c r="BF53" s="279">
        <v>263.63600000000002</v>
      </c>
      <c r="BG53" s="191">
        <v>263.68759999999997</v>
      </c>
      <c r="BH53" s="191">
        <v>263.55500000000001</v>
      </c>
      <c r="BI53" s="191">
        <v>263.55090000000001</v>
      </c>
      <c r="BJ53" s="191">
        <v>263.56099999999998</v>
      </c>
      <c r="BK53" s="191">
        <v>263.53919999999999</v>
      </c>
      <c r="BL53" s="191">
        <v>263.517</v>
      </c>
      <c r="BM53" s="191">
        <v>263.5188</v>
      </c>
      <c r="BN53" s="191">
        <v>263.54039999999998</v>
      </c>
      <c r="BO53" s="191">
        <v>263.55450000000002</v>
      </c>
      <c r="BP53" s="191">
        <v>263.54610000000002</v>
      </c>
      <c r="BQ53" s="191">
        <v>263.50850000000003</v>
      </c>
      <c r="BR53" s="191">
        <v>263.34269999999998</v>
      </c>
      <c r="BS53" s="191">
        <v>263.44099999999997</v>
      </c>
      <c r="BT53" s="191">
        <v>263.3732</v>
      </c>
      <c r="BU53" s="191">
        <v>263.36779999999999</v>
      </c>
      <c r="BV53" s="191">
        <v>263.36079999999998</v>
      </c>
      <c r="BW53" s="191">
        <v>263.3655</v>
      </c>
      <c r="BX53" s="191">
        <v>263.37549999999999</v>
      </c>
      <c r="BY53" s="191">
        <v>263.3614</v>
      </c>
      <c r="BZ53" s="279">
        <v>263.37610000000001</v>
      </c>
      <c r="CA53" s="191">
        <v>263.36</v>
      </c>
      <c r="CB53" s="191">
        <v>263.33819999999997</v>
      </c>
      <c r="CC53" s="279">
        <v>263.31540000000001</v>
      </c>
      <c r="CD53" s="191">
        <v>263.30889999999999</v>
      </c>
      <c r="CE53" s="191">
        <v>263.31830000000002</v>
      </c>
      <c r="CF53" s="191">
        <v>263.26949999999999</v>
      </c>
      <c r="CG53" s="191">
        <v>263.29919999999998</v>
      </c>
      <c r="CH53" s="191">
        <v>263.26499999999999</v>
      </c>
      <c r="CI53" s="191">
        <v>263.26729999999998</v>
      </c>
      <c r="CJ53" s="191">
        <v>263.2593</v>
      </c>
      <c r="CK53" s="191">
        <v>263.2559</v>
      </c>
      <c r="CL53" s="191">
        <v>263.25119999999998</v>
      </c>
      <c r="CM53" s="191">
        <v>263.22430000000003</v>
      </c>
      <c r="CN53" s="191">
        <v>263.22829999999999</v>
      </c>
      <c r="CO53" s="191">
        <v>263.21460000000002</v>
      </c>
      <c r="CP53" s="191">
        <v>263.1995</v>
      </c>
      <c r="CQ53" s="191">
        <v>263.2174</v>
      </c>
      <c r="CR53" s="191">
        <v>263.30149999999998</v>
      </c>
      <c r="CS53" s="191">
        <v>263.38740000000001</v>
      </c>
      <c r="CT53" s="191">
        <v>263.32240000000002</v>
      </c>
      <c r="CU53" s="191">
        <v>263.19009999999997</v>
      </c>
      <c r="CV53" s="191">
        <v>263.053</v>
      </c>
      <c r="CW53" s="279">
        <v>263.14150000000001</v>
      </c>
      <c r="CX53" s="191">
        <v>263.12740000000002</v>
      </c>
      <c r="CY53" s="279">
        <v>263.16550000000001</v>
      </c>
      <c r="CZ53" s="191">
        <v>263.42169999999999</v>
      </c>
      <c r="DA53" s="191">
        <v>263.3492</v>
      </c>
      <c r="DB53" s="191">
        <v>263.22050000000002</v>
      </c>
      <c r="DC53" s="191">
        <v>263.31729999999999</v>
      </c>
      <c r="DD53" s="191">
        <v>263.28899999999999</v>
      </c>
      <c r="DE53" s="191">
        <v>263.18259999999998</v>
      </c>
      <c r="DF53" s="191">
        <v>263.20159999999998</v>
      </c>
      <c r="DG53" s="191">
        <v>263.19909999999999</v>
      </c>
      <c r="DH53" s="191">
        <v>263.1123</v>
      </c>
      <c r="DI53" s="191">
        <v>263.06830000000002</v>
      </c>
      <c r="DJ53" s="191">
        <v>263.12</v>
      </c>
      <c r="DK53" s="191">
        <v>263.16269999999997</v>
      </c>
      <c r="DL53" s="191">
        <v>263.12490000000003</v>
      </c>
      <c r="DM53" s="191">
        <v>262.8954</v>
      </c>
      <c r="DN53" s="191">
        <v>262.95589999999999</v>
      </c>
      <c r="DO53" s="191">
        <v>263.01519999999999</v>
      </c>
      <c r="DP53" s="191">
        <v>263.13260000000002</v>
      </c>
      <c r="DQ53" s="191">
        <v>263.16030000000001</v>
      </c>
      <c r="DR53" s="191">
        <v>263.1619</v>
      </c>
      <c r="DS53" s="279">
        <v>263.05779999999999</v>
      </c>
      <c r="DT53" s="191">
        <v>263.03230000000002</v>
      </c>
      <c r="DU53" s="191">
        <v>263.00020000000001</v>
      </c>
      <c r="DV53" s="279">
        <v>262.89819999999997</v>
      </c>
      <c r="DW53" s="191">
        <v>262.86450000000002</v>
      </c>
      <c r="DX53" s="191">
        <v>262.92099999999999</v>
      </c>
      <c r="DY53" s="191">
        <v>262.8365</v>
      </c>
      <c r="DZ53" s="191">
        <v>262.83240000000001</v>
      </c>
      <c r="EA53" s="191">
        <v>262.89179999999999</v>
      </c>
      <c r="EB53" s="191">
        <v>262.85129999999998</v>
      </c>
      <c r="EC53" s="191">
        <v>262.86059999999998</v>
      </c>
      <c r="ED53" s="191">
        <v>262.75319999999999</v>
      </c>
      <c r="EE53" s="191">
        <v>262.76339999999999</v>
      </c>
      <c r="EF53" s="191">
        <v>262.74900000000002</v>
      </c>
      <c r="EG53" s="191">
        <v>262.72989999999999</v>
      </c>
      <c r="EH53" s="191">
        <v>262.77620000000002</v>
      </c>
      <c r="EI53" s="191">
        <v>262.78449999999998</v>
      </c>
      <c r="EJ53" s="191">
        <v>262.7577</v>
      </c>
      <c r="EK53" s="279">
        <v>262.80020000000002</v>
      </c>
      <c r="EL53" s="191">
        <v>262.7586</v>
      </c>
      <c r="EM53" s="191">
        <v>262.78640000000001</v>
      </c>
      <c r="EN53" s="278">
        <v>263.07740000000001</v>
      </c>
      <c r="EO53" s="191"/>
      <c r="EP53" s="191"/>
      <c r="EQ53" s="191"/>
      <c r="ER53" s="191"/>
      <c r="ES53" s="191"/>
      <c r="ET53" s="191"/>
      <c r="EU53" s="191"/>
      <c r="EV53" s="191"/>
      <c r="EW53" s="191"/>
      <c r="EX53" s="191"/>
      <c r="EY53" s="191"/>
    </row>
    <row r="54" spans="1:155" ht="45" customHeight="1" x14ac:dyDescent="0.45">
      <c r="A54" s="277">
        <v>265</v>
      </c>
      <c r="B54" s="191"/>
      <c r="C54" s="191"/>
      <c r="D54" s="278">
        <v>264.1558</v>
      </c>
      <c r="E54" s="191">
        <v>264.04700000000003</v>
      </c>
      <c r="F54" s="279">
        <v>263.91090000000003</v>
      </c>
      <c r="G54" s="191">
        <v>263.80689999999998</v>
      </c>
      <c r="H54" s="191">
        <v>263.74790000000002</v>
      </c>
      <c r="I54" s="191">
        <v>263.77760000000001</v>
      </c>
      <c r="J54" s="191">
        <v>263.7731</v>
      </c>
      <c r="K54" s="191">
        <v>263.7638</v>
      </c>
      <c r="L54" s="191">
        <v>263.7978</v>
      </c>
      <c r="M54" s="191">
        <v>263.7876</v>
      </c>
      <c r="N54" s="191">
        <v>263.76429999999999</v>
      </c>
      <c r="O54" s="191">
        <v>263.71730000000002</v>
      </c>
      <c r="P54" s="191">
        <v>263.72390000000001</v>
      </c>
      <c r="Q54" s="191">
        <v>263.72980000000001</v>
      </c>
      <c r="R54" s="191">
        <v>263.72480000000002</v>
      </c>
      <c r="S54" s="191">
        <v>263.72789999999998</v>
      </c>
      <c r="T54" s="191">
        <v>263.73570000000001</v>
      </c>
      <c r="U54" s="191">
        <v>263.73430000000002</v>
      </c>
      <c r="V54" s="191">
        <v>263.7441</v>
      </c>
      <c r="W54" s="191">
        <v>263.76479999999998</v>
      </c>
      <c r="X54" s="191">
        <v>263.7867</v>
      </c>
      <c r="Y54" s="279">
        <v>263.83479999999997</v>
      </c>
      <c r="Z54" s="191">
        <v>263.89920000000001</v>
      </c>
      <c r="AA54" s="191">
        <v>263.87419999999997</v>
      </c>
      <c r="AB54" s="278">
        <v>263.88959999999997</v>
      </c>
      <c r="AC54" s="191"/>
      <c r="AD54" s="191"/>
      <c r="AE54" s="191"/>
      <c r="AF54" s="191"/>
      <c r="AG54" s="191"/>
      <c r="AH54" s="191"/>
      <c r="AI54" s="191"/>
      <c r="AJ54" s="191"/>
      <c r="AK54" s="191"/>
      <c r="AL54" s="191"/>
      <c r="AM54" s="191"/>
      <c r="AN54" s="191"/>
      <c r="AO54" s="191"/>
      <c r="AP54" s="191"/>
      <c r="AQ54" s="191"/>
      <c r="AR54" s="191"/>
      <c r="AS54" s="191"/>
      <c r="AT54" s="191"/>
      <c r="AU54" s="191"/>
      <c r="AV54" s="191"/>
      <c r="AW54" s="191"/>
      <c r="AX54" s="191"/>
      <c r="AY54" s="191"/>
      <c r="AZ54" s="191"/>
      <c r="BA54" s="191"/>
      <c r="BB54" s="191"/>
      <c r="BC54" s="191"/>
      <c r="BD54" s="278">
        <v>263.5172</v>
      </c>
      <c r="BE54" s="191">
        <v>263.8107</v>
      </c>
      <c r="BF54" s="279">
        <v>263.69209999999998</v>
      </c>
      <c r="BG54" s="191">
        <v>263.70909999999998</v>
      </c>
      <c r="BH54" s="191">
        <v>263.56150000000002</v>
      </c>
      <c r="BI54" s="191">
        <v>263.54360000000003</v>
      </c>
      <c r="BJ54" s="191">
        <v>263.55090000000001</v>
      </c>
      <c r="BK54" s="191">
        <v>263.52499999999998</v>
      </c>
      <c r="BL54" s="191">
        <v>263.50670000000002</v>
      </c>
      <c r="BM54" s="191">
        <v>263.5052</v>
      </c>
      <c r="BN54" s="191">
        <v>263.50400000000002</v>
      </c>
      <c r="BO54" s="191">
        <v>263.5111</v>
      </c>
      <c r="BP54" s="191">
        <v>263.53140000000002</v>
      </c>
      <c r="BQ54" s="191">
        <v>263.54059999999998</v>
      </c>
      <c r="BR54" s="191">
        <v>263.29169999999999</v>
      </c>
      <c r="BS54" s="191">
        <v>263.50060000000002</v>
      </c>
      <c r="BT54" s="191">
        <v>263.49939999999998</v>
      </c>
      <c r="BU54" s="191">
        <v>263.35939999999999</v>
      </c>
      <c r="BV54" s="191">
        <v>263.35050000000001</v>
      </c>
      <c r="BW54" s="191">
        <v>263.34429999999998</v>
      </c>
      <c r="BX54" s="191">
        <v>263.36180000000002</v>
      </c>
      <c r="BY54" s="191">
        <v>263.37360000000001</v>
      </c>
      <c r="BZ54" s="279">
        <v>263.35109999999997</v>
      </c>
      <c r="CA54" s="191">
        <v>263.35149999999999</v>
      </c>
      <c r="CB54" s="191">
        <v>263.34100000000001</v>
      </c>
      <c r="CC54" s="279">
        <v>263.35860000000002</v>
      </c>
      <c r="CD54" s="191">
        <v>263.33960000000002</v>
      </c>
      <c r="CE54" s="191">
        <v>263.32409999999999</v>
      </c>
      <c r="CF54" s="191">
        <v>263.30709999999999</v>
      </c>
      <c r="CG54" s="191">
        <v>263.27190000000002</v>
      </c>
      <c r="CH54" s="191">
        <v>263.27</v>
      </c>
      <c r="CI54" s="191">
        <v>263.25479999999999</v>
      </c>
      <c r="CJ54" s="191">
        <v>263.25560000000002</v>
      </c>
      <c r="CK54" s="191">
        <v>263.26319999999998</v>
      </c>
      <c r="CL54" s="191">
        <v>263.26499999999999</v>
      </c>
      <c r="CM54" s="191">
        <v>263.25</v>
      </c>
      <c r="CN54" s="191">
        <v>263.26569999999998</v>
      </c>
      <c r="CO54" s="191">
        <v>263.24700000000001</v>
      </c>
      <c r="CP54" s="191">
        <v>263.21550000000002</v>
      </c>
      <c r="CQ54" s="191">
        <v>263.18680000000001</v>
      </c>
      <c r="CR54" s="191">
        <v>263.39999999999998</v>
      </c>
      <c r="CS54" s="191">
        <v>263.33350000000002</v>
      </c>
      <c r="CT54" s="191">
        <v>263.19119999999998</v>
      </c>
      <c r="CU54" s="191">
        <v>263.17950000000002</v>
      </c>
      <c r="CV54" s="191">
        <v>263.13959999999997</v>
      </c>
      <c r="CW54" s="279">
        <v>263.17079999999999</v>
      </c>
      <c r="CX54" s="191">
        <v>263.13720000000001</v>
      </c>
      <c r="CY54" s="279">
        <v>263.26979999999998</v>
      </c>
      <c r="CZ54" s="191">
        <v>263.32650000000001</v>
      </c>
      <c r="DA54" s="191">
        <v>263.30450000000002</v>
      </c>
      <c r="DB54" s="191">
        <v>263.30829999999997</v>
      </c>
      <c r="DC54" s="191">
        <v>263.18669999999997</v>
      </c>
      <c r="DD54" s="191">
        <v>263.12950000000001</v>
      </c>
      <c r="DE54" s="191">
        <v>263.09449999999998</v>
      </c>
      <c r="DF54" s="191">
        <v>263.25510000000003</v>
      </c>
      <c r="DG54" s="191">
        <v>263.15320000000003</v>
      </c>
      <c r="DH54" s="191">
        <v>263.09100000000001</v>
      </c>
      <c r="DI54" s="191">
        <v>263.11419999999998</v>
      </c>
      <c r="DJ54" s="191">
        <v>263.11660000000001</v>
      </c>
      <c r="DK54" s="191">
        <v>262.88380000000001</v>
      </c>
      <c r="DL54" s="191">
        <v>262.96269999999998</v>
      </c>
      <c r="DM54" s="191">
        <v>263.1472</v>
      </c>
      <c r="DN54" s="191">
        <v>263.1465</v>
      </c>
      <c r="DO54" s="191">
        <v>263.04399999999998</v>
      </c>
      <c r="DP54" s="191">
        <v>263.11860000000001</v>
      </c>
      <c r="DQ54" s="191">
        <v>263.10430000000002</v>
      </c>
      <c r="DR54" s="191">
        <v>263.26089999999999</v>
      </c>
      <c r="DS54" s="279">
        <v>263.40859999999998</v>
      </c>
      <c r="DT54" s="191">
        <v>262.95159999999998</v>
      </c>
      <c r="DU54" s="191">
        <v>263.22160000000002</v>
      </c>
      <c r="DV54" s="279">
        <v>262.88760000000002</v>
      </c>
      <c r="DW54" s="191">
        <v>262.84550000000002</v>
      </c>
      <c r="DX54" s="191">
        <v>262.8904</v>
      </c>
      <c r="DY54" s="191">
        <v>262.80619999999999</v>
      </c>
      <c r="DZ54" s="191">
        <v>262.86180000000002</v>
      </c>
      <c r="EA54" s="191">
        <v>262.83949999999999</v>
      </c>
      <c r="EB54" s="191">
        <v>262.73700000000002</v>
      </c>
      <c r="EC54" s="191">
        <v>262.82839999999999</v>
      </c>
      <c r="ED54" s="191">
        <v>262.79680000000002</v>
      </c>
      <c r="EE54" s="191">
        <v>262.79759999999999</v>
      </c>
      <c r="EF54" s="191">
        <v>262.83150000000001</v>
      </c>
      <c r="EG54" s="191">
        <v>262.81450000000001</v>
      </c>
      <c r="EH54" s="191">
        <v>262.7996</v>
      </c>
      <c r="EI54" s="191">
        <v>262.78129999999999</v>
      </c>
      <c r="EJ54" s="191">
        <v>262.77839999999998</v>
      </c>
      <c r="EK54" s="279">
        <v>263.0172</v>
      </c>
      <c r="EL54" s="191">
        <v>263.04090000000002</v>
      </c>
      <c r="EM54" s="191">
        <v>263.0421</v>
      </c>
      <c r="EN54" s="278">
        <v>263.05869999999999</v>
      </c>
      <c r="EO54" s="191"/>
      <c r="EP54" s="191"/>
      <c r="EQ54" s="191"/>
      <c r="ER54" s="191"/>
      <c r="ES54" s="191"/>
      <c r="ET54" s="191"/>
      <c r="EU54" s="191"/>
      <c r="EV54" s="191"/>
      <c r="EW54" s="191"/>
      <c r="EX54" s="191"/>
      <c r="EY54" s="191"/>
    </row>
    <row r="55" spans="1:155" ht="45" customHeight="1" x14ac:dyDescent="0.45">
      <c r="A55" s="277">
        <v>270</v>
      </c>
      <c r="B55" s="191"/>
      <c r="C55" s="191"/>
      <c r="D55" s="278">
        <v>263.96980000000002</v>
      </c>
      <c r="E55" s="191">
        <v>263.8329</v>
      </c>
      <c r="F55" s="279">
        <v>263.7971</v>
      </c>
      <c r="G55" s="191">
        <v>263.77609999999999</v>
      </c>
      <c r="H55" s="191">
        <v>263.75650000000002</v>
      </c>
      <c r="I55" s="191">
        <v>263.75330000000002</v>
      </c>
      <c r="J55" s="191">
        <v>263.74619999999999</v>
      </c>
      <c r="K55" s="191">
        <v>263.74430000000001</v>
      </c>
      <c r="L55" s="191">
        <v>263.75580000000002</v>
      </c>
      <c r="M55" s="191">
        <v>263.77260000000001</v>
      </c>
      <c r="N55" s="191">
        <v>263.77940000000001</v>
      </c>
      <c r="O55" s="191">
        <v>263.77319999999997</v>
      </c>
      <c r="P55" s="191">
        <v>263.69650000000001</v>
      </c>
      <c r="Q55" s="191">
        <v>263.71050000000002</v>
      </c>
      <c r="R55" s="191">
        <v>263.71890000000002</v>
      </c>
      <c r="S55" s="191">
        <v>263.73270000000002</v>
      </c>
      <c r="T55" s="191">
        <v>263.7167</v>
      </c>
      <c r="U55" s="191">
        <v>263.73860000000002</v>
      </c>
      <c r="V55" s="191">
        <v>263.73070000000001</v>
      </c>
      <c r="W55" s="191">
        <v>263.74619999999999</v>
      </c>
      <c r="X55" s="191">
        <v>263.77699999999999</v>
      </c>
      <c r="Y55" s="279">
        <v>263.7962</v>
      </c>
      <c r="Z55" s="191">
        <v>263.90219999999999</v>
      </c>
      <c r="AA55" s="191">
        <v>263.88549999999998</v>
      </c>
      <c r="AB55" s="191">
        <v>263.92200000000003</v>
      </c>
      <c r="AC55" s="278">
        <v>264.11450000000002</v>
      </c>
      <c r="AD55" s="191"/>
      <c r="AE55" s="191"/>
      <c r="AF55" s="191"/>
      <c r="AG55" s="191"/>
      <c r="AH55" s="191"/>
      <c r="AI55" s="191"/>
      <c r="AJ55" s="191"/>
      <c r="AK55" s="191"/>
      <c r="AL55" s="191"/>
      <c r="AM55" s="191"/>
      <c r="AN55" s="191"/>
      <c r="AO55" s="191"/>
      <c r="AP55" s="191"/>
      <c r="AQ55" s="191"/>
      <c r="AR55" s="191"/>
      <c r="AS55" s="191"/>
      <c r="AT55" s="191"/>
      <c r="AU55" s="191"/>
      <c r="AV55" s="191"/>
      <c r="AW55" s="191"/>
      <c r="AX55" s="191"/>
      <c r="AY55" s="191"/>
      <c r="AZ55" s="191"/>
      <c r="BA55" s="191"/>
      <c r="BB55" s="191"/>
      <c r="BC55" s="191"/>
      <c r="BD55" s="278">
        <v>263.63319999999999</v>
      </c>
      <c r="BE55" s="191">
        <v>263.71159999999998</v>
      </c>
      <c r="BF55" s="279">
        <v>263.7201</v>
      </c>
      <c r="BG55" s="191">
        <v>263.54329999999999</v>
      </c>
      <c r="BH55" s="191">
        <v>263.59629999999999</v>
      </c>
      <c r="BI55" s="191">
        <v>263.57010000000002</v>
      </c>
      <c r="BJ55" s="191">
        <v>263.56119999999999</v>
      </c>
      <c r="BK55" s="191">
        <v>263.53800000000001</v>
      </c>
      <c r="BL55" s="191">
        <v>263.49189999999999</v>
      </c>
      <c r="BM55" s="191">
        <v>263.48779999999999</v>
      </c>
      <c r="BN55" s="191">
        <v>263.4846</v>
      </c>
      <c r="BO55" s="191">
        <v>263.49579999999997</v>
      </c>
      <c r="BP55" s="191">
        <v>263.50709999999998</v>
      </c>
      <c r="BQ55" s="191">
        <v>263.51769999999999</v>
      </c>
      <c r="BR55" s="191">
        <v>263.49310000000003</v>
      </c>
      <c r="BS55" s="191">
        <v>263.54809999999998</v>
      </c>
      <c r="BT55" s="191">
        <v>263.50779999999997</v>
      </c>
      <c r="BU55" s="191">
        <v>263.39280000000002</v>
      </c>
      <c r="BV55" s="191">
        <v>263.36630000000002</v>
      </c>
      <c r="BW55" s="191">
        <v>263.35079999999999</v>
      </c>
      <c r="BX55" s="191">
        <v>263.36880000000002</v>
      </c>
      <c r="BY55" s="191">
        <v>263.36090000000002</v>
      </c>
      <c r="BZ55" s="279">
        <v>263.34879999999998</v>
      </c>
      <c r="CA55" s="191">
        <v>263.36869999999999</v>
      </c>
      <c r="CB55" s="191">
        <v>263.35059999999999</v>
      </c>
      <c r="CC55" s="279">
        <v>263.34789999999998</v>
      </c>
      <c r="CD55" s="191">
        <v>263.32690000000002</v>
      </c>
      <c r="CE55" s="191">
        <v>263.3587</v>
      </c>
      <c r="CF55" s="191">
        <v>263.29070000000002</v>
      </c>
      <c r="CG55" s="191">
        <v>263.28070000000002</v>
      </c>
      <c r="CH55" s="191">
        <v>263.27539999999999</v>
      </c>
      <c r="CI55" s="191">
        <v>263.22980000000001</v>
      </c>
      <c r="CJ55" s="191">
        <v>263.25740000000002</v>
      </c>
      <c r="CK55" s="191">
        <v>263.27980000000002</v>
      </c>
      <c r="CL55" s="191">
        <v>263.28379999999999</v>
      </c>
      <c r="CM55" s="191">
        <v>263.24059999999997</v>
      </c>
      <c r="CN55" s="191">
        <v>263.27330000000001</v>
      </c>
      <c r="CO55" s="191">
        <v>263.2842</v>
      </c>
      <c r="CP55" s="191">
        <v>263.23540000000003</v>
      </c>
      <c r="CQ55" s="191">
        <v>263.21550000000002</v>
      </c>
      <c r="CR55" s="191">
        <v>263.3553</v>
      </c>
      <c r="CS55" s="191">
        <v>263.31049999999999</v>
      </c>
      <c r="CT55" s="191">
        <v>263.34710000000001</v>
      </c>
      <c r="CU55" s="191">
        <v>263.23379999999997</v>
      </c>
      <c r="CV55" s="191">
        <v>263.21100000000001</v>
      </c>
      <c r="CW55" s="279">
        <v>263.2253</v>
      </c>
      <c r="CX55" s="191">
        <v>263.24959999999999</v>
      </c>
      <c r="CY55" s="279">
        <v>263.24759999999998</v>
      </c>
      <c r="CZ55" s="191">
        <v>263.29039999999998</v>
      </c>
      <c r="DA55" s="191">
        <v>263.23779999999999</v>
      </c>
      <c r="DB55" s="191">
        <v>263.18819999999999</v>
      </c>
      <c r="DC55" s="191">
        <v>263.17349999999999</v>
      </c>
      <c r="DD55" s="191">
        <v>263.18090000000001</v>
      </c>
      <c r="DE55" s="191">
        <v>263.19970000000001</v>
      </c>
      <c r="DF55" s="191">
        <v>263.27870000000001</v>
      </c>
      <c r="DG55" s="191">
        <v>263.18169999999998</v>
      </c>
      <c r="DH55" s="191">
        <v>263.11959999999999</v>
      </c>
      <c r="DI55" s="191">
        <v>262.91739999999999</v>
      </c>
      <c r="DJ55" s="191">
        <v>262.9117</v>
      </c>
      <c r="DK55" s="191">
        <v>263.04539999999997</v>
      </c>
      <c r="DL55" s="191">
        <v>263.06060000000002</v>
      </c>
      <c r="DM55" s="191">
        <v>263.18669999999997</v>
      </c>
      <c r="DN55" s="191">
        <v>263.12670000000003</v>
      </c>
      <c r="DO55" s="191">
        <v>263.09719999999999</v>
      </c>
      <c r="DP55" s="191">
        <v>263.12400000000002</v>
      </c>
      <c r="DQ55" s="191">
        <v>263.0498</v>
      </c>
      <c r="DR55" s="191">
        <v>263.1816</v>
      </c>
      <c r="DS55" s="279">
        <v>263.339</v>
      </c>
      <c r="DT55" s="191">
        <v>263.01560000000001</v>
      </c>
      <c r="DU55" s="191">
        <v>263.11720000000003</v>
      </c>
      <c r="DV55" s="279">
        <v>262.9701</v>
      </c>
      <c r="DW55" s="279">
        <v>262.81909999999999</v>
      </c>
      <c r="DX55" s="279">
        <v>262.89249999999998</v>
      </c>
      <c r="DY55" s="279">
        <v>262.86290000000002</v>
      </c>
      <c r="DZ55" s="279">
        <v>262.85539999999997</v>
      </c>
      <c r="EA55" s="279">
        <v>262.84879999999998</v>
      </c>
      <c r="EB55" s="279">
        <v>262.82859999999999</v>
      </c>
      <c r="EC55" s="279">
        <v>262.8116</v>
      </c>
      <c r="ED55" s="279">
        <v>262.86180000000002</v>
      </c>
      <c r="EE55" s="279">
        <v>262.83159999999998</v>
      </c>
      <c r="EF55" s="279">
        <v>262.75959999999998</v>
      </c>
      <c r="EG55" s="279">
        <v>262.77870000000001</v>
      </c>
      <c r="EH55" s="279">
        <v>262.77910000000003</v>
      </c>
      <c r="EI55" s="279">
        <v>262.74149999999997</v>
      </c>
      <c r="EJ55" s="279">
        <v>262.93189999999998</v>
      </c>
      <c r="EK55" s="279">
        <v>263.0283</v>
      </c>
      <c r="EL55" s="191">
        <v>262.98570000000001</v>
      </c>
      <c r="EM55" s="278">
        <v>263.08850000000001</v>
      </c>
      <c r="EN55" s="191"/>
      <c r="EO55" s="191"/>
      <c r="EP55" s="191"/>
      <c r="EQ55" s="191"/>
      <c r="ER55" s="191"/>
      <c r="ES55" s="191"/>
      <c r="ET55" s="191"/>
      <c r="EU55" s="191"/>
      <c r="EV55" s="191"/>
      <c r="EW55" s="191"/>
      <c r="EX55" s="191"/>
      <c r="EY55" s="191"/>
    </row>
    <row r="56" spans="1:155" ht="45" customHeight="1" x14ac:dyDescent="0.45">
      <c r="A56" s="277">
        <v>275</v>
      </c>
      <c r="B56" s="191"/>
      <c r="C56" s="191"/>
      <c r="D56" s="278">
        <v>264.05739999999997</v>
      </c>
      <c r="E56" s="191">
        <v>263.7833</v>
      </c>
      <c r="F56" s="279">
        <v>263.7817</v>
      </c>
      <c r="G56" s="191">
        <v>263.77280000000002</v>
      </c>
      <c r="H56" s="191">
        <v>263.74680000000001</v>
      </c>
      <c r="I56" s="191">
        <v>263.74220000000003</v>
      </c>
      <c r="J56" s="191">
        <v>263.76979999999998</v>
      </c>
      <c r="K56" s="191">
        <v>263.77870000000001</v>
      </c>
      <c r="L56" s="191">
        <v>263.78050000000002</v>
      </c>
      <c r="M56" s="191">
        <v>263.77879999999999</v>
      </c>
      <c r="N56" s="191">
        <v>263.75889999999998</v>
      </c>
      <c r="O56" s="191">
        <v>263.82029999999997</v>
      </c>
      <c r="P56" s="191">
        <v>263.72989999999999</v>
      </c>
      <c r="Q56" s="191">
        <v>263.72989999999999</v>
      </c>
      <c r="R56" s="191">
        <v>263.7527</v>
      </c>
      <c r="S56" s="191">
        <v>263.7362</v>
      </c>
      <c r="T56" s="191">
        <v>263.74299999999999</v>
      </c>
      <c r="U56" s="191">
        <v>263.76029999999997</v>
      </c>
      <c r="V56" s="191">
        <v>263.78300000000002</v>
      </c>
      <c r="W56" s="191">
        <v>263.76</v>
      </c>
      <c r="X56" s="191">
        <v>263.79270000000002</v>
      </c>
      <c r="Y56" s="279">
        <v>263.77949999999998</v>
      </c>
      <c r="Z56" s="191">
        <v>263.89370000000002</v>
      </c>
      <c r="AA56" s="191">
        <v>263.88400000000001</v>
      </c>
      <c r="AB56" s="191">
        <v>263.9246</v>
      </c>
      <c r="AC56" s="278">
        <v>263.94959999999998</v>
      </c>
      <c r="AD56" s="191"/>
      <c r="AE56" s="191"/>
      <c r="AF56" s="191"/>
      <c r="AG56" s="191"/>
      <c r="AH56" s="191"/>
      <c r="AI56" s="191"/>
      <c r="AJ56" s="191"/>
      <c r="AK56" s="191"/>
      <c r="AL56" s="191"/>
      <c r="AM56" s="191"/>
      <c r="AN56" s="191"/>
      <c r="AO56" s="191"/>
      <c r="AP56" s="191"/>
      <c r="AQ56" s="191"/>
      <c r="AR56" s="191"/>
      <c r="AS56" s="191"/>
      <c r="AT56" s="191"/>
      <c r="AU56" s="191"/>
      <c r="AV56" s="191"/>
      <c r="AW56" s="191"/>
      <c r="AX56" s="191"/>
      <c r="AY56" s="191"/>
      <c r="AZ56" s="191"/>
      <c r="BA56" s="191"/>
      <c r="BB56" s="191"/>
      <c r="BC56" s="191"/>
      <c r="BD56" s="278">
        <v>263.75020000000001</v>
      </c>
      <c r="BE56" s="191">
        <v>263.75020000000001</v>
      </c>
      <c r="BF56" s="279">
        <v>263.66000000000003</v>
      </c>
      <c r="BG56" s="191">
        <v>263.61009999999999</v>
      </c>
      <c r="BH56" s="191">
        <v>263.5899</v>
      </c>
      <c r="BI56" s="191">
        <v>263.61959999999999</v>
      </c>
      <c r="BJ56" s="191">
        <v>263.58620000000002</v>
      </c>
      <c r="BK56" s="191">
        <v>263.55430000000001</v>
      </c>
      <c r="BL56" s="191">
        <v>263.51769999999999</v>
      </c>
      <c r="BM56" s="191">
        <v>263.49450000000002</v>
      </c>
      <c r="BN56" s="191">
        <v>263.48970000000003</v>
      </c>
      <c r="BO56" s="191">
        <v>263.47370000000001</v>
      </c>
      <c r="BP56" s="191">
        <v>263.47809999999998</v>
      </c>
      <c r="BQ56" s="191">
        <v>263.48869999999999</v>
      </c>
      <c r="BR56" s="191">
        <v>263.39229999999998</v>
      </c>
      <c r="BS56" s="191">
        <v>263.40260000000001</v>
      </c>
      <c r="BT56" s="191">
        <v>263.36849999999998</v>
      </c>
      <c r="BU56" s="191">
        <v>263.43869999999998</v>
      </c>
      <c r="BV56" s="191">
        <v>263.42439999999999</v>
      </c>
      <c r="BW56" s="191">
        <v>263.36919999999998</v>
      </c>
      <c r="BX56" s="191">
        <v>263.36079999999998</v>
      </c>
      <c r="BY56" s="191">
        <v>263.37419999999997</v>
      </c>
      <c r="BZ56" s="279">
        <v>263.31720000000001</v>
      </c>
      <c r="CA56" s="191">
        <v>263.33159999999998</v>
      </c>
      <c r="CB56" s="191">
        <v>263.34160000000003</v>
      </c>
      <c r="CC56" s="279">
        <v>263.34089999999998</v>
      </c>
      <c r="CD56" s="191">
        <v>263.334</v>
      </c>
      <c r="CE56" s="191">
        <v>263.34589999999997</v>
      </c>
      <c r="CF56" s="191">
        <v>263.30430000000001</v>
      </c>
      <c r="CG56" s="191">
        <v>263.28769999999997</v>
      </c>
      <c r="CH56" s="191">
        <v>263.29930000000002</v>
      </c>
      <c r="CI56" s="191">
        <v>263.26749999999998</v>
      </c>
      <c r="CJ56" s="191">
        <v>263.25799999999998</v>
      </c>
      <c r="CK56" s="191">
        <v>263.27190000000002</v>
      </c>
      <c r="CL56" s="191">
        <v>263.27</v>
      </c>
      <c r="CM56" s="191">
        <v>263.23570000000001</v>
      </c>
      <c r="CN56" s="191">
        <v>263.23410000000001</v>
      </c>
      <c r="CO56" s="191">
        <v>263.26280000000003</v>
      </c>
      <c r="CP56" s="191">
        <v>263.26170000000002</v>
      </c>
      <c r="CQ56" s="191">
        <v>263.27429999999998</v>
      </c>
      <c r="CR56" s="191">
        <v>263.4597</v>
      </c>
      <c r="CS56" s="191">
        <v>263.44260000000003</v>
      </c>
      <c r="CT56" s="191">
        <v>263.2595</v>
      </c>
      <c r="CU56" s="191">
        <v>263.32810000000001</v>
      </c>
      <c r="CV56" s="191">
        <v>263.233</v>
      </c>
      <c r="CW56" s="279">
        <v>263.23649999999998</v>
      </c>
      <c r="CX56" s="191">
        <v>263.21850000000001</v>
      </c>
      <c r="CY56" s="279">
        <v>263.20479999999998</v>
      </c>
      <c r="CZ56" s="191">
        <v>263.23869999999999</v>
      </c>
      <c r="DA56" s="191">
        <v>263.21379999999999</v>
      </c>
      <c r="DB56" s="191">
        <v>263.24259999999998</v>
      </c>
      <c r="DC56" s="191">
        <v>263.17329999999998</v>
      </c>
      <c r="DD56" s="191">
        <v>263.17380000000003</v>
      </c>
      <c r="DE56" s="191">
        <v>263.21769999999998</v>
      </c>
      <c r="DF56" s="191">
        <v>263.02749999999997</v>
      </c>
      <c r="DG56" s="191">
        <v>262.96800000000002</v>
      </c>
      <c r="DH56" s="191">
        <v>262.96850000000001</v>
      </c>
      <c r="DI56" s="191">
        <v>263.06220000000002</v>
      </c>
      <c r="DJ56" s="191">
        <v>263.1207</v>
      </c>
      <c r="DK56" s="191">
        <v>263.05610000000001</v>
      </c>
      <c r="DL56" s="191">
        <v>263.05739999999997</v>
      </c>
      <c r="DM56" s="191">
        <v>263.13749999999999</v>
      </c>
      <c r="DN56" s="191">
        <v>263.03579999999999</v>
      </c>
      <c r="DO56" s="191">
        <v>263.05450000000002</v>
      </c>
      <c r="DP56" s="191">
        <v>263.084</v>
      </c>
      <c r="DQ56" s="191">
        <v>263.06950000000001</v>
      </c>
      <c r="DR56" s="191">
        <v>263.13650000000001</v>
      </c>
      <c r="DS56" s="279">
        <v>263.25139999999999</v>
      </c>
      <c r="DT56" s="191">
        <v>263.36410000000001</v>
      </c>
      <c r="DU56" s="191">
        <v>262.92759999999998</v>
      </c>
      <c r="DV56" s="191">
        <v>262.89800000000002</v>
      </c>
      <c r="DW56" s="191">
        <v>262.8184</v>
      </c>
      <c r="DX56" s="191">
        <v>262.91739999999999</v>
      </c>
      <c r="DY56" s="191">
        <v>262.90519999999998</v>
      </c>
      <c r="DZ56" s="191">
        <v>262.95780000000002</v>
      </c>
      <c r="EA56" s="191">
        <v>263.02699999999999</v>
      </c>
      <c r="EB56" s="191">
        <v>263.18090000000001</v>
      </c>
      <c r="EC56" s="191">
        <v>263.26850000000002</v>
      </c>
      <c r="ED56" s="191">
        <v>263.03519999999997</v>
      </c>
      <c r="EE56" s="191">
        <v>263.17700000000002</v>
      </c>
      <c r="EF56" s="191">
        <v>263.12009999999998</v>
      </c>
      <c r="EG56" s="191">
        <v>262.98450000000003</v>
      </c>
      <c r="EH56" s="191">
        <v>262.99520000000001</v>
      </c>
      <c r="EI56" s="191">
        <v>262.83449999999999</v>
      </c>
      <c r="EJ56" s="191">
        <v>263.03089999999997</v>
      </c>
      <c r="EK56" s="191">
        <v>263.11309999999997</v>
      </c>
      <c r="EL56" s="191">
        <v>263.01519999999999</v>
      </c>
      <c r="EM56" s="278">
        <v>263.19760000000002</v>
      </c>
      <c r="EN56" s="191"/>
      <c r="EO56" s="191"/>
      <c r="EP56" s="191"/>
      <c r="EQ56" s="191"/>
      <c r="ER56" s="191"/>
      <c r="ES56" s="191"/>
      <c r="ET56" s="191"/>
      <c r="EU56" s="191"/>
      <c r="EV56" s="191"/>
      <c r="EW56" s="191"/>
      <c r="EX56" s="191"/>
      <c r="EY56" s="191"/>
    </row>
    <row r="57" spans="1:155" ht="45" customHeight="1" x14ac:dyDescent="0.45">
      <c r="A57" s="277">
        <v>280</v>
      </c>
      <c r="B57" s="191"/>
      <c r="C57" s="191"/>
      <c r="D57" s="278">
        <v>264.0702</v>
      </c>
      <c r="E57" s="191">
        <v>263.75659999999999</v>
      </c>
      <c r="F57" s="279">
        <v>263.78039999999999</v>
      </c>
      <c r="G57" s="191">
        <v>263.77890000000002</v>
      </c>
      <c r="H57" s="191">
        <v>263.76260000000002</v>
      </c>
      <c r="I57" s="191">
        <v>263.7475</v>
      </c>
      <c r="J57" s="191">
        <v>263.74270000000001</v>
      </c>
      <c r="K57" s="191">
        <v>263.78289999999998</v>
      </c>
      <c r="L57" s="191">
        <v>263.78590000000003</v>
      </c>
      <c r="M57" s="191">
        <v>263.76080000000002</v>
      </c>
      <c r="N57" s="191">
        <v>263.75889999999998</v>
      </c>
      <c r="O57" s="191">
        <v>263.8426</v>
      </c>
      <c r="P57" s="191">
        <v>263.75630000000001</v>
      </c>
      <c r="Q57" s="191">
        <v>263.76510000000002</v>
      </c>
      <c r="R57" s="191">
        <v>263.77780000000001</v>
      </c>
      <c r="S57" s="191">
        <v>263.7654</v>
      </c>
      <c r="T57" s="191">
        <v>263.76749999999998</v>
      </c>
      <c r="U57" s="191">
        <v>263.73930000000001</v>
      </c>
      <c r="V57" s="191">
        <v>263.7663</v>
      </c>
      <c r="W57" s="191">
        <v>263.74689999999998</v>
      </c>
      <c r="X57" s="191">
        <v>263.78840000000002</v>
      </c>
      <c r="Y57" s="279">
        <v>263.76979999999998</v>
      </c>
      <c r="Z57" s="191">
        <v>263.89850000000001</v>
      </c>
      <c r="AA57" s="191">
        <v>263.87939999999998</v>
      </c>
      <c r="AB57" s="191">
        <v>263.88560000000001</v>
      </c>
      <c r="AC57" s="278">
        <v>263.90350000000001</v>
      </c>
      <c r="AD57" s="278">
        <v>264.1619</v>
      </c>
      <c r="AE57" s="278">
        <v>263.99630000000002</v>
      </c>
      <c r="AF57" s="278">
        <v>263.82799999999997</v>
      </c>
      <c r="AG57" s="278">
        <v>263.7457</v>
      </c>
      <c r="AH57" s="278">
        <v>263.71550000000002</v>
      </c>
      <c r="AI57" s="191"/>
      <c r="AJ57" s="191"/>
      <c r="AK57" s="191"/>
      <c r="AL57" s="191"/>
      <c r="AM57" s="191"/>
      <c r="AN57" s="191"/>
      <c r="AO57" s="191"/>
      <c r="AP57" s="191"/>
      <c r="AQ57" s="191"/>
      <c r="AR57" s="191"/>
      <c r="AS57" s="191"/>
      <c r="AT57" s="191"/>
      <c r="AU57" s="191"/>
      <c r="AV57" s="191"/>
      <c r="AW57" s="191"/>
      <c r="AX57" s="191"/>
      <c r="AY57" s="191"/>
      <c r="AZ57" s="191"/>
      <c r="BA57" s="191"/>
      <c r="BB57" s="191"/>
      <c r="BC57" s="191"/>
      <c r="BD57" s="278">
        <v>263.93490000000003</v>
      </c>
      <c r="BE57" s="191">
        <v>263.51639999999998</v>
      </c>
      <c r="BF57" s="279">
        <v>263.55579999999998</v>
      </c>
      <c r="BG57" s="191">
        <v>263.58030000000002</v>
      </c>
      <c r="BH57" s="191">
        <v>263.13310000000001</v>
      </c>
      <c r="BI57" s="191">
        <v>263.59910000000002</v>
      </c>
      <c r="BJ57" s="191">
        <v>263.58780000000002</v>
      </c>
      <c r="BK57" s="191">
        <v>263.56869999999998</v>
      </c>
      <c r="BL57" s="191">
        <v>263.53179999999998</v>
      </c>
      <c r="BM57" s="191">
        <v>263.51499999999999</v>
      </c>
      <c r="BN57" s="191">
        <v>263.49099999999999</v>
      </c>
      <c r="BO57" s="191">
        <v>263.46159999999998</v>
      </c>
      <c r="BP57" s="191">
        <v>263.459</v>
      </c>
      <c r="BQ57" s="191">
        <v>263.4975</v>
      </c>
      <c r="BR57" s="191">
        <v>263.4502</v>
      </c>
      <c r="BS57" s="191">
        <v>263.5204</v>
      </c>
      <c r="BT57" s="191">
        <v>263.5523</v>
      </c>
      <c r="BU57" s="191">
        <v>263.41329999999999</v>
      </c>
      <c r="BV57" s="191">
        <v>263.43700000000001</v>
      </c>
      <c r="BW57" s="191">
        <v>263.40429999999998</v>
      </c>
      <c r="BX57" s="191">
        <v>263.36900000000003</v>
      </c>
      <c r="BY57" s="191">
        <v>263.37090000000001</v>
      </c>
      <c r="BZ57" s="279">
        <v>263.33359999999999</v>
      </c>
      <c r="CA57" s="191">
        <v>263.32799999999997</v>
      </c>
      <c r="CB57" s="191">
        <v>263.32870000000003</v>
      </c>
      <c r="CC57" s="279">
        <v>263.33089999999999</v>
      </c>
      <c r="CD57" s="191">
        <v>263.34190000000001</v>
      </c>
      <c r="CE57" s="191">
        <v>263.34249999999997</v>
      </c>
      <c r="CF57" s="191">
        <v>263.28100000000001</v>
      </c>
      <c r="CG57" s="191">
        <v>263.25749999999999</v>
      </c>
      <c r="CH57" s="191">
        <v>263.26459999999997</v>
      </c>
      <c r="CI57" s="191">
        <v>263.28590000000003</v>
      </c>
      <c r="CJ57" s="191">
        <v>263.27319999999997</v>
      </c>
      <c r="CK57" s="191">
        <v>263.25700000000001</v>
      </c>
      <c r="CL57" s="191">
        <v>263.22680000000003</v>
      </c>
      <c r="CM57" s="191">
        <v>263.20280000000002</v>
      </c>
      <c r="CN57" s="191">
        <v>263.20859999999999</v>
      </c>
      <c r="CO57" s="191">
        <v>263.24880000000002</v>
      </c>
      <c r="CP57" s="191">
        <v>263.25310000000002</v>
      </c>
      <c r="CQ57" s="191">
        <v>263.29219999999998</v>
      </c>
      <c r="CR57" s="191">
        <v>263.42840000000001</v>
      </c>
      <c r="CS57" s="191">
        <v>263.37009999999998</v>
      </c>
      <c r="CT57" s="191">
        <v>263.29840000000002</v>
      </c>
      <c r="CU57" s="191">
        <v>263.24040000000002</v>
      </c>
      <c r="CV57" s="191">
        <v>263.20839999999998</v>
      </c>
      <c r="CW57" s="279">
        <v>263.22770000000003</v>
      </c>
      <c r="CX57" s="191">
        <v>263.16219999999998</v>
      </c>
      <c r="CY57" s="279">
        <v>263.24090000000001</v>
      </c>
      <c r="CZ57" s="191">
        <v>263.31240000000003</v>
      </c>
      <c r="DA57" s="191">
        <v>263.22379999999998</v>
      </c>
      <c r="DB57" s="191">
        <v>263.17689999999999</v>
      </c>
      <c r="DC57" s="191">
        <v>263.0822</v>
      </c>
      <c r="DD57" s="191">
        <v>262.97820000000002</v>
      </c>
      <c r="DE57" s="191">
        <v>263.05779999999999</v>
      </c>
      <c r="DF57" s="191">
        <v>263.12009999999998</v>
      </c>
      <c r="DG57" s="191">
        <v>263.11160000000001</v>
      </c>
      <c r="DH57" s="191">
        <v>263.11369999999999</v>
      </c>
      <c r="DI57" s="191">
        <v>263.16550000000001</v>
      </c>
      <c r="DJ57" s="191">
        <v>263.17239999999998</v>
      </c>
      <c r="DK57" s="191">
        <v>263.09949999999998</v>
      </c>
      <c r="DL57" s="191">
        <v>263.11610000000002</v>
      </c>
      <c r="DM57" s="191">
        <v>263.11470000000003</v>
      </c>
      <c r="DN57" s="191">
        <v>263.12509999999997</v>
      </c>
      <c r="DO57" s="191">
        <v>263.07600000000002</v>
      </c>
      <c r="DP57" s="191">
        <v>263.11110000000002</v>
      </c>
      <c r="DQ57" s="191">
        <v>263.1105</v>
      </c>
      <c r="DR57" s="191">
        <v>263.12790000000001</v>
      </c>
      <c r="DS57" s="279">
        <v>263.17039999999997</v>
      </c>
      <c r="DT57" s="191">
        <v>263.20519999999999</v>
      </c>
      <c r="DU57" s="191">
        <v>262.95280000000002</v>
      </c>
      <c r="DV57" s="191">
        <v>262.86779999999999</v>
      </c>
      <c r="DW57" s="191">
        <v>262.88290000000001</v>
      </c>
      <c r="DX57" s="191">
        <v>263.1028</v>
      </c>
      <c r="DY57" s="191">
        <v>263.00409999999999</v>
      </c>
      <c r="DZ57" s="278">
        <v>262.92680000000001</v>
      </c>
      <c r="EA57" s="278">
        <v>262.9631</v>
      </c>
      <c r="EB57" s="278">
        <v>263.13479999999998</v>
      </c>
      <c r="EC57" s="278">
        <v>263.315</v>
      </c>
      <c r="ED57" s="278">
        <v>263.24759999999998</v>
      </c>
      <c r="EE57" s="278">
        <v>263.19600000000003</v>
      </c>
      <c r="EF57" s="278">
        <v>263.08350000000002</v>
      </c>
      <c r="EG57" s="278">
        <v>263.03620000000001</v>
      </c>
      <c r="EH57" s="278">
        <v>263.03539999999998</v>
      </c>
      <c r="EI57" s="278">
        <v>263.06529999999998</v>
      </c>
      <c r="EJ57" s="278">
        <v>263.11930000000001</v>
      </c>
      <c r="EK57" s="278">
        <v>263.21679999999998</v>
      </c>
      <c r="EL57" s="278">
        <v>262.96199999999999</v>
      </c>
      <c r="EM57" s="191"/>
      <c r="EN57" s="191"/>
      <c r="EO57" s="191"/>
      <c r="EP57" s="191"/>
      <c r="EQ57" s="191"/>
      <c r="ER57" s="191"/>
      <c r="ES57" s="191"/>
      <c r="ET57" s="191"/>
      <c r="EU57" s="191"/>
      <c r="EV57" s="191"/>
      <c r="EW57" s="191"/>
      <c r="EX57" s="191"/>
      <c r="EY57" s="191"/>
    </row>
    <row r="58" spans="1:155" ht="45" customHeight="1" x14ac:dyDescent="0.45">
      <c r="A58" s="277">
        <v>285</v>
      </c>
      <c r="B58" s="191"/>
      <c r="C58" s="191"/>
      <c r="D58" s="278">
        <v>264.1721</v>
      </c>
      <c r="E58" s="191">
        <v>263.70929999999998</v>
      </c>
      <c r="F58" s="279">
        <v>263.75110000000001</v>
      </c>
      <c r="G58" s="191">
        <v>263.75889999999998</v>
      </c>
      <c r="H58" s="191">
        <v>263.76029999999997</v>
      </c>
      <c r="I58" s="191">
        <v>263.77609999999999</v>
      </c>
      <c r="J58" s="191">
        <v>263.77330000000001</v>
      </c>
      <c r="K58" s="191">
        <v>263.77210000000002</v>
      </c>
      <c r="L58" s="191">
        <v>263.75760000000002</v>
      </c>
      <c r="M58" s="191">
        <v>263.77800000000002</v>
      </c>
      <c r="N58" s="191">
        <v>263.82060000000001</v>
      </c>
      <c r="O58" s="191">
        <v>263.83749999999998</v>
      </c>
      <c r="P58" s="191">
        <v>263.78019999999998</v>
      </c>
      <c r="Q58" s="191">
        <v>263.77510000000001</v>
      </c>
      <c r="R58" s="191">
        <v>263.78579999999999</v>
      </c>
      <c r="S58" s="191">
        <v>263.78789999999998</v>
      </c>
      <c r="T58" s="191">
        <v>263.77100000000002</v>
      </c>
      <c r="U58" s="191">
        <v>263.80970000000002</v>
      </c>
      <c r="V58" s="191">
        <v>263.77409999999998</v>
      </c>
      <c r="W58" s="191">
        <v>263.77820000000003</v>
      </c>
      <c r="X58" s="191">
        <v>263.79860000000002</v>
      </c>
      <c r="Y58" s="279">
        <v>263.77980000000002</v>
      </c>
      <c r="Z58" s="191">
        <v>263.89080000000001</v>
      </c>
      <c r="AA58" s="191">
        <v>263.82659999999998</v>
      </c>
      <c r="AB58" s="191">
        <v>263.82139999999998</v>
      </c>
      <c r="AC58" s="191">
        <v>263.85169999999999</v>
      </c>
      <c r="AD58" s="191">
        <v>263.84739999999999</v>
      </c>
      <c r="AE58" s="191">
        <v>263.89109999999999</v>
      </c>
      <c r="AF58" s="191">
        <v>263.89030000000002</v>
      </c>
      <c r="AG58" s="191">
        <v>263.8546</v>
      </c>
      <c r="AH58" s="191">
        <v>263.82920000000001</v>
      </c>
      <c r="AI58" s="278">
        <v>263.83980000000003</v>
      </c>
      <c r="AJ58" s="278">
        <v>264.12310000000002</v>
      </c>
      <c r="AK58" s="278">
        <v>264.02429999999998</v>
      </c>
      <c r="AL58" s="278">
        <v>264.1995</v>
      </c>
      <c r="AM58" s="278">
        <v>264.11020000000002</v>
      </c>
      <c r="AN58" s="191"/>
      <c r="AO58" s="191"/>
      <c r="AP58" s="191"/>
      <c r="AQ58" s="191"/>
      <c r="AR58" s="191"/>
      <c r="AS58" s="191"/>
      <c r="AT58" s="191"/>
      <c r="AU58" s="191"/>
      <c r="AV58" s="191"/>
      <c r="AW58" s="191"/>
      <c r="AX58" s="191"/>
      <c r="AY58" s="191"/>
      <c r="AZ58" s="191"/>
      <c r="BA58" s="191"/>
      <c r="BB58" s="191"/>
      <c r="BC58" s="278">
        <v>264.01069999999999</v>
      </c>
      <c r="BD58" s="278">
        <v>263.93090000000001</v>
      </c>
      <c r="BE58" s="191">
        <v>263.83909999999997</v>
      </c>
      <c r="BF58" s="279">
        <v>263.97699999999998</v>
      </c>
      <c r="BG58" s="279">
        <v>264.14940000000001</v>
      </c>
      <c r="BH58" s="279">
        <v>263.44929999999999</v>
      </c>
      <c r="BI58" s="279">
        <v>263.10019999999997</v>
      </c>
      <c r="BJ58" s="279">
        <v>263.48</v>
      </c>
      <c r="BK58" s="279">
        <v>263.55829999999997</v>
      </c>
      <c r="BL58" s="279">
        <v>263.55739999999997</v>
      </c>
      <c r="BM58" s="279">
        <v>263.5505</v>
      </c>
      <c r="BN58" s="279">
        <v>263.5258</v>
      </c>
      <c r="BO58" s="279">
        <v>263.50940000000003</v>
      </c>
      <c r="BP58" s="279">
        <v>263.49489999999997</v>
      </c>
      <c r="BQ58" s="279">
        <v>263.48140000000001</v>
      </c>
      <c r="BR58" s="279">
        <v>263.43290000000002</v>
      </c>
      <c r="BS58" s="279">
        <v>263.41500000000002</v>
      </c>
      <c r="BT58" s="279">
        <v>263.40839999999997</v>
      </c>
      <c r="BU58" s="279">
        <v>263.41849999999999</v>
      </c>
      <c r="BV58" s="279">
        <v>263.43520000000001</v>
      </c>
      <c r="BW58" s="279">
        <v>263.44170000000003</v>
      </c>
      <c r="BX58" s="279">
        <v>263.4692</v>
      </c>
      <c r="BY58" s="279">
        <v>263.38569999999999</v>
      </c>
      <c r="BZ58" s="279">
        <v>263.35539999999997</v>
      </c>
      <c r="CA58" s="191">
        <v>263.34710000000001</v>
      </c>
      <c r="CB58" s="191">
        <v>263.33980000000003</v>
      </c>
      <c r="CC58" s="279">
        <v>263.33069999999998</v>
      </c>
      <c r="CD58" s="191">
        <v>263.33300000000003</v>
      </c>
      <c r="CE58" s="191">
        <v>263.32850000000002</v>
      </c>
      <c r="CF58" s="191">
        <v>263.27789999999999</v>
      </c>
      <c r="CG58" s="191">
        <v>263.26589999999999</v>
      </c>
      <c r="CH58" s="191">
        <v>263.28140000000002</v>
      </c>
      <c r="CI58" s="191">
        <v>263.27460000000002</v>
      </c>
      <c r="CJ58" s="191">
        <v>263.26830000000001</v>
      </c>
      <c r="CK58" s="191">
        <v>263.27569999999997</v>
      </c>
      <c r="CL58" s="191">
        <v>263.23570000000001</v>
      </c>
      <c r="CM58" s="191">
        <v>263.20569999999998</v>
      </c>
      <c r="CN58" s="191">
        <v>263.18700000000001</v>
      </c>
      <c r="CO58" s="191">
        <v>263.24720000000002</v>
      </c>
      <c r="CP58" s="191">
        <v>263.25689999999997</v>
      </c>
      <c r="CQ58" s="191">
        <v>263.24610000000001</v>
      </c>
      <c r="CR58" s="191">
        <v>263.31650000000002</v>
      </c>
      <c r="CS58" s="191">
        <v>263.33949999999999</v>
      </c>
      <c r="CT58" s="191">
        <v>263.31</v>
      </c>
      <c r="CU58" s="191">
        <v>263.3005</v>
      </c>
      <c r="CV58" s="191">
        <v>263.2081</v>
      </c>
      <c r="CW58" s="279">
        <v>263.226</v>
      </c>
      <c r="CX58" s="191">
        <v>263.21809999999999</v>
      </c>
      <c r="CY58" s="279">
        <v>263.32380000000001</v>
      </c>
      <c r="CZ58" s="191">
        <v>263.22489999999999</v>
      </c>
      <c r="DA58" s="191">
        <v>263.14159999999998</v>
      </c>
      <c r="DB58" s="191">
        <v>263.00599999999997</v>
      </c>
      <c r="DC58" s="191">
        <v>262.98329999999999</v>
      </c>
      <c r="DD58" s="191">
        <v>263.07900000000001</v>
      </c>
      <c r="DE58" s="191">
        <v>263.15589999999997</v>
      </c>
      <c r="DF58" s="191">
        <v>263.16660000000002</v>
      </c>
      <c r="DG58" s="191">
        <v>263.12979999999999</v>
      </c>
      <c r="DH58" s="191">
        <v>263.07330000000002</v>
      </c>
      <c r="DI58" s="191">
        <v>263.09530000000001</v>
      </c>
      <c r="DJ58" s="191">
        <v>263.12020000000001</v>
      </c>
      <c r="DK58" s="191">
        <v>263.03070000000002</v>
      </c>
      <c r="DL58" s="191">
        <v>263.10199999999998</v>
      </c>
      <c r="DM58" s="191">
        <v>263.05029999999999</v>
      </c>
      <c r="DN58" s="191">
        <v>263.02350000000001</v>
      </c>
      <c r="DO58" s="191">
        <v>263.04410000000001</v>
      </c>
      <c r="DP58" s="191">
        <v>263.09780000000001</v>
      </c>
      <c r="DQ58" s="191">
        <v>263.16890000000001</v>
      </c>
      <c r="DR58" s="191">
        <v>263.06610000000001</v>
      </c>
      <c r="DS58" s="279">
        <v>263.14109999999999</v>
      </c>
      <c r="DT58" s="191">
        <v>263.24209999999999</v>
      </c>
      <c r="DU58" s="191">
        <v>263.13350000000003</v>
      </c>
      <c r="DV58" s="278">
        <v>263.28870000000001</v>
      </c>
      <c r="DW58" s="278">
        <v>263.08330000000001</v>
      </c>
      <c r="DX58" s="278">
        <v>263.02010000000001</v>
      </c>
      <c r="DY58" s="278">
        <v>262.96730000000002</v>
      </c>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row>
    <row r="59" spans="1:155" ht="45" customHeight="1" x14ac:dyDescent="0.45">
      <c r="A59" s="277">
        <v>290</v>
      </c>
      <c r="B59" s="191"/>
      <c r="C59" s="191"/>
      <c r="D59" s="278">
        <v>264.19139999999999</v>
      </c>
      <c r="E59" s="191">
        <v>263.7251</v>
      </c>
      <c r="F59" s="279">
        <v>263.7251</v>
      </c>
      <c r="G59" s="191">
        <v>263.72519999999997</v>
      </c>
      <c r="H59" s="191">
        <v>263.73379999999997</v>
      </c>
      <c r="I59" s="191">
        <v>263.75040000000001</v>
      </c>
      <c r="J59" s="191">
        <v>263.7747</v>
      </c>
      <c r="K59" s="191">
        <v>263.76850000000002</v>
      </c>
      <c r="L59" s="191">
        <v>263.77</v>
      </c>
      <c r="M59" s="191">
        <v>263.74889999999999</v>
      </c>
      <c r="N59" s="191">
        <v>263.78620000000001</v>
      </c>
      <c r="O59" s="191">
        <v>263.82429999999999</v>
      </c>
      <c r="P59" s="191">
        <v>263.7878</v>
      </c>
      <c r="Q59" s="191">
        <v>263.78649999999999</v>
      </c>
      <c r="R59" s="191">
        <v>263.79289999999997</v>
      </c>
      <c r="S59" s="191">
        <v>263.77640000000002</v>
      </c>
      <c r="T59" s="191">
        <v>263.77080000000001</v>
      </c>
      <c r="U59" s="191">
        <v>263.79230000000001</v>
      </c>
      <c r="V59" s="191">
        <v>263.74979999999999</v>
      </c>
      <c r="W59" s="191">
        <v>263.75650000000002</v>
      </c>
      <c r="X59" s="191">
        <v>263.79649999999998</v>
      </c>
      <c r="Y59" s="279">
        <v>263.75749999999999</v>
      </c>
      <c r="Z59" s="191">
        <v>263.84469999999999</v>
      </c>
      <c r="AA59" s="191">
        <v>263.81150000000002</v>
      </c>
      <c r="AB59" s="191">
        <v>263.81790000000001</v>
      </c>
      <c r="AC59" s="191">
        <v>263.7817</v>
      </c>
      <c r="AD59" s="191">
        <v>263.77690000000001</v>
      </c>
      <c r="AE59" s="191">
        <v>263.9042</v>
      </c>
      <c r="AF59" s="191">
        <v>263.91489999999999</v>
      </c>
      <c r="AG59" s="191">
        <v>263.95389999999998</v>
      </c>
      <c r="AH59" s="191">
        <v>264.00569999999999</v>
      </c>
      <c r="AI59" s="191">
        <v>264.10879999999997</v>
      </c>
      <c r="AJ59" s="191">
        <v>264.67099999999999</v>
      </c>
      <c r="AK59" s="191">
        <v>264.43439999999998</v>
      </c>
      <c r="AL59" s="191">
        <v>264.13679999999999</v>
      </c>
      <c r="AM59" s="191">
        <v>263.86919999999998</v>
      </c>
      <c r="AN59" s="278">
        <v>264.02179999999998</v>
      </c>
      <c r="AO59" s="278">
        <v>263.87909999999999</v>
      </c>
      <c r="AP59" s="278">
        <v>263.77519999999998</v>
      </c>
      <c r="AQ59" s="278">
        <v>263.79590000000002</v>
      </c>
      <c r="AR59" s="278">
        <v>263.83710000000002</v>
      </c>
      <c r="AS59" s="278">
        <v>263.83519999999999</v>
      </c>
      <c r="AT59" s="278">
        <v>263.84350000000001</v>
      </c>
      <c r="AU59" s="278">
        <v>263.8381</v>
      </c>
      <c r="AV59" s="278">
        <v>263.85250000000002</v>
      </c>
      <c r="AW59" s="278">
        <v>263.82</v>
      </c>
      <c r="AX59" s="278">
        <v>263.74059999999997</v>
      </c>
      <c r="AY59" s="278">
        <v>263.70690000000002</v>
      </c>
      <c r="AZ59" s="278">
        <v>263.69279999999998</v>
      </c>
      <c r="BA59" s="278">
        <v>263.66050000000001</v>
      </c>
      <c r="BB59" s="278">
        <v>263.66340000000002</v>
      </c>
      <c r="BC59" s="191">
        <v>263.68790000000001</v>
      </c>
      <c r="BD59" s="191">
        <v>263.78120000000001</v>
      </c>
      <c r="BE59" s="191">
        <v>263.8073</v>
      </c>
      <c r="BF59" s="191">
        <v>263.57479999999998</v>
      </c>
      <c r="BG59" s="191">
        <v>263.74610000000001</v>
      </c>
      <c r="BH59" s="191">
        <v>263.62220000000002</v>
      </c>
      <c r="BI59" s="191">
        <v>263.18849999999998</v>
      </c>
      <c r="BJ59" s="191">
        <v>263.4674</v>
      </c>
      <c r="BK59" s="191">
        <v>263.46179999999998</v>
      </c>
      <c r="BL59" s="191">
        <v>263.43729999999999</v>
      </c>
      <c r="BM59" s="191">
        <v>263.73140000000001</v>
      </c>
      <c r="BN59" s="191">
        <v>263.77429999999998</v>
      </c>
      <c r="BO59" s="191">
        <v>263.82459999999998</v>
      </c>
      <c r="BP59" s="191">
        <v>263.93209999999999</v>
      </c>
      <c r="BQ59" s="191">
        <v>263.83879999999999</v>
      </c>
      <c r="BR59" s="191">
        <v>263.71069999999997</v>
      </c>
      <c r="BS59" s="191">
        <v>263.59629999999999</v>
      </c>
      <c r="BT59" s="191">
        <v>263.57619999999997</v>
      </c>
      <c r="BU59" s="191">
        <v>263.51549999999997</v>
      </c>
      <c r="BV59" s="191">
        <v>263.64519999999999</v>
      </c>
      <c r="BW59" s="191">
        <v>263.59429999999998</v>
      </c>
      <c r="BX59" s="191">
        <v>263.54660000000001</v>
      </c>
      <c r="BY59" s="191">
        <v>263.5249</v>
      </c>
      <c r="BZ59" s="191">
        <v>263.44940000000003</v>
      </c>
      <c r="CA59" s="191">
        <v>263.40550000000002</v>
      </c>
      <c r="CB59" s="191">
        <v>263.38069999999999</v>
      </c>
      <c r="CC59" s="279">
        <v>263.38490000000002</v>
      </c>
      <c r="CD59" s="191">
        <v>263.37990000000002</v>
      </c>
      <c r="CE59" s="191">
        <v>263.36540000000002</v>
      </c>
      <c r="CF59" s="191">
        <v>263.31540000000001</v>
      </c>
      <c r="CG59" s="191">
        <v>263.32010000000002</v>
      </c>
      <c r="CH59" s="191">
        <v>263.35669999999999</v>
      </c>
      <c r="CI59" s="191">
        <v>263.33159999999998</v>
      </c>
      <c r="CJ59" s="191">
        <v>263.3168</v>
      </c>
      <c r="CK59" s="191">
        <v>263.3005</v>
      </c>
      <c r="CL59" s="191">
        <v>263.30180000000001</v>
      </c>
      <c r="CM59" s="191">
        <v>263.29410000000001</v>
      </c>
      <c r="CN59" s="191">
        <v>263.29480000000001</v>
      </c>
      <c r="CO59" s="191">
        <v>263.28590000000003</v>
      </c>
      <c r="CP59" s="191">
        <v>263.27749999999997</v>
      </c>
      <c r="CQ59" s="191">
        <v>263.29590000000002</v>
      </c>
      <c r="CR59" s="191">
        <v>263.29570000000001</v>
      </c>
      <c r="CS59" s="191">
        <v>263.3546</v>
      </c>
      <c r="CT59" s="191">
        <v>263.26260000000002</v>
      </c>
      <c r="CU59" s="191">
        <v>263.23140000000001</v>
      </c>
      <c r="CV59" s="191">
        <v>263.31389999999999</v>
      </c>
      <c r="CW59" s="279">
        <v>263.2029</v>
      </c>
      <c r="CX59" s="191">
        <v>263.11</v>
      </c>
      <c r="CY59" s="279">
        <v>263.14460000000003</v>
      </c>
      <c r="CZ59" s="191">
        <v>263.04379999999998</v>
      </c>
      <c r="DA59" s="191">
        <v>263.1001</v>
      </c>
      <c r="DB59" s="191">
        <v>263.16300000000001</v>
      </c>
      <c r="DC59" s="191">
        <v>263.10300000000001</v>
      </c>
      <c r="DD59" s="191">
        <v>263.18509999999998</v>
      </c>
      <c r="DE59" s="191">
        <v>263.2054</v>
      </c>
      <c r="DF59" s="191">
        <v>263.15260000000001</v>
      </c>
      <c r="DG59" s="191">
        <v>263.08589999999998</v>
      </c>
      <c r="DH59" s="191">
        <v>263.09399999999999</v>
      </c>
      <c r="DI59" s="191">
        <v>263.16739999999999</v>
      </c>
      <c r="DJ59" s="191">
        <v>263.09589999999997</v>
      </c>
      <c r="DK59" s="191">
        <v>263.00020000000001</v>
      </c>
      <c r="DL59" s="191">
        <v>263.12729999999999</v>
      </c>
      <c r="DM59" s="191">
        <v>263.14330000000001</v>
      </c>
      <c r="DN59" s="191">
        <v>263.12310000000002</v>
      </c>
      <c r="DO59" s="191">
        <v>263.14330000000001</v>
      </c>
      <c r="DP59" s="191">
        <v>263.10000000000002</v>
      </c>
      <c r="DQ59" s="191">
        <v>262.92919999999998</v>
      </c>
      <c r="DR59" s="191">
        <v>263.14359999999999</v>
      </c>
      <c r="DS59" s="279">
        <v>263.18540000000002</v>
      </c>
      <c r="DT59" s="191">
        <v>263.19850000000002</v>
      </c>
      <c r="DU59" s="191">
        <v>263.07459999999998</v>
      </c>
      <c r="DV59" s="278">
        <v>263.875</v>
      </c>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row>
    <row r="60" spans="1:155" ht="45" customHeight="1" x14ac:dyDescent="0.45">
      <c r="A60" s="277">
        <v>295</v>
      </c>
      <c r="B60" s="191"/>
      <c r="C60" s="191"/>
      <c r="D60" s="278">
        <v>264.12180000000001</v>
      </c>
      <c r="E60" s="191">
        <v>263.68360000000001</v>
      </c>
      <c r="F60" s="279">
        <v>263.68790000000001</v>
      </c>
      <c r="G60" s="191">
        <v>263.70909999999998</v>
      </c>
      <c r="H60" s="191">
        <v>263.72280000000001</v>
      </c>
      <c r="I60" s="191">
        <v>263.72489999999999</v>
      </c>
      <c r="J60" s="191">
        <v>263.70600000000002</v>
      </c>
      <c r="K60" s="191">
        <v>263.72620000000001</v>
      </c>
      <c r="L60" s="191">
        <v>263.76229999999998</v>
      </c>
      <c r="M60" s="191">
        <v>263.79169999999999</v>
      </c>
      <c r="N60" s="191">
        <v>263.79250000000002</v>
      </c>
      <c r="O60" s="191">
        <v>263.851</v>
      </c>
      <c r="P60" s="191">
        <v>263.78280000000001</v>
      </c>
      <c r="Q60" s="191">
        <v>263.78750000000002</v>
      </c>
      <c r="R60" s="191">
        <v>263.78859999999997</v>
      </c>
      <c r="S60" s="191">
        <v>263.798</v>
      </c>
      <c r="T60" s="191">
        <v>263.80290000000002</v>
      </c>
      <c r="U60" s="191">
        <v>263.79070000000002</v>
      </c>
      <c r="V60" s="191">
        <v>263.78309999999999</v>
      </c>
      <c r="W60" s="191">
        <v>263.8168</v>
      </c>
      <c r="X60" s="191">
        <v>263.81799999999998</v>
      </c>
      <c r="Y60" s="279">
        <v>263.8039</v>
      </c>
      <c r="Z60" s="191">
        <v>263.8716</v>
      </c>
      <c r="AA60" s="191">
        <v>263.81970000000001</v>
      </c>
      <c r="AB60" s="191">
        <v>263.80790000000002</v>
      </c>
      <c r="AC60" s="191">
        <v>263.77980000000002</v>
      </c>
      <c r="AD60" s="191">
        <v>263.81229999999999</v>
      </c>
      <c r="AE60" s="191">
        <v>263.8766</v>
      </c>
      <c r="AF60" s="191">
        <v>263.90129999999999</v>
      </c>
      <c r="AG60" s="191">
        <v>263.9796</v>
      </c>
      <c r="AH60" s="191">
        <v>264.39510000000001</v>
      </c>
      <c r="AI60" s="191">
        <v>264.45159999999998</v>
      </c>
      <c r="AJ60" s="191">
        <v>264.04919999999998</v>
      </c>
      <c r="AK60" s="191">
        <v>263.83969999999999</v>
      </c>
      <c r="AL60" s="191">
        <v>263.82060000000001</v>
      </c>
      <c r="AM60" s="191">
        <v>263.78969999999998</v>
      </c>
      <c r="AN60" s="191">
        <v>263.79320000000001</v>
      </c>
      <c r="AO60" s="191">
        <v>263.78859999999997</v>
      </c>
      <c r="AP60" s="191">
        <v>263.76679999999999</v>
      </c>
      <c r="AQ60" s="191">
        <v>263.76119999999997</v>
      </c>
      <c r="AR60" s="191">
        <v>263.78339999999997</v>
      </c>
      <c r="AS60" s="191">
        <v>263.86419999999998</v>
      </c>
      <c r="AT60" s="191">
        <v>263.68950000000001</v>
      </c>
      <c r="AU60" s="191">
        <v>263.67970000000003</v>
      </c>
      <c r="AV60" s="191">
        <v>263.68680000000001</v>
      </c>
      <c r="AW60" s="191">
        <v>263.6662</v>
      </c>
      <c r="AX60" s="191">
        <v>263.65879999999999</v>
      </c>
      <c r="AY60" s="191">
        <v>263.6635</v>
      </c>
      <c r="AZ60" s="191">
        <v>263.67579999999998</v>
      </c>
      <c r="BA60" s="191">
        <v>263.6764</v>
      </c>
      <c r="BB60" s="191">
        <v>263.69729999999998</v>
      </c>
      <c r="BC60" s="191">
        <v>263.70240000000001</v>
      </c>
      <c r="BD60" s="191">
        <v>263.709</v>
      </c>
      <c r="BE60" s="191">
        <v>263.77730000000003</v>
      </c>
      <c r="BF60" s="191">
        <v>263.50130000000001</v>
      </c>
      <c r="BG60" s="191">
        <v>263.23610000000002</v>
      </c>
      <c r="BH60" s="191">
        <v>263.32380000000001</v>
      </c>
      <c r="BI60" s="191">
        <v>263.70269999999999</v>
      </c>
      <c r="BJ60" s="191">
        <v>263.78280000000001</v>
      </c>
      <c r="BK60" s="191">
        <v>263.95339999999999</v>
      </c>
      <c r="BL60" s="191">
        <v>263.19130000000001</v>
      </c>
      <c r="BM60" s="191">
        <v>263.1936</v>
      </c>
      <c r="BN60" s="191">
        <v>263.71890000000002</v>
      </c>
      <c r="BO60" s="191">
        <v>263.82170000000002</v>
      </c>
      <c r="BP60" s="191">
        <v>263.9615</v>
      </c>
      <c r="BQ60" s="191">
        <v>264.13229999999999</v>
      </c>
      <c r="BR60" s="191">
        <v>263.77019999999999</v>
      </c>
      <c r="BS60" s="191">
        <v>263.7296</v>
      </c>
      <c r="BT60" s="191">
        <v>263.64109999999999</v>
      </c>
      <c r="BU60" s="191">
        <v>263.61410000000001</v>
      </c>
      <c r="BV60" s="191">
        <v>263.55279999999999</v>
      </c>
      <c r="BW60" s="191">
        <v>263.67520000000002</v>
      </c>
      <c r="BX60" s="191">
        <v>263.56290000000001</v>
      </c>
      <c r="BY60" s="191">
        <v>263.63420000000002</v>
      </c>
      <c r="BZ60" s="191">
        <v>263.4264</v>
      </c>
      <c r="CA60" s="191">
        <v>263.4522</v>
      </c>
      <c r="CB60" s="191">
        <v>263.45620000000002</v>
      </c>
      <c r="CC60" s="279">
        <v>263.44110000000001</v>
      </c>
      <c r="CD60" s="191">
        <v>263.4033</v>
      </c>
      <c r="CE60" s="191">
        <v>263.38319999999999</v>
      </c>
      <c r="CF60" s="191">
        <v>263.42610000000002</v>
      </c>
      <c r="CG60" s="191">
        <v>263.39850000000001</v>
      </c>
      <c r="CH60" s="191">
        <v>263.40429999999998</v>
      </c>
      <c r="CI60" s="191">
        <v>263.30840000000001</v>
      </c>
      <c r="CJ60" s="191">
        <v>263.30560000000003</v>
      </c>
      <c r="CK60" s="191">
        <v>263.31040000000002</v>
      </c>
      <c r="CL60" s="191">
        <v>263.30500000000001</v>
      </c>
      <c r="CM60" s="191">
        <v>263.2921</v>
      </c>
      <c r="CN60" s="191">
        <v>263.28109999999998</v>
      </c>
      <c r="CO60" s="191">
        <v>263.31889999999999</v>
      </c>
      <c r="CP60" s="191">
        <v>263.29320000000001</v>
      </c>
      <c r="CQ60" s="191">
        <v>263.33659999999998</v>
      </c>
      <c r="CR60" s="191">
        <v>263.30959999999999</v>
      </c>
      <c r="CS60" s="191">
        <v>263.48169999999999</v>
      </c>
      <c r="CT60" s="191">
        <v>263.32940000000002</v>
      </c>
      <c r="CU60" s="191">
        <v>263.21719999999999</v>
      </c>
      <c r="CV60" s="191">
        <v>263.12849999999997</v>
      </c>
      <c r="CW60" s="279">
        <v>263.17149999999998</v>
      </c>
      <c r="CX60" s="191">
        <v>263.18369999999999</v>
      </c>
      <c r="CY60" s="279">
        <v>263.18040000000002</v>
      </c>
      <c r="CZ60" s="191">
        <v>263.23930000000001</v>
      </c>
      <c r="DA60" s="191">
        <v>263.18180000000001</v>
      </c>
      <c r="DB60" s="191">
        <v>263.17869999999999</v>
      </c>
      <c r="DC60" s="191">
        <v>263.221</v>
      </c>
      <c r="DD60" s="191">
        <v>263.13749999999999</v>
      </c>
      <c r="DE60" s="191">
        <v>263.22269999999997</v>
      </c>
      <c r="DF60" s="191">
        <v>263.15839999999997</v>
      </c>
      <c r="DG60" s="191">
        <v>263.13130000000001</v>
      </c>
      <c r="DH60" s="191">
        <v>263.11160000000001</v>
      </c>
      <c r="DI60" s="191">
        <v>263.17309999999998</v>
      </c>
      <c r="DJ60" s="191">
        <v>263.10820000000001</v>
      </c>
      <c r="DK60" s="191">
        <v>263.04570000000001</v>
      </c>
      <c r="DL60" s="191">
        <v>263.14980000000003</v>
      </c>
      <c r="DM60" s="191">
        <v>263.15140000000002</v>
      </c>
      <c r="DN60" s="191">
        <v>263.09649999999999</v>
      </c>
      <c r="DO60" s="191">
        <v>263.11270000000002</v>
      </c>
      <c r="DP60" s="191">
        <v>263.15870000000001</v>
      </c>
      <c r="DQ60" s="191">
        <v>263.15010000000001</v>
      </c>
      <c r="DR60" s="191">
        <v>263.19560000000001</v>
      </c>
      <c r="DS60" s="279">
        <v>263.2183</v>
      </c>
      <c r="DT60" s="191">
        <v>263.15559999999999</v>
      </c>
      <c r="DU60" s="191">
        <v>263.2013</v>
      </c>
      <c r="DV60" s="278">
        <v>263.36329999999998</v>
      </c>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row>
    <row r="61" spans="1:155" ht="45" customHeight="1" x14ac:dyDescent="0.45">
      <c r="A61" s="277">
        <v>300</v>
      </c>
      <c r="B61" s="191"/>
      <c r="C61" s="191"/>
      <c r="D61" s="191"/>
      <c r="E61" s="278">
        <v>263.69600000000003</v>
      </c>
      <c r="F61" s="279">
        <v>263.70319999999998</v>
      </c>
      <c r="G61" s="191">
        <v>263.68290000000002</v>
      </c>
      <c r="H61" s="191">
        <v>263.72629999999998</v>
      </c>
      <c r="I61" s="191">
        <v>263.7833</v>
      </c>
      <c r="J61" s="191">
        <v>263.7824</v>
      </c>
      <c r="K61" s="191">
        <v>263.87310000000002</v>
      </c>
      <c r="L61" s="191">
        <v>263.94299999999998</v>
      </c>
      <c r="M61" s="191">
        <v>263.92809999999997</v>
      </c>
      <c r="N61" s="191">
        <v>263.95679999999999</v>
      </c>
      <c r="O61" s="191">
        <v>263.95690000000002</v>
      </c>
      <c r="P61" s="191">
        <v>263.82530000000003</v>
      </c>
      <c r="Q61" s="191">
        <v>263.82389999999998</v>
      </c>
      <c r="R61" s="191">
        <v>263.81630000000001</v>
      </c>
      <c r="S61" s="191">
        <v>263.8125</v>
      </c>
      <c r="T61" s="191">
        <v>263.79610000000002</v>
      </c>
      <c r="U61" s="191">
        <v>263.80810000000002</v>
      </c>
      <c r="V61" s="191">
        <v>263.7765</v>
      </c>
      <c r="W61" s="191">
        <v>263.78570000000002</v>
      </c>
      <c r="X61" s="191">
        <v>263.80630000000002</v>
      </c>
      <c r="Y61" s="279">
        <v>263.81389999999999</v>
      </c>
      <c r="Z61" s="191">
        <v>263.83679999999998</v>
      </c>
      <c r="AA61" s="191">
        <v>263.85469999999998</v>
      </c>
      <c r="AB61" s="191">
        <v>263.85239999999999</v>
      </c>
      <c r="AC61" s="191">
        <v>263.84339999999997</v>
      </c>
      <c r="AD61" s="191">
        <v>263.84309999999999</v>
      </c>
      <c r="AE61" s="191">
        <v>264.00940000000003</v>
      </c>
      <c r="AF61" s="191">
        <v>264.04360000000003</v>
      </c>
      <c r="AG61" s="191">
        <v>264.0942</v>
      </c>
      <c r="AH61" s="191">
        <v>263.85899999999998</v>
      </c>
      <c r="AI61" s="191">
        <v>263.84289999999999</v>
      </c>
      <c r="AJ61" s="191">
        <v>263.85680000000002</v>
      </c>
      <c r="AK61" s="191">
        <v>263.82929999999999</v>
      </c>
      <c r="AL61" s="191">
        <v>263.82670000000002</v>
      </c>
      <c r="AM61" s="191">
        <v>263.81490000000002</v>
      </c>
      <c r="AN61" s="191">
        <v>263.79860000000002</v>
      </c>
      <c r="AO61" s="191">
        <v>263.79149999999998</v>
      </c>
      <c r="AP61" s="191">
        <v>263.77679999999998</v>
      </c>
      <c r="AQ61" s="191">
        <v>263.76299999999998</v>
      </c>
      <c r="AR61" s="191">
        <v>263.75040000000001</v>
      </c>
      <c r="AS61" s="191">
        <v>263.92599999999999</v>
      </c>
      <c r="AT61" s="191">
        <v>263.63600000000002</v>
      </c>
      <c r="AU61" s="191">
        <v>263.6893</v>
      </c>
      <c r="AV61" s="191">
        <v>263.69819999999999</v>
      </c>
      <c r="AW61" s="191">
        <v>263.67160000000001</v>
      </c>
      <c r="AX61" s="191">
        <v>263.68110000000001</v>
      </c>
      <c r="AY61" s="191">
        <v>263.65570000000002</v>
      </c>
      <c r="AZ61" s="191">
        <v>263.6635</v>
      </c>
      <c r="BA61" s="191">
        <v>263.64640000000003</v>
      </c>
      <c r="BB61" s="191">
        <v>263.66469999999998</v>
      </c>
      <c r="BC61" s="191">
        <v>263.68349999999998</v>
      </c>
      <c r="BD61" s="191">
        <v>263.68380000000002</v>
      </c>
      <c r="BE61" s="191">
        <v>263.83240000000001</v>
      </c>
      <c r="BF61" s="191">
        <v>263.86430000000001</v>
      </c>
      <c r="BG61" s="191">
        <v>263.90260000000001</v>
      </c>
      <c r="BH61" s="191">
        <v>263.78359999999998</v>
      </c>
      <c r="BI61" s="191">
        <v>263.72660000000002</v>
      </c>
      <c r="BJ61" s="191">
        <v>263.72430000000003</v>
      </c>
      <c r="BK61" s="191">
        <v>263.69290000000001</v>
      </c>
      <c r="BL61" s="191">
        <v>263.85309999999998</v>
      </c>
      <c r="BM61" s="191">
        <v>263.7106</v>
      </c>
      <c r="BN61" s="191">
        <v>263.70699999999999</v>
      </c>
      <c r="BO61" s="191">
        <v>263.8048</v>
      </c>
      <c r="BP61" s="191">
        <v>263.9624</v>
      </c>
      <c r="BQ61" s="191">
        <v>264.05259999999998</v>
      </c>
      <c r="BR61" s="191">
        <v>263.99740000000003</v>
      </c>
      <c r="BS61" s="191">
        <v>263.85649999999998</v>
      </c>
      <c r="BT61" s="191">
        <v>263.85910000000001</v>
      </c>
      <c r="BU61" s="191">
        <v>263.5188</v>
      </c>
      <c r="BV61" s="191">
        <v>263.48579999999998</v>
      </c>
      <c r="BW61" s="191">
        <v>263.47519999999997</v>
      </c>
      <c r="BX61" s="191">
        <v>263.48059999999998</v>
      </c>
      <c r="BY61" s="191">
        <v>263.49259999999998</v>
      </c>
      <c r="BZ61" s="191">
        <v>263.45080000000002</v>
      </c>
      <c r="CA61" s="191">
        <v>263.46080000000001</v>
      </c>
      <c r="CB61" s="191">
        <v>263.45740000000001</v>
      </c>
      <c r="CC61" s="279">
        <v>263.43329999999997</v>
      </c>
      <c r="CD61" s="191">
        <v>263.42180000000002</v>
      </c>
      <c r="CE61" s="191">
        <v>263.40320000000003</v>
      </c>
      <c r="CF61" s="191">
        <v>263.41649999999998</v>
      </c>
      <c r="CG61" s="191">
        <v>263.42500000000001</v>
      </c>
      <c r="CH61" s="191">
        <v>263.41640000000001</v>
      </c>
      <c r="CI61" s="191">
        <v>263.322</v>
      </c>
      <c r="CJ61" s="191">
        <v>263.31470000000002</v>
      </c>
      <c r="CK61" s="191">
        <v>263.31479999999999</v>
      </c>
      <c r="CL61" s="191">
        <v>263.30919999999998</v>
      </c>
      <c r="CM61" s="191">
        <v>263.3057</v>
      </c>
      <c r="CN61" s="191">
        <v>263.30079999999998</v>
      </c>
      <c r="CO61" s="191">
        <v>263.28609999999998</v>
      </c>
      <c r="CP61" s="191">
        <v>263.26209999999998</v>
      </c>
      <c r="CQ61" s="191">
        <v>263.3039</v>
      </c>
      <c r="CR61" s="191">
        <v>263.16699999999997</v>
      </c>
      <c r="CS61" s="191">
        <v>263.23219999999998</v>
      </c>
      <c r="CT61" s="191">
        <v>263.16469999999998</v>
      </c>
      <c r="CU61" s="191">
        <v>263.23399999999998</v>
      </c>
      <c r="CV61" s="191">
        <v>263.16640000000001</v>
      </c>
      <c r="CW61" s="279">
        <v>263.16129999999998</v>
      </c>
      <c r="CX61" s="191">
        <v>263.14010000000002</v>
      </c>
      <c r="CY61" s="279">
        <v>263.13529999999997</v>
      </c>
      <c r="CZ61" s="191">
        <v>263.1087</v>
      </c>
      <c r="DA61" s="191">
        <v>263.1703</v>
      </c>
      <c r="DB61" s="191">
        <v>262.98480000000001</v>
      </c>
      <c r="DC61" s="191">
        <v>263.14749999999998</v>
      </c>
      <c r="DD61" s="191">
        <v>263.14240000000001</v>
      </c>
      <c r="DE61" s="191">
        <v>263.21469999999999</v>
      </c>
      <c r="DF61" s="191">
        <v>263.16199999999998</v>
      </c>
      <c r="DG61" s="191">
        <v>263.1909</v>
      </c>
      <c r="DH61" s="191">
        <v>263.06180000000001</v>
      </c>
      <c r="DI61" s="191">
        <v>263.13929999999999</v>
      </c>
      <c r="DJ61" s="191">
        <v>263.13529999999997</v>
      </c>
      <c r="DK61" s="191">
        <v>262.98050000000001</v>
      </c>
      <c r="DL61" s="191">
        <v>263.0489</v>
      </c>
      <c r="DM61" s="191">
        <v>263.08080000000001</v>
      </c>
      <c r="DN61" s="191">
        <v>263.09690000000001</v>
      </c>
      <c r="DO61" s="191">
        <v>263.05090000000001</v>
      </c>
      <c r="DP61" s="191">
        <v>263.19380000000001</v>
      </c>
      <c r="DQ61" s="191">
        <v>263.24529999999999</v>
      </c>
      <c r="DR61" s="191">
        <v>263.2586</v>
      </c>
      <c r="DS61" s="279">
        <v>263.20339999999999</v>
      </c>
      <c r="DT61" s="191">
        <v>263.27550000000002</v>
      </c>
      <c r="DU61" s="191">
        <v>263.26490000000001</v>
      </c>
      <c r="DV61" s="278">
        <v>263.29899999999998</v>
      </c>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row>
    <row r="62" spans="1:155" ht="45" customHeight="1" x14ac:dyDescent="0.45">
      <c r="A62" s="277">
        <v>305</v>
      </c>
      <c r="B62" s="191"/>
      <c r="C62" s="191"/>
      <c r="D62" s="191"/>
      <c r="E62" s="278">
        <v>263.87939999999998</v>
      </c>
      <c r="F62" s="279">
        <v>263.84129999999999</v>
      </c>
      <c r="G62" s="279">
        <v>263.8014</v>
      </c>
      <c r="H62" s="279">
        <v>263.81599999999997</v>
      </c>
      <c r="I62" s="279">
        <v>263.81459999999998</v>
      </c>
      <c r="J62" s="279">
        <v>263.79000000000002</v>
      </c>
      <c r="K62" s="279">
        <v>263.80540000000002</v>
      </c>
      <c r="L62" s="279">
        <v>263.81569999999999</v>
      </c>
      <c r="M62" s="279">
        <v>263.79000000000002</v>
      </c>
      <c r="N62" s="279">
        <v>263.8673</v>
      </c>
      <c r="O62" s="279">
        <v>263.89089999999999</v>
      </c>
      <c r="P62" s="279">
        <v>263.84750000000003</v>
      </c>
      <c r="Q62" s="279">
        <v>263.84780000000001</v>
      </c>
      <c r="R62" s="279">
        <v>263.85649999999998</v>
      </c>
      <c r="S62" s="279">
        <v>263.83909999999997</v>
      </c>
      <c r="T62" s="279">
        <v>263.82479999999998</v>
      </c>
      <c r="U62" s="279">
        <v>263.7878</v>
      </c>
      <c r="V62" s="279">
        <v>263.78140000000002</v>
      </c>
      <c r="W62" s="279">
        <v>263.78030000000001</v>
      </c>
      <c r="X62" s="279">
        <v>263.76</v>
      </c>
      <c r="Y62" s="279">
        <v>263.77730000000003</v>
      </c>
      <c r="Z62" s="191">
        <v>263.9085</v>
      </c>
      <c r="AA62" s="279">
        <v>263.87759999999997</v>
      </c>
      <c r="AB62" s="279">
        <v>263.81119999999999</v>
      </c>
      <c r="AC62" s="279">
        <v>264.17500000000001</v>
      </c>
      <c r="AD62" s="279">
        <v>264.48849999999999</v>
      </c>
      <c r="AE62" s="279">
        <v>264.02370000000002</v>
      </c>
      <c r="AF62" s="279">
        <v>263.81950000000001</v>
      </c>
      <c r="AG62" s="279">
        <v>263.8091</v>
      </c>
      <c r="AH62" s="279">
        <v>263.80579999999998</v>
      </c>
      <c r="AI62" s="279">
        <v>263.80250000000001</v>
      </c>
      <c r="AJ62" s="279">
        <v>263.80590000000001</v>
      </c>
      <c r="AK62" s="279">
        <v>263.81009999999998</v>
      </c>
      <c r="AL62" s="279">
        <v>263.80509999999998</v>
      </c>
      <c r="AM62" s="279">
        <v>263.8091</v>
      </c>
      <c r="AN62" s="279">
        <v>263.79590000000002</v>
      </c>
      <c r="AO62" s="279">
        <v>263.80509999999998</v>
      </c>
      <c r="AP62" s="279">
        <v>263.77510000000001</v>
      </c>
      <c r="AQ62" s="279">
        <v>263.76429999999999</v>
      </c>
      <c r="AR62" s="279">
        <v>263.7851</v>
      </c>
      <c r="AS62" s="279">
        <v>263.82429999999999</v>
      </c>
      <c r="AT62" s="279">
        <v>263.64170000000001</v>
      </c>
      <c r="AU62" s="279">
        <v>263.64690000000002</v>
      </c>
      <c r="AV62" s="191">
        <v>263.68619999999999</v>
      </c>
      <c r="AW62" s="191">
        <v>263.67910000000001</v>
      </c>
      <c r="AX62" s="191">
        <v>263.66860000000003</v>
      </c>
      <c r="AY62" s="191">
        <v>263.67160000000001</v>
      </c>
      <c r="AZ62" s="191">
        <v>263.65789999999998</v>
      </c>
      <c r="BA62" s="191">
        <v>263.66149999999999</v>
      </c>
      <c r="BB62" s="191">
        <v>263.66180000000003</v>
      </c>
      <c r="BC62" s="191">
        <v>263.65440000000001</v>
      </c>
      <c r="BD62" s="191">
        <v>263.63690000000003</v>
      </c>
      <c r="BE62" s="191">
        <v>263.71530000000001</v>
      </c>
      <c r="BF62" s="191">
        <v>263.83929999999998</v>
      </c>
      <c r="BG62" s="191">
        <v>263.93060000000003</v>
      </c>
      <c r="BH62" s="191">
        <v>263.7396</v>
      </c>
      <c r="BI62" s="191">
        <v>263.79860000000002</v>
      </c>
      <c r="BJ62" s="191">
        <v>263.74979999999999</v>
      </c>
      <c r="BK62" s="191">
        <v>263.72269999999997</v>
      </c>
      <c r="BL62" s="191">
        <v>263.72039999999998</v>
      </c>
      <c r="BM62" s="191">
        <v>263.70760000000001</v>
      </c>
      <c r="BN62" s="191">
        <v>263.71620000000001</v>
      </c>
      <c r="BO62" s="191">
        <v>263.73910000000001</v>
      </c>
      <c r="BP62" s="191">
        <v>263.86059999999998</v>
      </c>
      <c r="BQ62" s="191">
        <v>264.02289999999999</v>
      </c>
      <c r="BR62" s="191">
        <v>264.21170000000001</v>
      </c>
      <c r="BS62" s="191">
        <v>264.178</v>
      </c>
      <c r="BT62" s="191">
        <v>263.98939999999999</v>
      </c>
      <c r="BU62" s="191">
        <v>263.51799999999997</v>
      </c>
      <c r="BV62" s="191">
        <v>263.51569999999998</v>
      </c>
      <c r="BW62" s="191">
        <v>263.505</v>
      </c>
      <c r="BX62" s="191">
        <v>263.48919999999998</v>
      </c>
      <c r="BY62" s="191">
        <v>263.50209999999998</v>
      </c>
      <c r="BZ62" s="191">
        <v>263.37860000000001</v>
      </c>
      <c r="CA62" s="191">
        <v>263.43560000000002</v>
      </c>
      <c r="CB62" s="191">
        <v>263.44229999999999</v>
      </c>
      <c r="CC62" s="279">
        <v>263.43430000000001</v>
      </c>
      <c r="CD62" s="191">
        <v>263.44760000000002</v>
      </c>
      <c r="CE62" s="191">
        <v>263.44310000000002</v>
      </c>
      <c r="CF62" s="191">
        <v>263.44290000000001</v>
      </c>
      <c r="CG62" s="191">
        <v>263.44349999999997</v>
      </c>
      <c r="CH62" s="191">
        <v>263.45499999999998</v>
      </c>
      <c r="CI62" s="191">
        <v>263.3329</v>
      </c>
      <c r="CJ62" s="191">
        <v>263.32900000000001</v>
      </c>
      <c r="CK62" s="191">
        <v>263.3175</v>
      </c>
      <c r="CL62" s="191">
        <v>263.32810000000001</v>
      </c>
      <c r="CM62" s="191">
        <v>263.31349999999998</v>
      </c>
      <c r="CN62" s="191">
        <v>263.31119999999999</v>
      </c>
      <c r="CO62" s="191">
        <v>263.29430000000002</v>
      </c>
      <c r="CP62" s="191">
        <v>263.27730000000003</v>
      </c>
      <c r="CQ62" s="191">
        <v>263.298</v>
      </c>
      <c r="CR62" s="191">
        <v>263.25569999999999</v>
      </c>
      <c r="CS62" s="191">
        <v>263.38200000000001</v>
      </c>
      <c r="CT62" s="191">
        <v>263.31040000000002</v>
      </c>
      <c r="CU62" s="191">
        <v>263.3331</v>
      </c>
      <c r="CV62" s="191">
        <v>263.3306</v>
      </c>
      <c r="CW62" s="279">
        <v>263.2946</v>
      </c>
      <c r="CX62" s="191">
        <v>263.1977</v>
      </c>
      <c r="CY62" s="279">
        <v>263.19940000000003</v>
      </c>
      <c r="CZ62" s="191">
        <v>263.14870000000002</v>
      </c>
      <c r="DA62" s="191">
        <v>263.18400000000003</v>
      </c>
      <c r="DB62" s="191">
        <v>263.23660000000001</v>
      </c>
      <c r="DC62" s="191">
        <v>263.17829999999998</v>
      </c>
      <c r="DD62" s="191">
        <v>263.20850000000002</v>
      </c>
      <c r="DE62" s="191">
        <v>263.28899999999999</v>
      </c>
      <c r="DF62" s="191">
        <v>263.15280000000001</v>
      </c>
      <c r="DG62" s="191">
        <v>263.0727</v>
      </c>
      <c r="DH62" s="191">
        <v>263.01100000000002</v>
      </c>
      <c r="DI62" s="191">
        <v>263.00810000000001</v>
      </c>
      <c r="DJ62" s="191">
        <v>262.9982</v>
      </c>
      <c r="DK62" s="191">
        <v>263.0367</v>
      </c>
      <c r="DL62" s="191">
        <v>263.14569999999998</v>
      </c>
      <c r="DM62" s="191">
        <v>263.07760000000002</v>
      </c>
      <c r="DN62" s="191">
        <v>263.2022</v>
      </c>
      <c r="DO62" s="191">
        <v>262.97269999999997</v>
      </c>
      <c r="DP62" s="191">
        <v>263.13420000000002</v>
      </c>
      <c r="DQ62" s="191">
        <v>263.22370000000001</v>
      </c>
      <c r="DR62" s="191">
        <v>263.23430000000002</v>
      </c>
      <c r="DS62" s="279">
        <v>263.27719999999999</v>
      </c>
      <c r="DT62" s="191">
        <v>263.44929999999999</v>
      </c>
      <c r="DU62" s="191">
        <v>263.28309999999999</v>
      </c>
      <c r="DV62" s="191">
        <v>263.42970000000003</v>
      </c>
      <c r="DW62" s="278">
        <v>263.23289999999997</v>
      </c>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row>
    <row r="63" spans="1:155" ht="45" customHeight="1" x14ac:dyDescent="0.45">
      <c r="A63" s="277">
        <v>310</v>
      </c>
      <c r="B63" s="191"/>
      <c r="C63" s="191"/>
      <c r="D63" s="191"/>
      <c r="E63" s="278">
        <v>263.95030000000003</v>
      </c>
      <c r="F63" s="191">
        <v>263.79349999999999</v>
      </c>
      <c r="G63" s="191">
        <v>263.80509999999998</v>
      </c>
      <c r="H63" s="191">
        <v>263.79270000000002</v>
      </c>
      <c r="I63" s="191">
        <v>263.83940000000001</v>
      </c>
      <c r="J63" s="191">
        <v>263.82350000000002</v>
      </c>
      <c r="K63" s="191">
        <v>263.82060000000001</v>
      </c>
      <c r="L63" s="191">
        <v>263.87470000000002</v>
      </c>
      <c r="M63" s="191">
        <v>263.78399999999999</v>
      </c>
      <c r="N63" s="191">
        <v>263.92009999999999</v>
      </c>
      <c r="O63" s="191">
        <v>263.85629999999998</v>
      </c>
      <c r="P63" s="191">
        <v>263.86610000000002</v>
      </c>
      <c r="Q63" s="191">
        <v>263.84719999999999</v>
      </c>
      <c r="R63" s="191">
        <v>263.85739999999998</v>
      </c>
      <c r="S63" s="191">
        <v>263.85140000000001</v>
      </c>
      <c r="T63" s="191">
        <v>263.85340000000002</v>
      </c>
      <c r="U63" s="191">
        <v>263.8297</v>
      </c>
      <c r="V63" s="191">
        <v>263.82130000000001</v>
      </c>
      <c r="W63" s="191">
        <v>263.80939999999998</v>
      </c>
      <c r="X63" s="191">
        <v>263.8073</v>
      </c>
      <c r="Y63" s="191">
        <v>263.79480000000001</v>
      </c>
      <c r="Z63" s="191">
        <v>264.28629999999998</v>
      </c>
      <c r="AA63" s="279">
        <v>264.6703</v>
      </c>
      <c r="AB63" s="191">
        <v>264.51389999999998</v>
      </c>
      <c r="AC63" s="191">
        <v>263.90089999999998</v>
      </c>
      <c r="AD63" s="191">
        <v>263.7833</v>
      </c>
      <c r="AE63" s="191">
        <v>263.80829999999997</v>
      </c>
      <c r="AF63" s="191">
        <v>263.79489999999998</v>
      </c>
      <c r="AG63" s="191">
        <v>263.79599999999999</v>
      </c>
      <c r="AH63" s="191">
        <v>263.78739999999999</v>
      </c>
      <c r="AI63" s="191">
        <v>263.7971</v>
      </c>
      <c r="AJ63" s="191">
        <v>263.78809999999999</v>
      </c>
      <c r="AK63" s="191">
        <v>263.803</v>
      </c>
      <c r="AL63" s="191">
        <v>263.7955</v>
      </c>
      <c r="AM63" s="191">
        <v>263.80950000000001</v>
      </c>
      <c r="AN63" s="191">
        <v>263.81380000000001</v>
      </c>
      <c r="AO63" s="191">
        <v>263.81450000000001</v>
      </c>
      <c r="AP63" s="191">
        <v>263.82209999999998</v>
      </c>
      <c r="AQ63" s="191">
        <v>263.7903</v>
      </c>
      <c r="AR63" s="191">
        <v>263.81099999999998</v>
      </c>
      <c r="AS63" s="191">
        <v>263.85410000000002</v>
      </c>
      <c r="AT63" s="191">
        <v>263.66609999999997</v>
      </c>
      <c r="AU63" s="279">
        <v>263.6825</v>
      </c>
      <c r="AV63" s="191">
        <v>263.6601</v>
      </c>
      <c r="AW63" s="191">
        <v>263.68950000000001</v>
      </c>
      <c r="AX63" s="191">
        <v>263.69240000000002</v>
      </c>
      <c r="AY63" s="191">
        <v>263.66520000000003</v>
      </c>
      <c r="AZ63" s="191">
        <v>263.67689999999999</v>
      </c>
      <c r="BA63" s="191">
        <v>263.69159999999999</v>
      </c>
      <c r="BB63" s="191">
        <v>263.67489999999998</v>
      </c>
      <c r="BC63" s="191">
        <v>263.69110000000001</v>
      </c>
      <c r="BD63" s="191">
        <v>263.66919999999999</v>
      </c>
      <c r="BE63" s="191">
        <v>263.68049999999999</v>
      </c>
      <c r="BF63" s="191">
        <v>263.68169999999998</v>
      </c>
      <c r="BG63" s="191">
        <v>263.76190000000003</v>
      </c>
      <c r="BH63" s="191">
        <v>263.71460000000002</v>
      </c>
      <c r="BI63" s="191">
        <v>263.72919999999999</v>
      </c>
      <c r="BJ63" s="191">
        <v>263.73500000000001</v>
      </c>
      <c r="BK63" s="191">
        <v>263.72210000000001</v>
      </c>
      <c r="BL63" s="191">
        <v>263.73489999999998</v>
      </c>
      <c r="BM63" s="191">
        <v>263.72629999999998</v>
      </c>
      <c r="BN63" s="191">
        <v>263.72539999999998</v>
      </c>
      <c r="BO63" s="191">
        <v>263.7346</v>
      </c>
      <c r="BP63" s="191">
        <v>263.86349999999999</v>
      </c>
      <c r="BQ63" s="191">
        <v>264.02420000000001</v>
      </c>
      <c r="BR63" s="191">
        <v>264.11739999999998</v>
      </c>
      <c r="BS63" s="191">
        <v>264.0684</v>
      </c>
      <c r="BT63" s="191">
        <v>264.03109999999998</v>
      </c>
      <c r="BU63" s="191">
        <v>263.56079999999997</v>
      </c>
      <c r="BV63" s="191">
        <v>263.54610000000002</v>
      </c>
      <c r="BW63" s="191">
        <v>263.52260000000001</v>
      </c>
      <c r="BX63" s="191">
        <v>263.49259999999998</v>
      </c>
      <c r="BY63" s="191">
        <v>263.45280000000002</v>
      </c>
      <c r="BZ63" s="191">
        <v>263.44850000000002</v>
      </c>
      <c r="CA63" s="191">
        <v>263.39839999999998</v>
      </c>
      <c r="CB63" s="191">
        <v>263.41789999999997</v>
      </c>
      <c r="CC63" s="279">
        <v>263.435</v>
      </c>
      <c r="CD63" s="191">
        <v>263.46510000000001</v>
      </c>
      <c r="CE63" s="191">
        <v>263.43459999999999</v>
      </c>
      <c r="CF63" s="191">
        <v>263.43779999999998</v>
      </c>
      <c r="CG63" s="191">
        <v>263.46260000000001</v>
      </c>
      <c r="CH63" s="191">
        <v>263.48110000000003</v>
      </c>
      <c r="CI63" s="191">
        <v>263.35829999999999</v>
      </c>
      <c r="CJ63" s="191">
        <v>263.32850000000002</v>
      </c>
      <c r="CK63" s="191">
        <v>263.32440000000003</v>
      </c>
      <c r="CL63" s="191">
        <v>263.34460000000001</v>
      </c>
      <c r="CM63" s="191">
        <v>263.33859999999999</v>
      </c>
      <c r="CN63" s="191">
        <v>263.31889999999999</v>
      </c>
      <c r="CO63" s="191">
        <v>263.31479999999999</v>
      </c>
      <c r="CP63" s="191">
        <v>263.2971</v>
      </c>
      <c r="CQ63" s="191">
        <v>263.28570000000002</v>
      </c>
      <c r="CR63" s="191">
        <v>263.32389999999998</v>
      </c>
      <c r="CS63" s="191">
        <v>263.28399999999999</v>
      </c>
      <c r="CT63" s="191">
        <v>263.29520000000002</v>
      </c>
      <c r="CU63" s="191">
        <v>263.23390000000001</v>
      </c>
      <c r="CV63" s="191">
        <v>263.274</v>
      </c>
      <c r="CW63" s="279">
        <v>263.26029999999997</v>
      </c>
      <c r="CX63" s="191">
        <v>263.19380000000001</v>
      </c>
      <c r="CY63" s="279">
        <v>263.08339999999998</v>
      </c>
      <c r="CZ63" s="191">
        <v>263.05349999999999</v>
      </c>
      <c r="DA63" s="191">
        <v>263.03640000000001</v>
      </c>
      <c r="DB63" s="191">
        <v>263.03449999999998</v>
      </c>
      <c r="DC63" s="191">
        <v>263.02100000000002</v>
      </c>
      <c r="DD63" s="191">
        <v>262.99979999999999</v>
      </c>
      <c r="DE63" s="191">
        <v>263.02</v>
      </c>
      <c r="DF63" s="191">
        <v>263.11649999999997</v>
      </c>
      <c r="DG63" s="191">
        <v>263.07190000000003</v>
      </c>
      <c r="DH63" s="191">
        <v>263.05939999999998</v>
      </c>
      <c r="DI63" s="191">
        <v>263.14370000000002</v>
      </c>
      <c r="DJ63" s="191">
        <v>263.06180000000001</v>
      </c>
      <c r="DK63" s="191">
        <v>263.12369999999999</v>
      </c>
      <c r="DL63" s="191">
        <v>263.0899</v>
      </c>
      <c r="DM63" s="191">
        <v>263.06709999999998</v>
      </c>
      <c r="DN63" s="191">
        <v>263.07839999999999</v>
      </c>
      <c r="DO63" s="191">
        <v>263.03399999999999</v>
      </c>
      <c r="DP63" s="191">
        <v>263.12200000000001</v>
      </c>
      <c r="DQ63" s="191">
        <v>263.07049999999998</v>
      </c>
      <c r="DR63" s="191">
        <v>263.28219999999999</v>
      </c>
      <c r="DS63" s="279">
        <v>263.24669999999998</v>
      </c>
      <c r="DT63" s="191">
        <v>263.30880000000002</v>
      </c>
      <c r="DU63" s="191">
        <v>263.2672</v>
      </c>
      <c r="DV63" s="191">
        <v>263.40359999999998</v>
      </c>
      <c r="DW63" s="278">
        <v>263.45339999999999</v>
      </c>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row>
    <row r="64" spans="1:155" ht="45" customHeight="1" x14ac:dyDescent="0.45">
      <c r="A64" s="277">
        <v>315</v>
      </c>
      <c r="B64" s="191"/>
      <c r="C64" s="191"/>
      <c r="D64" s="191"/>
      <c r="E64" s="278">
        <v>263.89510000000001</v>
      </c>
      <c r="F64" s="191">
        <v>263.79180000000002</v>
      </c>
      <c r="G64" s="191">
        <v>263.78489999999999</v>
      </c>
      <c r="H64" s="191">
        <v>263.80829999999997</v>
      </c>
      <c r="I64" s="191">
        <v>263.82819999999998</v>
      </c>
      <c r="J64" s="191">
        <v>263.81920000000002</v>
      </c>
      <c r="K64" s="191">
        <v>263.82190000000003</v>
      </c>
      <c r="L64" s="191">
        <v>263.83</v>
      </c>
      <c r="M64" s="191">
        <v>263.82799999999997</v>
      </c>
      <c r="N64" s="191">
        <v>263.88159999999999</v>
      </c>
      <c r="O64" s="191">
        <v>263.83569999999997</v>
      </c>
      <c r="P64" s="191">
        <v>263.8356</v>
      </c>
      <c r="Q64" s="191">
        <v>263.83100000000002</v>
      </c>
      <c r="R64" s="191">
        <v>263.86009999999999</v>
      </c>
      <c r="S64" s="191">
        <v>263.81450000000001</v>
      </c>
      <c r="T64" s="191">
        <v>263.84640000000002</v>
      </c>
      <c r="U64" s="191">
        <v>263.8562</v>
      </c>
      <c r="V64" s="191">
        <v>263.85739999999998</v>
      </c>
      <c r="W64" s="191">
        <v>263.83800000000002</v>
      </c>
      <c r="X64" s="191">
        <v>263.9049</v>
      </c>
      <c r="Y64" s="191">
        <v>264.86079999999998</v>
      </c>
      <c r="Z64" s="191">
        <v>264.59359999999998</v>
      </c>
      <c r="AA64" s="279">
        <v>263.89030000000002</v>
      </c>
      <c r="AB64" s="191">
        <v>263.78710000000001</v>
      </c>
      <c r="AC64" s="191">
        <v>263.78550000000001</v>
      </c>
      <c r="AD64" s="191">
        <v>263.79730000000001</v>
      </c>
      <c r="AE64" s="191">
        <v>263.7783</v>
      </c>
      <c r="AF64" s="191">
        <v>263.78289999999998</v>
      </c>
      <c r="AG64" s="191">
        <v>263.79320000000001</v>
      </c>
      <c r="AH64" s="191">
        <v>263.7654</v>
      </c>
      <c r="AI64" s="191">
        <v>263.78960000000001</v>
      </c>
      <c r="AJ64" s="191">
        <v>263.80070000000001</v>
      </c>
      <c r="AK64" s="191">
        <v>263.80020000000002</v>
      </c>
      <c r="AL64" s="191">
        <v>263.81</v>
      </c>
      <c r="AM64" s="191">
        <v>263.80149999999998</v>
      </c>
      <c r="AN64" s="191">
        <v>263.80889999999999</v>
      </c>
      <c r="AO64" s="191">
        <v>263.82130000000001</v>
      </c>
      <c r="AP64" s="191">
        <v>263.82929999999999</v>
      </c>
      <c r="AQ64" s="191">
        <v>263.83089999999999</v>
      </c>
      <c r="AR64" s="191">
        <v>263.82220000000001</v>
      </c>
      <c r="AS64" s="191">
        <v>263.86320000000001</v>
      </c>
      <c r="AT64" s="191">
        <v>263.68799999999999</v>
      </c>
      <c r="AU64" s="279">
        <v>263.70870000000002</v>
      </c>
      <c r="AV64" s="191">
        <v>263.66980000000001</v>
      </c>
      <c r="AW64" s="191">
        <v>263.6936</v>
      </c>
      <c r="AX64" s="191">
        <v>263.70060000000001</v>
      </c>
      <c r="AY64" s="191">
        <v>263.6782</v>
      </c>
      <c r="AZ64" s="191">
        <v>263.67610000000002</v>
      </c>
      <c r="BA64" s="191">
        <v>263.69869999999997</v>
      </c>
      <c r="BB64" s="191">
        <v>263.69380000000001</v>
      </c>
      <c r="BC64" s="191">
        <v>263.68700000000001</v>
      </c>
      <c r="BD64" s="191">
        <v>263.68369999999999</v>
      </c>
      <c r="BE64" s="191">
        <v>263.7088</v>
      </c>
      <c r="BF64" s="191">
        <v>263.68740000000003</v>
      </c>
      <c r="BG64" s="191">
        <v>263.68459999999999</v>
      </c>
      <c r="BH64" s="191">
        <v>263.71300000000002</v>
      </c>
      <c r="BI64" s="191">
        <v>263.69110000000001</v>
      </c>
      <c r="BJ64" s="191">
        <v>263.69690000000003</v>
      </c>
      <c r="BK64" s="191">
        <v>263.73570000000001</v>
      </c>
      <c r="BL64" s="191">
        <v>263.74900000000002</v>
      </c>
      <c r="BM64" s="191">
        <v>263.75810000000001</v>
      </c>
      <c r="BN64" s="191">
        <v>263.75110000000001</v>
      </c>
      <c r="BO64" s="191">
        <v>263.7629</v>
      </c>
      <c r="BP64" s="191">
        <v>263.78840000000002</v>
      </c>
      <c r="BQ64" s="191">
        <v>263.87090000000001</v>
      </c>
      <c r="BR64" s="191">
        <v>263.95249999999999</v>
      </c>
      <c r="BS64" s="191">
        <v>264.01740000000001</v>
      </c>
      <c r="BT64" s="191">
        <v>264.00959999999998</v>
      </c>
      <c r="BU64" s="191">
        <v>263.62180000000001</v>
      </c>
      <c r="BV64" s="191">
        <v>263.61810000000003</v>
      </c>
      <c r="BW64" s="191">
        <v>263.59010000000001</v>
      </c>
      <c r="BX64" s="191">
        <v>263.6103</v>
      </c>
      <c r="BY64" s="191">
        <v>263.50290000000001</v>
      </c>
      <c r="BZ64" s="191">
        <v>263.45330000000001</v>
      </c>
      <c r="CA64" s="191">
        <v>263.44560000000001</v>
      </c>
      <c r="CB64" s="191">
        <v>263.44380000000001</v>
      </c>
      <c r="CC64" s="279">
        <v>263.44200000000001</v>
      </c>
      <c r="CD64" s="279">
        <v>263.47379999999998</v>
      </c>
      <c r="CE64" s="279">
        <v>263.46050000000002</v>
      </c>
      <c r="CF64" s="279">
        <v>263.45139999999998</v>
      </c>
      <c r="CG64" s="279">
        <v>263.47399999999999</v>
      </c>
      <c r="CH64" s="279">
        <v>263.47620000000001</v>
      </c>
      <c r="CI64" s="279">
        <v>263.35239999999999</v>
      </c>
      <c r="CJ64" s="279">
        <v>263.35390000000001</v>
      </c>
      <c r="CK64" s="279">
        <v>263.3297</v>
      </c>
      <c r="CL64" s="279">
        <v>263.34589999999997</v>
      </c>
      <c r="CM64" s="279">
        <v>263.35180000000003</v>
      </c>
      <c r="CN64" s="279">
        <v>263.32299999999998</v>
      </c>
      <c r="CO64" s="279">
        <v>263.34249999999997</v>
      </c>
      <c r="CP64" s="279">
        <v>263.32600000000002</v>
      </c>
      <c r="CQ64" s="279">
        <v>263.31740000000002</v>
      </c>
      <c r="CR64" s="279">
        <v>263.3503</v>
      </c>
      <c r="CS64" s="279">
        <v>263.14449999999999</v>
      </c>
      <c r="CT64" s="279">
        <v>263.14069999999998</v>
      </c>
      <c r="CU64" s="279">
        <v>263.18869999999998</v>
      </c>
      <c r="CV64" s="279">
        <v>263.32150000000001</v>
      </c>
      <c r="CW64" s="279">
        <v>263.21379999999999</v>
      </c>
      <c r="CX64" s="191">
        <v>263.14190000000002</v>
      </c>
      <c r="CY64" s="279">
        <v>263.13010000000003</v>
      </c>
      <c r="CZ64" s="279">
        <v>263.05220000000003</v>
      </c>
      <c r="DA64" s="279">
        <v>263.08420000000001</v>
      </c>
      <c r="DB64" s="279">
        <v>263.05509999999998</v>
      </c>
      <c r="DC64" s="279">
        <v>263.05399999999997</v>
      </c>
      <c r="DD64" s="279">
        <v>263.05029999999999</v>
      </c>
      <c r="DE64" s="279">
        <v>263.04750000000001</v>
      </c>
      <c r="DF64" s="279">
        <v>263.09769999999997</v>
      </c>
      <c r="DG64" s="279">
        <v>263.0641</v>
      </c>
      <c r="DH64" s="279">
        <v>262.94569999999999</v>
      </c>
      <c r="DI64" s="279">
        <v>263.0711</v>
      </c>
      <c r="DJ64" s="279">
        <v>263.00290000000001</v>
      </c>
      <c r="DK64" s="279">
        <v>263.08069999999998</v>
      </c>
      <c r="DL64" s="279">
        <v>262.92360000000002</v>
      </c>
      <c r="DM64" s="279">
        <v>262.97649999999999</v>
      </c>
      <c r="DN64" s="279">
        <v>263.02870000000001</v>
      </c>
      <c r="DO64" s="279">
        <v>262.9622</v>
      </c>
      <c r="DP64" s="279">
        <v>263.14490000000001</v>
      </c>
      <c r="DQ64" s="279">
        <v>263.21170000000001</v>
      </c>
      <c r="DR64" s="279">
        <v>263.17720000000003</v>
      </c>
      <c r="DS64" s="279">
        <v>263.10149999999999</v>
      </c>
      <c r="DT64" s="191">
        <v>263.23579999999998</v>
      </c>
      <c r="DU64" s="191">
        <v>263.221</v>
      </c>
      <c r="DV64" s="191">
        <v>263.35090000000002</v>
      </c>
      <c r="DW64" s="278">
        <v>263.4015</v>
      </c>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row>
    <row r="65" spans="1:155" ht="45" customHeight="1" x14ac:dyDescent="0.45">
      <c r="A65" s="277">
        <v>320</v>
      </c>
      <c r="B65" s="191"/>
      <c r="C65" s="191"/>
      <c r="D65" s="191"/>
      <c r="E65" s="278">
        <v>263.9624</v>
      </c>
      <c r="F65" s="191">
        <v>263.80160000000001</v>
      </c>
      <c r="G65" s="191">
        <v>263.81610000000001</v>
      </c>
      <c r="H65" s="279">
        <v>263.7978</v>
      </c>
      <c r="I65" s="279">
        <v>263.82659999999998</v>
      </c>
      <c r="J65" s="279">
        <v>263.83150000000001</v>
      </c>
      <c r="K65" s="279">
        <v>263.85329999999999</v>
      </c>
      <c r="L65" s="279">
        <v>263.87709999999998</v>
      </c>
      <c r="M65" s="279">
        <v>263.87189999999998</v>
      </c>
      <c r="N65" s="279">
        <v>263.87889999999999</v>
      </c>
      <c r="O65" s="279">
        <v>263.99459999999999</v>
      </c>
      <c r="P65" s="279">
        <v>263.92930000000001</v>
      </c>
      <c r="Q65" s="279">
        <v>263.86340000000001</v>
      </c>
      <c r="R65" s="279">
        <v>263.8458</v>
      </c>
      <c r="S65" s="279">
        <v>263.83909999999997</v>
      </c>
      <c r="T65" s="279">
        <v>263.85239999999999</v>
      </c>
      <c r="U65" s="279">
        <v>263.86110000000002</v>
      </c>
      <c r="V65" s="279">
        <v>263.89659999999998</v>
      </c>
      <c r="W65" s="279">
        <v>264.84019999999998</v>
      </c>
      <c r="X65" s="279">
        <v>264.11070000000001</v>
      </c>
      <c r="Y65" s="279">
        <v>264.07409999999999</v>
      </c>
      <c r="Z65" s="191">
        <v>263.8288</v>
      </c>
      <c r="AA65" s="279">
        <v>263.79849999999999</v>
      </c>
      <c r="AB65" s="191">
        <v>263.80169999999998</v>
      </c>
      <c r="AC65" s="191">
        <v>263.80689999999998</v>
      </c>
      <c r="AD65" s="191">
        <v>263.78809999999999</v>
      </c>
      <c r="AE65" s="191">
        <v>263.77749999999997</v>
      </c>
      <c r="AF65" s="191">
        <v>263.78160000000003</v>
      </c>
      <c r="AG65" s="191">
        <v>263.76909999999998</v>
      </c>
      <c r="AH65" s="191">
        <v>263.75819999999999</v>
      </c>
      <c r="AI65" s="191">
        <v>263.78640000000001</v>
      </c>
      <c r="AJ65" s="191">
        <v>263.7885</v>
      </c>
      <c r="AK65" s="191">
        <v>263.81110000000001</v>
      </c>
      <c r="AL65" s="191">
        <v>263.8073</v>
      </c>
      <c r="AM65" s="191">
        <v>263.7971</v>
      </c>
      <c r="AN65" s="191">
        <v>263.80619999999999</v>
      </c>
      <c r="AO65" s="191">
        <v>263.84230000000002</v>
      </c>
      <c r="AP65" s="191">
        <v>263.83699999999999</v>
      </c>
      <c r="AQ65" s="191">
        <v>263.8372</v>
      </c>
      <c r="AR65" s="191">
        <v>263.84280000000001</v>
      </c>
      <c r="AS65" s="191">
        <v>263.84789999999998</v>
      </c>
      <c r="AT65" s="191">
        <v>263.70780000000002</v>
      </c>
      <c r="AU65" s="279">
        <v>263.71269999999998</v>
      </c>
      <c r="AV65" s="191">
        <v>263.71839999999997</v>
      </c>
      <c r="AW65" s="191">
        <v>263.71440000000001</v>
      </c>
      <c r="AX65" s="191">
        <v>263.71199999999999</v>
      </c>
      <c r="AY65" s="191">
        <v>263.68110000000001</v>
      </c>
      <c r="AZ65" s="191">
        <v>263.7063</v>
      </c>
      <c r="BA65" s="191">
        <v>263.69130000000001</v>
      </c>
      <c r="BB65" s="191">
        <v>263.69560000000001</v>
      </c>
      <c r="BC65" s="191">
        <v>263.72059999999999</v>
      </c>
      <c r="BD65" s="191">
        <v>263.73480000000001</v>
      </c>
      <c r="BE65" s="191">
        <v>263.7287</v>
      </c>
      <c r="BF65" s="191">
        <v>263.69170000000003</v>
      </c>
      <c r="BG65" s="191">
        <v>263.71280000000002</v>
      </c>
      <c r="BH65" s="191">
        <v>263.72710000000001</v>
      </c>
      <c r="BI65" s="191">
        <v>263.71039999999999</v>
      </c>
      <c r="BJ65" s="191">
        <v>263.70549999999997</v>
      </c>
      <c r="BK65" s="191">
        <v>263.71539999999999</v>
      </c>
      <c r="BL65" s="191">
        <v>263.75420000000003</v>
      </c>
      <c r="BM65" s="191">
        <v>263.74459999999999</v>
      </c>
      <c r="BN65" s="191">
        <v>263.75810000000001</v>
      </c>
      <c r="BO65" s="191">
        <v>263.80739999999997</v>
      </c>
      <c r="BP65" s="191">
        <v>263.84789999999998</v>
      </c>
      <c r="BQ65" s="191">
        <v>263.8297</v>
      </c>
      <c r="BR65" s="191">
        <v>263.91419999999999</v>
      </c>
      <c r="BS65" s="191">
        <v>263.79880000000003</v>
      </c>
      <c r="BT65" s="191">
        <v>263.92039999999997</v>
      </c>
      <c r="BU65" s="191">
        <v>263.8091</v>
      </c>
      <c r="BV65" s="191">
        <v>263.75290000000001</v>
      </c>
      <c r="BW65" s="191">
        <v>263.6078</v>
      </c>
      <c r="BX65" s="191">
        <v>263.62529999999998</v>
      </c>
      <c r="BY65" s="191">
        <v>263.55590000000001</v>
      </c>
      <c r="BZ65" s="191">
        <v>263.48039999999997</v>
      </c>
      <c r="CA65" s="191">
        <v>263.4581</v>
      </c>
      <c r="CB65" s="191">
        <v>263.47269999999997</v>
      </c>
      <c r="CC65" s="191">
        <v>263.45069999999998</v>
      </c>
      <c r="CD65" s="191">
        <v>263.4554</v>
      </c>
      <c r="CE65" s="191">
        <v>263.45209999999997</v>
      </c>
      <c r="CF65" s="191">
        <v>263.44979999999998</v>
      </c>
      <c r="CG65" s="191">
        <v>263.4599</v>
      </c>
      <c r="CH65" s="191">
        <v>263.49360000000001</v>
      </c>
      <c r="CI65" s="191">
        <v>263.37729999999999</v>
      </c>
      <c r="CJ65" s="191">
        <v>263.37479999999999</v>
      </c>
      <c r="CK65" s="191">
        <v>263.33190000000002</v>
      </c>
      <c r="CL65" s="191">
        <v>263.3476</v>
      </c>
      <c r="CM65" s="191">
        <v>263.35239999999999</v>
      </c>
      <c r="CN65" s="191">
        <v>263.34530000000001</v>
      </c>
      <c r="CO65" s="191">
        <v>263.34089999999998</v>
      </c>
      <c r="CP65" s="191">
        <v>263.3408</v>
      </c>
      <c r="CQ65" s="191">
        <v>263.33659999999998</v>
      </c>
      <c r="CR65" s="191">
        <v>263.37560000000002</v>
      </c>
      <c r="CS65" s="191">
        <v>263.12700000000001</v>
      </c>
      <c r="CT65" s="191">
        <v>263.25209999999998</v>
      </c>
      <c r="CU65" s="191">
        <v>263.19880000000001</v>
      </c>
      <c r="CV65" s="191">
        <v>263.20609999999999</v>
      </c>
      <c r="CW65" s="191">
        <v>263.19940000000003</v>
      </c>
      <c r="CX65" s="191">
        <v>263.20429999999999</v>
      </c>
      <c r="CY65" s="191">
        <v>263.2321</v>
      </c>
      <c r="CZ65" s="191">
        <v>263.07810000000001</v>
      </c>
      <c r="DA65" s="191">
        <v>263.14449999999999</v>
      </c>
      <c r="DB65" s="191">
        <v>263.07470000000001</v>
      </c>
      <c r="DC65" s="191">
        <v>263.0795</v>
      </c>
      <c r="DD65" s="191">
        <v>263.0702</v>
      </c>
      <c r="DE65" s="191">
        <v>263.04669999999999</v>
      </c>
      <c r="DF65" s="191">
        <v>263.04270000000002</v>
      </c>
      <c r="DG65" s="191">
        <v>263.09059999999999</v>
      </c>
      <c r="DH65" s="191">
        <v>263.03519999999997</v>
      </c>
      <c r="DI65" s="191">
        <v>263.0308</v>
      </c>
      <c r="DJ65" s="191">
        <v>263.11340000000001</v>
      </c>
      <c r="DK65" s="191">
        <v>263.13029999999998</v>
      </c>
      <c r="DL65" s="191">
        <v>263.06849999999997</v>
      </c>
      <c r="DM65" s="191">
        <v>263.07850000000002</v>
      </c>
      <c r="DN65" s="191">
        <v>263.19589999999999</v>
      </c>
      <c r="DO65" s="191">
        <v>263.10469999999998</v>
      </c>
      <c r="DP65" s="191">
        <v>263.15249999999997</v>
      </c>
      <c r="DQ65" s="191">
        <v>263.22519999999997</v>
      </c>
      <c r="DR65" s="191">
        <v>263.21230000000003</v>
      </c>
      <c r="DS65" s="191">
        <v>263.2586</v>
      </c>
      <c r="DT65" s="191">
        <v>263.32060000000001</v>
      </c>
      <c r="DU65" s="191">
        <v>263.36360000000002</v>
      </c>
      <c r="DV65" s="191">
        <v>263.41289999999998</v>
      </c>
      <c r="DW65" s="278">
        <v>263.40269999999998</v>
      </c>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row>
    <row r="66" spans="1:155" ht="45" customHeight="1" x14ac:dyDescent="0.45">
      <c r="A66" s="277">
        <v>325</v>
      </c>
      <c r="B66" s="191"/>
      <c r="C66" s="191"/>
      <c r="D66" s="191"/>
      <c r="E66" s="278">
        <v>264.20510000000002</v>
      </c>
      <c r="F66" s="191">
        <v>263.79860000000002</v>
      </c>
      <c r="G66" s="191">
        <v>263.81849999999997</v>
      </c>
      <c r="H66" s="279">
        <v>263.83030000000002</v>
      </c>
      <c r="I66" s="191">
        <v>263.8562</v>
      </c>
      <c r="J66" s="191">
        <v>263.8503</v>
      </c>
      <c r="K66" s="191">
        <v>263.87200000000001</v>
      </c>
      <c r="L66" s="191">
        <v>263.89789999999999</v>
      </c>
      <c r="M66" s="191">
        <v>263.90929999999997</v>
      </c>
      <c r="N66" s="191">
        <v>264.06270000000001</v>
      </c>
      <c r="O66" s="191">
        <v>263.9896</v>
      </c>
      <c r="P66" s="191">
        <v>264.07040000000001</v>
      </c>
      <c r="Q66" s="191">
        <v>263.84190000000001</v>
      </c>
      <c r="R66" s="191">
        <v>263.88810000000001</v>
      </c>
      <c r="S66" s="191">
        <v>263.79790000000003</v>
      </c>
      <c r="T66" s="191">
        <v>263.88459999999998</v>
      </c>
      <c r="U66" s="191">
        <v>263.99439999999998</v>
      </c>
      <c r="V66" s="191">
        <v>263.8039</v>
      </c>
      <c r="W66" s="191">
        <v>263.86950000000002</v>
      </c>
      <c r="X66" s="191">
        <v>263.8569</v>
      </c>
      <c r="Y66" s="279">
        <v>263.95</v>
      </c>
      <c r="Z66" s="191">
        <v>263.85559999999998</v>
      </c>
      <c r="AA66" s="279">
        <v>263.81549999999999</v>
      </c>
      <c r="AB66" s="191">
        <v>263.81920000000002</v>
      </c>
      <c r="AC66" s="191">
        <v>263.81479999999999</v>
      </c>
      <c r="AD66" s="191">
        <v>263.79649999999998</v>
      </c>
      <c r="AE66" s="191">
        <v>263.79309999999998</v>
      </c>
      <c r="AF66" s="191">
        <v>263.79680000000002</v>
      </c>
      <c r="AG66" s="191">
        <v>263.77440000000001</v>
      </c>
      <c r="AH66" s="191">
        <v>263.75490000000002</v>
      </c>
      <c r="AI66" s="191">
        <v>263.77800000000002</v>
      </c>
      <c r="AJ66" s="191">
        <v>263.77980000000002</v>
      </c>
      <c r="AK66" s="191">
        <v>263.7971</v>
      </c>
      <c r="AL66" s="191">
        <v>263.81580000000002</v>
      </c>
      <c r="AM66" s="191">
        <v>263.80900000000003</v>
      </c>
      <c r="AN66" s="191">
        <v>263.81380000000001</v>
      </c>
      <c r="AO66" s="191">
        <v>263.82089999999999</v>
      </c>
      <c r="AP66" s="191">
        <v>263.84160000000003</v>
      </c>
      <c r="AQ66" s="191">
        <v>263.85849999999999</v>
      </c>
      <c r="AR66" s="191">
        <v>263.86959999999999</v>
      </c>
      <c r="AS66" s="191">
        <v>263.85169999999999</v>
      </c>
      <c r="AT66" s="191">
        <v>263.73540000000003</v>
      </c>
      <c r="AU66" s="279">
        <v>263.73610000000002</v>
      </c>
      <c r="AV66" s="191">
        <v>263.74419999999998</v>
      </c>
      <c r="AW66" s="191">
        <v>263.75529999999998</v>
      </c>
      <c r="AX66" s="191">
        <v>263.75940000000003</v>
      </c>
      <c r="AY66" s="191">
        <v>263.69279999999998</v>
      </c>
      <c r="AZ66" s="191">
        <v>263.72359999999998</v>
      </c>
      <c r="BA66" s="191">
        <v>263.70940000000002</v>
      </c>
      <c r="BB66" s="191">
        <v>263.71190000000001</v>
      </c>
      <c r="BC66" s="191">
        <v>263.68529999999998</v>
      </c>
      <c r="BD66" s="191">
        <v>263.76429999999999</v>
      </c>
      <c r="BE66" s="191">
        <v>263.74869999999999</v>
      </c>
      <c r="BF66" s="191">
        <v>263.72329999999999</v>
      </c>
      <c r="BG66" s="191">
        <v>263.74340000000001</v>
      </c>
      <c r="BH66" s="191">
        <v>263.75229999999999</v>
      </c>
      <c r="BI66" s="191">
        <v>263.72370000000001</v>
      </c>
      <c r="BJ66" s="191">
        <v>263.74200000000002</v>
      </c>
      <c r="BK66" s="191">
        <v>263.75209999999998</v>
      </c>
      <c r="BL66" s="191">
        <v>263.74400000000003</v>
      </c>
      <c r="BM66" s="191">
        <v>263.73480000000001</v>
      </c>
      <c r="BN66" s="191">
        <v>263.76920000000001</v>
      </c>
      <c r="BO66" s="191">
        <v>263.79109999999997</v>
      </c>
      <c r="BP66" s="191">
        <v>264.00110000000001</v>
      </c>
      <c r="BQ66" s="191">
        <v>263.81549999999999</v>
      </c>
      <c r="BR66" s="191">
        <v>263.6551</v>
      </c>
      <c r="BS66" s="191">
        <v>263.63630000000001</v>
      </c>
      <c r="BT66" s="191">
        <v>263.64019999999999</v>
      </c>
      <c r="BU66" s="191">
        <v>263.6318</v>
      </c>
      <c r="BV66" s="191">
        <v>263.66390000000001</v>
      </c>
      <c r="BW66" s="191">
        <v>263.6019</v>
      </c>
      <c r="BX66" s="191">
        <v>263.60919999999999</v>
      </c>
      <c r="BY66" s="191">
        <v>263.54939999999999</v>
      </c>
      <c r="BZ66" s="191">
        <v>263.48790000000002</v>
      </c>
      <c r="CA66" s="191">
        <v>263.49009999999998</v>
      </c>
      <c r="CB66" s="191">
        <v>263.44049999999999</v>
      </c>
      <c r="CC66" s="191">
        <v>263.46159999999998</v>
      </c>
      <c r="CD66" s="191">
        <v>263.47039999999998</v>
      </c>
      <c r="CE66" s="191">
        <v>263.47919999999999</v>
      </c>
      <c r="CF66" s="191">
        <v>263.46350000000001</v>
      </c>
      <c r="CG66" s="191">
        <v>263.4529</v>
      </c>
      <c r="CH66" s="191">
        <v>263.48540000000003</v>
      </c>
      <c r="CI66" s="191">
        <v>263.39429999999999</v>
      </c>
      <c r="CJ66" s="191">
        <v>263.3802</v>
      </c>
      <c r="CK66" s="191">
        <v>263.36079999999998</v>
      </c>
      <c r="CL66" s="191">
        <v>263.37060000000002</v>
      </c>
      <c r="CM66" s="191">
        <v>263.35359999999997</v>
      </c>
      <c r="CN66" s="191">
        <v>263.34739999999999</v>
      </c>
      <c r="CO66" s="191">
        <v>263.36559999999997</v>
      </c>
      <c r="CP66" s="191">
        <v>263.3614</v>
      </c>
      <c r="CQ66" s="279">
        <v>263.34719999999999</v>
      </c>
      <c r="CR66" s="279">
        <v>263.39139999999998</v>
      </c>
      <c r="CS66" s="279">
        <v>263.15120000000002</v>
      </c>
      <c r="CT66" s="279">
        <v>263.34739999999999</v>
      </c>
      <c r="CU66" s="279">
        <v>263.1422</v>
      </c>
      <c r="CV66" s="279">
        <v>263.21260000000001</v>
      </c>
      <c r="CW66" s="279">
        <v>263.39370000000002</v>
      </c>
      <c r="CX66" s="279">
        <v>263.28539999999998</v>
      </c>
      <c r="CY66" s="279">
        <v>263.3537</v>
      </c>
      <c r="CZ66" s="279">
        <v>263.09739999999999</v>
      </c>
      <c r="DA66" s="279">
        <v>263.11</v>
      </c>
      <c r="DB66" s="279">
        <v>263.08969999999999</v>
      </c>
      <c r="DC66" s="279">
        <v>263.1225</v>
      </c>
      <c r="DD66" s="279">
        <v>263.1148</v>
      </c>
      <c r="DE66" s="279">
        <v>263.077</v>
      </c>
      <c r="DF66" s="279">
        <v>263.096</v>
      </c>
      <c r="DG66" s="279">
        <v>263.16480000000001</v>
      </c>
      <c r="DH66" s="279">
        <v>263.18560000000002</v>
      </c>
      <c r="DI66" s="279">
        <v>262.9803</v>
      </c>
      <c r="DJ66" s="279">
        <v>263.15010000000001</v>
      </c>
      <c r="DK66" s="279">
        <v>263.18799999999999</v>
      </c>
      <c r="DL66" s="191">
        <v>263.18259999999998</v>
      </c>
      <c r="DM66" s="191">
        <v>263.0992</v>
      </c>
      <c r="DN66" s="191">
        <v>262.96140000000003</v>
      </c>
      <c r="DO66" s="191">
        <v>263.24059999999997</v>
      </c>
      <c r="DP66" s="191">
        <v>263.3168</v>
      </c>
      <c r="DQ66" s="191">
        <v>263.31540000000001</v>
      </c>
      <c r="DR66" s="191">
        <v>263.38990000000001</v>
      </c>
      <c r="DS66" s="191">
        <v>263.27510000000001</v>
      </c>
      <c r="DT66" s="191">
        <v>263.33260000000001</v>
      </c>
      <c r="DU66" s="191">
        <v>263.32830000000001</v>
      </c>
      <c r="DV66" s="191">
        <v>263.41250000000002</v>
      </c>
      <c r="DW66" s="191">
        <v>263.47199999999998</v>
      </c>
      <c r="DX66" s="278">
        <v>263.54270000000002</v>
      </c>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row>
    <row r="67" spans="1:155" ht="45" customHeight="1" x14ac:dyDescent="0.45">
      <c r="A67" s="277">
        <v>330</v>
      </c>
      <c r="B67" s="191"/>
      <c r="C67" s="191"/>
      <c r="D67" s="191"/>
      <c r="E67" s="278">
        <v>264.23669999999998</v>
      </c>
      <c r="F67" s="191">
        <v>263.82080000000002</v>
      </c>
      <c r="G67" s="191">
        <v>263.82900000000001</v>
      </c>
      <c r="H67" s="279">
        <v>263.85169999999999</v>
      </c>
      <c r="I67" s="191">
        <v>263.82459999999998</v>
      </c>
      <c r="J67" s="191">
        <v>263.87180000000001</v>
      </c>
      <c r="K67" s="191">
        <v>263.87920000000003</v>
      </c>
      <c r="L67" s="191">
        <v>264.1189</v>
      </c>
      <c r="M67" s="191">
        <v>264.24889999999999</v>
      </c>
      <c r="N67" s="191">
        <v>264.18110000000001</v>
      </c>
      <c r="O67" s="191">
        <v>264.44630000000001</v>
      </c>
      <c r="P67" s="191">
        <v>264.45</v>
      </c>
      <c r="Q67" s="191">
        <v>263.96370000000002</v>
      </c>
      <c r="R67" s="191">
        <v>263.9359</v>
      </c>
      <c r="S67" s="191">
        <v>263.7593</v>
      </c>
      <c r="T67" s="191">
        <v>263.8766</v>
      </c>
      <c r="U67" s="191">
        <v>263.82190000000003</v>
      </c>
      <c r="V67" s="191">
        <v>263.82589999999999</v>
      </c>
      <c r="W67" s="191">
        <v>263.84190000000001</v>
      </c>
      <c r="X67" s="191">
        <v>263.84840000000003</v>
      </c>
      <c r="Y67" s="279">
        <v>264.01589999999999</v>
      </c>
      <c r="Z67" s="191">
        <v>263.84980000000002</v>
      </c>
      <c r="AA67" s="279">
        <v>263.85160000000002</v>
      </c>
      <c r="AB67" s="191">
        <v>263.84359999999998</v>
      </c>
      <c r="AC67" s="191">
        <v>263.834</v>
      </c>
      <c r="AD67" s="191">
        <v>263.80869999999999</v>
      </c>
      <c r="AE67" s="191">
        <v>263.80889999999999</v>
      </c>
      <c r="AF67" s="191">
        <v>263.8297</v>
      </c>
      <c r="AG67" s="191">
        <v>263.80680000000001</v>
      </c>
      <c r="AH67" s="191">
        <v>263.76749999999998</v>
      </c>
      <c r="AI67" s="191">
        <v>263.77820000000003</v>
      </c>
      <c r="AJ67" s="191">
        <v>263.78800000000001</v>
      </c>
      <c r="AK67" s="191">
        <v>263.77289999999999</v>
      </c>
      <c r="AL67" s="191">
        <v>263.78469999999999</v>
      </c>
      <c r="AM67" s="191">
        <v>263.80110000000002</v>
      </c>
      <c r="AN67" s="191">
        <v>263.82479999999998</v>
      </c>
      <c r="AO67" s="191">
        <v>263.82690000000002</v>
      </c>
      <c r="AP67" s="191">
        <v>263.83429999999998</v>
      </c>
      <c r="AQ67" s="191">
        <v>263.8451</v>
      </c>
      <c r="AR67" s="191">
        <v>263.8528</v>
      </c>
      <c r="AS67" s="191">
        <v>263.83390000000003</v>
      </c>
      <c r="AT67" s="191">
        <v>263.74290000000002</v>
      </c>
      <c r="AU67" s="279">
        <v>263.76069999999999</v>
      </c>
      <c r="AV67" s="191">
        <v>263.73829999999998</v>
      </c>
      <c r="AW67" s="191">
        <v>263.77339999999998</v>
      </c>
      <c r="AX67" s="279">
        <v>263.7756</v>
      </c>
      <c r="AY67" s="279">
        <v>263.7552</v>
      </c>
      <c r="AZ67" s="279">
        <v>263.73970000000003</v>
      </c>
      <c r="BA67" s="279">
        <v>263.71929999999998</v>
      </c>
      <c r="BB67" s="279">
        <v>263.72699999999998</v>
      </c>
      <c r="BC67" s="279">
        <v>263.73689999999999</v>
      </c>
      <c r="BD67" s="279">
        <v>263.84120000000001</v>
      </c>
      <c r="BE67" s="279">
        <v>263.75099999999998</v>
      </c>
      <c r="BF67" s="279">
        <v>263.77019999999999</v>
      </c>
      <c r="BG67" s="279">
        <v>263.77780000000001</v>
      </c>
      <c r="BH67" s="279">
        <v>263.78250000000003</v>
      </c>
      <c r="BI67" s="279">
        <v>263.74650000000003</v>
      </c>
      <c r="BJ67" s="279">
        <v>263.76639999999998</v>
      </c>
      <c r="BK67" s="279">
        <v>263.78530000000001</v>
      </c>
      <c r="BL67" s="279">
        <v>263.7448</v>
      </c>
      <c r="BM67" s="279">
        <v>263.76670000000001</v>
      </c>
      <c r="BN67" s="279">
        <v>263.77890000000002</v>
      </c>
      <c r="BO67" s="279">
        <v>263.78030000000001</v>
      </c>
      <c r="BP67" s="279">
        <v>263.84440000000001</v>
      </c>
      <c r="BQ67" s="279">
        <v>263.6748</v>
      </c>
      <c r="BR67" s="279">
        <v>263.68290000000002</v>
      </c>
      <c r="BS67" s="191">
        <v>263.66050000000001</v>
      </c>
      <c r="BT67" s="279">
        <v>263.6619</v>
      </c>
      <c r="BU67" s="279">
        <v>263.64760000000001</v>
      </c>
      <c r="BV67" s="279">
        <v>263.62560000000002</v>
      </c>
      <c r="BW67" s="279">
        <v>263.62</v>
      </c>
      <c r="BX67" s="279">
        <v>263.61279999999999</v>
      </c>
      <c r="BY67" s="279">
        <v>263.58580000000001</v>
      </c>
      <c r="BZ67" s="279">
        <v>263.45549999999997</v>
      </c>
      <c r="CA67" s="279">
        <v>263.44459999999998</v>
      </c>
      <c r="CB67" s="279">
        <v>263.45479999999998</v>
      </c>
      <c r="CC67" s="279">
        <v>263.45089999999999</v>
      </c>
      <c r="CD67" s="279">
        <v>263.47089999999997</v>
      </c>
      <c r="CE67" s="279">
        <v>263.48009999999999</v>
      </c>
      <c r="CF67" s="279">
        <v>263.45999999999998</v>
      </c>
      <c r="CG67" s="279">
        <v>263.44529999999997</v>
      </c>
      <c r="CH67" s="279">
        <v>263.47430000000003</v>
      </c>
      <c r="CI67" s="279">
        <v>263.40839999999997</v>
      </c>
      <c r="CJ67" s="279">
        <v>263.40300000000002</v>
      </c>
      <c r="CK67" s="279">
        <v>263.41379999999998</v>
      </c>
      <c r="CL67" s="279">
        <v>263.42410000000001</v>
      </c>
      <c r="CM67" s="279">
        <v>263.39249999999998</v>
      </c>
      <c r="CN67" s="279">
        <v>263.36059999999998</v>
      </c>
      <c r="CO67" s="279">
        <v>263.39879999999999</v>
      </c>
      <c r="CP67" s="191">
        <v>263.38780000000003</v>
      </c>
      <c r="CQ67" s="279">
        <v>263.38670000000002</v>
      </c>
      <c r="CR67" s="191">
        <v>263.41199999999998</v>
      </c>
      <c r="CS67" s="191">
        <v>263.19549999999998</v>
      </c>
      <c r="CT67" s="191">
        <v>263.19400000000002</v>
      </c>
      <c r="CU67" s="191">
        <v>263.16239999999999</v>
      </c>
      <c r="CV67" s="191">
        <v>263.1447</v>
      </c>
      <c r="CW67" s="191">
        <v>263.18630000000002</v>
      </c>
      <c r="CX67" s="191">
        <v>263.17619999999999</v>
      </c>
      <c r="CY67" s="191">
        <v>263.19589999999999</v>
      </c>
      <c r="CZ67" s="191">
        <v>263.09780000000001</v>
      </c>
      <c r="DA67" s="191">
        <v>263.12529999999998</v>
      </c>
      <c r="DB67" s="191">
        <v>263.11619999999999</v>
      </c>
      <c r="DC67" s="191">
        <v>263.1275</v>
      </c>
      <c r="DD67" s="191">
        <v>263.1902</v>
      </c>
      <c r="DE67" s="191">
        <v>263.12529999999998</v>
      </c>
      <c r="DF67" s="191">
        <v>263.21559999999999</v>
      </c>
      <c r="DG67" s="191">
        <v>263.07330000000002</v>
      </c>
      <c r="DH67" s="191">
        <v>263.166</v>
      </c>
      <c r="DI67" s="191">
        <v>262.92840000000001</v>
      </c>
      <c r="DJ67" s="191">
        <v>263.0213</v>
      </c>
      <c r="DK67" s="279">
        <v>263.0958</v>
      </c>
      <c r="DL67" s="191">
        <v>263.01870000000002</v>
      </c>
      <c r="DM67" s="191">
        <v>263.01729999999998</v>
      </c>
      <c r="DN67" s="191">
        <v>262.74180000000001</v>
      </c>
      <c r="DO67" s="191">
        <v>262.89170000000001</v>
      </c>
      <c r="DP67" s="191">
        <v>263.14490000000001</v>
      </c>
      <c r="DQ67" s="191">
        <v>263.25700000000001</v>
      </c>
      <c r="DR67" s="191">
        <v>263.29300000000001</v>
      </c>
      <c r="DS67" s="191">
        <v>263.3476</v>
      </c>
      <c r="DT67" s="191">
        <v>263.30290000000002</v>
      </c>
      <c r="DU67" s="191">
        <v>263.1705</v>
      </c>
      <c r="DV67" s="191">
        <v>263.2953</v>
      </c>
      <c r="DW67" s="191">
        <v>263.36439999999999</v>
      </c>
      <c r="DX67" s="278">
        <v>263.4427</v>
      </c>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row>
    <row r="68" spans="1:155" ht="45" customHeight="1" x14ac:dyDescent="0.45">
      <c r="A68" s="277">
        <v>335</v>
      </c>
      <c r="B68" s="191"/>
      <c r="C68" s="191"/>
      <c r="D68" s="191"/>
      <c r="E68" s="278">
        <v>264.29430000000002</v>
      </c>
      <c r="F68" s="191">
        <v>263.8476</v>
      </c>
      <c r="G68" s="191">
        <v>263.86660000000001</v>
      </c>
      <c r="H68" s="279">
        <v>263.86989999999997</v>
      </c>
      <c r="I68" s="191">
        <v>263.88200000000001</v>
      </c>
      <c r="J68" s="191">
        <v>263.85160000000002</v>
      </c>
      <c r="K68" s="191">
        <v>264.10050000000001</v>
      </c>
      <c r="L68" s="191">
        <v>264.28410000000002</v>
      </c>
      <c r="M68" s="191">
        <v>264.44330000000002</v>
      </c>
      <c r="N68" s="191">
        <v>264.5326</v>
      </c>
      <c r="O68" s="191">
        <v>264.47039999999998</v>
      </c>
      <c r="P68" s="191">
        <v>264.4665</v>
      </c>
      <c r="Q68" s="191">
        <v>263.89260000000002</v>
      </c>
      <c r="R68" s="191">
        <v>263.99759999999998</v>
      </c>
      <c r="S68" s="191">
        <v>263.78519999999997</v>
      </c>
      <c r="T68" s="191">
        <v>263.80349999999999</v>
      </c>
      <c r="U68" s="191">
        <v>263.8229</v>
      </c>
      <c r="V68" s="191">
        <v>263.80500000000001</v>
      </c>
      <c r="W68" s="191">
        <v>263.82310000000001</v>
      </c>
      <c r="X68" s="191">
        <v>263.83139999999997</v>
      </c>
      <c r="Y68" s="279">
        <v>264.02159999999998</v>
      </c>
      <c r="Z68" s="191">
        <v>263.84500000000003</v>
      </c>
      <c r="AA68" s="279">
        <v>263.84379999999999</v>
      </c>
      <c r="AB68" s="191">
        <v>263.8544</v>
      </c>
      <c r="AC68" s="191">
        <v>263.8476</v>
      </c>
      <c r="AD68" s="191">
        <v>263.83030000000002</v>
      </c>
      <c r="AE68" s="191">
        <v>263.83929999999998</v>
      </c>
      <c r="AF68" s="191">
        <v>263.81490000000002</v>
      </c>
      <c r="AG68" s="191">
        <v>263.80919999999998</v>
      </c>
      <c r="AH68" s="191">
        <v>263.80279999999999</v>
      </c>
      <c r="AI68" s="191">
        <v>263.8116</v>
      </c>
      <c r="AJ68" s="191">
        <v>263.79520000000002</v>
      </c>
      <c r="AK68" s="191">
        <v>263.80650000000003</v>
      </c>
      <c r="AL68" s="191">
        <v>263.80950000000001</v>
      </c>
      <c r="AM68" s="191">
        <v>263.7885</v>
      </c>
      <c r="AN68" s="191">
        <v>263.82209999999998</v>
      </c>
      <c r="AO68" s="191">
        <v>263.83260000000001</v>
      </c>
      <c r="AP68" s="191">
        <v>263.8349</v>
      </c>
      <c r="AQ68" s="191">
        <v>263.81099999999998</v>
      </c>
      <c r="AR68" s="191">
        <v>263.83839999999998</v>
      </c>
      <c r="AS68" s="191">
        <v>263.8854</v>
      </c>
      <c r="AT68" s="191">
        <v>263.74599999999998</v>
      </c>
      <c r="AU68" s="279">
        <v>263.76339999999999</v>
      </c>
      <c r="AV68" s="191">
        <v>263.74579999999997</v>
      </c>
      <c r="AW68" s="191">
        <v>263.76870000000002</v>
      </c>
      <c r="AX68" s="279">
        <v>263.78309999999999</v>
      </c>
      <c r="AY68" s="191">
        <v>263.78789999999998</v>
      </c>
      <c r="AZ68" s="191">
        <v>263.79169999999999</v>
      </c>
      <c r="BA68" s="191">
        <v>263.74619999999999</v>
      </c>
      <c r="BB68" s="191">
        <v>263.73630000000003</v>
      </c>
      <c r="BC68" s="191">
        <v>263.74950000000001</v>
      </c>
      <c r="BD68" s="191">
        <v>263.81939999999997</v>
      </c>
      <c r="BE68" s="191">
        <v>263.77190000000002</v>
      </c>
      <c r="BF68" s="191">
        <v>263.79320000000001</v>
      </c>
      <c r="BG68" s="191">
        <v>263.77940000000001</v>
      </c>
      <c r="BH68" s="191">
        <v>263.81709999999998</v>
      </c>
      <c r="BI68" s="191">
        <v>263.79399999999998</v>
      </c>
      <c r="BJ68" s="191">
        <v>263.8021</v>
      </c>
      <c r="BK68" s="191">
        <v>263.7715</v>
      </c>
      <c r="BL68" s="191">
        <v>263.76429999999999</v>
      </c>
      <c r="BM68" s="191">
        <v>263.767</v>
      </c>
      <c r="BN68" s="191">
        <v>263.91969999999998</v>
      </c>
      <c r="BO68" s="191">
        <v>263.76560000000001</v>
      </c>
      <c r="BP68" s="191">
        <v>263.8417</v>
      </c>
      <c r="BQ68" s="191">
        <v>263.79629999999997</v>
      </c>
      <c r="BR68" s="279">
        <v>263.66739999999999</v>
      </c>
      <c r="BS68" s="191">
        <v>263.61669999999998</v>
      </c>
      <c r="BT68" s="279">
        <v>263.67090000000002</v>
      </c>
      <c r="BU68" s="191">
        <v>263.64870000000002</v>
      </c>
      <c r="BV68" s="191">
        <v>263.63240000000002</v>
      </c>
      <c r="BW68" s="191">
        <v>263.63479999999998</v>
      </c>
      <c r="BX68" s="191">
        <v>263.66079999999999</v>
      </c>
      <c r="BY68" s="191">
        <v>263.59440000000001</v>
      </c>
      <c r="BZ68" s="191">
        <v>263.39769999999999</v>
      </c>
      <c r="CA68" s="191">
        <v>263.40190000000001</v>
      </c>
      <c r="CB68" s="191">
        <v>263.37720000000002</v>
      </c>
      <c r="CC68" s="191">
        <v>263.44900000000001</v>
      </c>
      <c r="CD68" s="191">
        <v>263.39780000000002</v>
      </c>
      <c r="CE68" s="191">
        <v>263.40469999999999</v>
      </c>
      <c r="CF68" s="191">
        <v>263.37040000000002</v>
      </c>
      <c r="CG68" s="191">
        <v>263.40600000000001</v>
      </c>
      <c r="CH68" s="191">
        <v>263.40300000000002</v>
      </c>
      <c r="CI68" s="191">
        <v>263.43740000000003</v>
      </c>
      <c r="CJ68" s="191">
        <v>263.3997</v>
      </c>
      <c r="CK68" s="191">
        <v>263.43450000000001</v>
      </c>
      <c r="CL68" s="191">
        <v>263.43790000000001</v>
      </c>
      <c r="CM68" s="191">
        <v>263.42259999999999</v>
      </c>
      <c r="CN68" s="191">
        <v>263.41070000000002</v>
      </c>
      <c r="CO68" s="279">
        <v>263.39659999999998</v>
      </c>
      <c r="CP68" s="191">
        <v>263.36810000000003</v>
      </c>
      <c r="CQ68" s="279">
        <v>263.35700000000003</v>
      </c>
      <c r="CR68" s="191">
        <v>263.36520000000002</v>
      </c>
      <c r="CS68" s="191">
        <v>263.18200000000002</v>
      </c>
      <c r="CT68" s="191">
        <v>263.26850000000002</v>
      </c>
      <c r="CU68" s="191">
        <v>263.20310000000001</v>
      </c>
      <c r="CV68" s="191">
        <v>263.28379999999999</v>
      </c>
      <c r="CW68" s="191">
        <v>263.21730000000002</v>
      </c>
      <c r="CX68" s="191">
        <v>263.18770000000001</v>
      </c>
      <c r="CY68" s="191">
        <v>263.2516</v>
      </c>
      <c r="CZ68" s="191">
        <v>263.1311</v>
      </c>
      <c r="DA68" s="191">
        <v>263.14839999999998</v>
      </c>
      <c r="DB68" s="191">
        <v>263.14319999999998</v>
      </c>
      <c r="DC68" s="191">
        <v>263.14449999999999</v>
      </c>
      <c r="DD68" s="191">
        <v>263.19170000000003</v>
      </c>
      <c r="DE68" s="191">
        <v>263.14609999999999</v>
      </c>
      <c r="DF68" s="191">
        <v>263.14060000000001</v>
      </c>
      <c r="DG68" s="191">
        <v>263.21789999999999</v>
      </c>
      <c r="DH68" s="191">
        <v>263.24259999999998</v>
      </c>
      <c r="DI68" s="191">
        <v>262.90370000000001</v>
      </c>
      <c r="DJ68" s="191">
        <v>262.83229999999998</v>
      </c>
      <c r="DK68" s="279">
        <v>263.02420000000001</v>
      </c>
      <c r="DL68" s="191">
        <v>263.08300000000003</v>
      </c>
      <c r="DM68" s="191">
        <v>262.83010000000002</v>
      </c>
      <c r="DN68" s="191">
        <v>263.13290000000001</v>
      </c>
      <c r="DO68" s="191">
        <v>263.15089999999998</v>
      </c>
      <c r="DP68" s="191">
        <v>263.29669999999999</v>
      </c>
      <c r="DQ68" s="191">
        <v>263.18709999999999</v>
      </c>
      <c r="DR68" s="191">
        <v>263.28969999999998</v>
      </c>
      <c r="DS68" s="191">
        <v>263.2681</v>
      </c>
      <c r="DT68" s="191">
        <v>263.21159999999998</v>
      </c>
      <c r="DU68" s="191">
        <v>263.21469999999999</v>
      </c>
      <c r="DV68" s="191">
        <v>263.27140000000003</v>
      </c>
      <c r="DW68" s="191">
        <v>263.34190000000001</v>
      </c>
      <c r="DX68" s="278">
        <v>263.40100000000001</v>
      </c>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row>
    <row r="69" spans="1:155" ht="45" customHeight="1" x14ac:dyDescent="0.45">
      <c r="A69" s="277">
        <v>340</v>
      </c>
      <c r="B69" s="191"/>
      <c r="C69" s="191"/>
      <c r="D69" s="191"/>
      <c r="E69" s="278">
        <v>264.3098</v>
      </c>
      <c r="F69" s="191">
        <v>263.88459999999998</v>
      </c>
      <c r="G69" s="191">
        <v>263.9273</v>
      </c>
      <c r="H69" s="279">
        <v>263.93920000000003</v>
      </c>
      <c r="I69" s="191">
        <v>263.95119999999997</v>
      </c>
      <c r="J69" s="191">
        <v>263.90410000000003</v>
      </c>
      <c r="K69" s="191">
        <v>264.19580000000002</v>
      </c>
      <c r="L69" s="191">
        <v>264.23860000000002</v>
      </c>
      <c r="M69" s="191">
        <v>264.35090000000002</v>
      </c>
      <c r="N69" s="191">
        <v>264.09649999999999</v>
      </c>
      <c r="O69" s="191">
        <v>264.06029999999998</v>
      </c>
      <c r="P69" s="191">
        <v>263.97300000000001</v>
      </c>
      <c r="Q69" s="191">
        <v>263.97910000000002</v>
      </c>
      <c r="R69" s="191">
        <v>263.79989999999998</v>
      </c>
      <c r="S69" s="191">
        <v>263.78449999999998</v>
      </c>
      <c r="T69" s="191">
        <v>263.80270000000002</v>
      </c>
      <c r="U69" s="191">
        <v>263.82440000000003</v>
      </c>
      <c r="V69" s="191">
        <v>263.8347</v>
      </c>
      <c r="W69" s="191">
        <v>263.82380000000001</v>
      </c>
      <c r="X69" s="191">
        <v>263.83760000000001</v>
      </c>
      <c r="Y69" s="279">
        <v>264.03059999999999</v>
      </c>
      <c r="Z69" s="191">
        <v>263.8562</v>
      </c>
      <c r="AA69" s="279">
        <v>263.83010000000002</v>
      </c>
      <c r="AB69" s="191">
        <v>263.83179999999999</v>
      </c>
      <c r="AC69" s="191">
        <v>263.82799999999997</v>
      </c>
      <c r="AD69" s="191">
        <v>263.83999999999997</v>
      </c>
      <c r="AE69" s="191">
        <v>263.86630000000002</v>
      </c>
      <c r="AF69" s="191">
        <v>263.8494</v>
      </c>
      <c r="AG69" s="191">
        <v>263.83949999999999</v>
      </c>
      <c r="AH69" s="191">
        <v>263.84750000000003</v>
      </c>
      <c r="AI69" s="191">
        <v>263.84359999999998</v>
      </c>
      <c r="AJ69" s="191">
        <v>263.81540000000001</v>
      </c>
      <c r="AK69" s="191">
        <v>263.83580000000001</v>
      </c>
      <c r="AL69" s="191">
        <v>263.82889999999998</v>
      </c>
      <c r="AM69" s="191">
        <v>263.82990000000001</v>
      </c>
      <c r="AN69" s="191">
        <v>263.83589999999998</v>
      </c>
      <c r="AO69" s="191">
        <v>263.84739999999999</v>
      </c>
      <c r="AP69" s="191">
        <v>263.85309999999998</v>
      </c>
      <c r="AQ69" s="191">
        <v>263.85539999999997</v>
      </c>
      <c r="AR69" s="191">
        <v>263.87479999999999</v>
      </c>
      <c r="AS69" s="191">
        <v>263.887</v>
      </c>
      <c r="AT69" s="191">
        <v>263.74759999999998</v>
      </c>
      <c r="AU69" s="279">
        <v>263.78629999999998</v>
      </c>
      <c r="AV69" s="191">
        <v>263.77330000000001</v>
      </c>
      <c r="AW69" s="191">
        <v>263.7756</v>
      </c>
      <c r="AX69" s="279">
        <v>263.77600000000001</v>
      </c>
      <c r="AY69" s="191">
        <v>263.77690000000001</v>
      </c>
      <c r="AZ69" s="191">
        <v>263.80149999999998</v>
      </c>
      <c r="BA69" s="191">
        <v>263.7971</v>
      </c>
      <c r="BB69" s="191">
        <v>263.78750000000002</v>
      </c>
      <c r="BC69" s="191">
        <v>263.78390000000002</v>
      </c>
      <c r="BD69" s="191">
        <v>263.78250000000003</v>
      </c>
      <c r="BE69" s="191">
        <v>263.79270000000002</v>
      </c>
      <c r="BF69" s="191">
        <v>263.8</v>
      </c>
      <c r="BG69" s="191">
        <v>263.79790000000003</v>
      </c>
      <c r="BH69" s="191">
        <v>263.78250000000003</v>
      </c>
      <c r="BI69" s="191">
        <v>263.80489999999998</v>
      </c>
      <c r="BJ69" s="191">
        <v>263.79300000000001</v>
      </c>
      <c r="BK69" s="191">
        <v>263.8021</v>
      </c>
      <c r="BL69" s="191">
        <v>263.7783</v>
      </c>
      <c r="BM69" s="191">
        <v>263.82589999999999</v>
      </c>
      <c r="BN69" s="191">
        <v>263.80169999999998</v>
      </c>
      <c r="BO69" s="191">
        <v>263.78530000000001</v>
      </c>
      <c r="BP69" s="191">
        <v>263.80439999999999</v>
      </c>
      <c r="BQ69" s="191">
        <v>263.65010000000001</v>
      </c>
      <c r="BR69" s="279">
        <v>263.60449999999997</v>
      </c>
      <c r="BS69" s="191">
        <v>263.62380000000002</v>
      </c>
      <c r="BT69" s="279">
        <v>263.6515</v>
      </c>
      <c r="BU69" s="191">
        <v>263.6352</v>
      </c>
      <c r="BV69" s="191">
        <v>263.61149999999998</v>
      </c>
      <c r="BW69" s="191">
        <v>263.63679999999999</v>
      </c>
      <c r="BX69" s="191">
        <v>263.68349999999998</v>
      </c>
      <c r="BY69" s="191">
        <v>263.64510000000001</v>
      </c>
      <c r="BZ69" s="191">
        <v>263.43819999999999</v>
      </c>
      <c r="CA69" s="191">
        <v>263.43610000000001</v>
      </c>
      <c r="CB69" s="191">
        <v>263.43239999999997</v>
      </c>
      <c r="CC69" s="191">
        <v>263.43939999999998</v>
      </c>
      <c r="CD69" s="191">
        <v>263.42669999999998</v>
      </c>
      <c r="CE69" s="191">
        <v>263.41719999999998</v>
      </c>
      <c r="CF69" s="191">
        <v>263.40269999999998</v>
      </c>
      <c r="CG69" s="191">
        <v>263.39299999999997</v>
      </c>
      <c r="CH69" s="191">
        <v>263.39890000000003</v>
      </c>
      <c r="CI69" s="191">
        <v>263.55090000000001</v>
      </c>
      <c r="CJ69" s="191">
        <v>263.4196</v>
      </c>
      <c r="CK69" s="191">
        <v>263.44560000000001</v>
      </c>
      <c r="CL69" s="191">
        <v>263.43380000000002</v>
      </c>
      <c r="CM69" s="191">
        <v>263.42660000000001</v>
      </c>
      <c r="CN69" s="191">
        <v>263.43950000000001</v>
      </c>
      <c r="CO69" s="279">
        <v>263.4348</v>
      </c>
      <c r="CP69" s="191">
        <v>263.41399999999999</v>
      </c>
      <c r="CQ69" s="279">
        <v>263.39060000000001</v>
      </c>
      <c r="CR69" s="191">
        <v>263.38459999999998</v>
      </c>
      <c r="CS69" s="191">
        <v>263.19130000000001</v>
      </c>
      <c r="CT69" s="191">
        <v>263.2867</v>
      </c>
      <c r="CU69" s="191">
        <v>263.19560000000001</v>
      </c>
      <c r="CV69" s="191">
        <v>263.17009999999999</v>
      </c>
      <c r="CW69" s="191">
        <v>263.21409999999997</v>
      </c>
      <c r="CX69" s="191">
        <v>263.23200000000003</v>
      </c>
      <c r="CY69" s="191">
        <v>263.2251</v>
      </c>
      <c r="CZ69" s="191">
        <v>263.17849999999999</v>
      </c>
      <c r="DA69" s="191">
        <v>263.22199999999998</v>
      </c>
      <c r="DB69" s="191">
        <v>263.16489999999999</v>
      </c>
      <c r="DC69" s="191">
        <v>263.15780000000001</v>
      </c>
      <c r="DD69" s="191">
        <v>263.25689999999997</v>
      </c>
      <c r="DE69" s="191">
        <v>263.16520000000003</v>
      </c>
      <c r="DF69" s="191">
        <v>263.2371</v>
      </c>
      <c r="DG69" s="191">
        <v>263.16329999999999</v>
      </c>
      <c r="DH69" s="191">
        <v>263.38810000000001</v>
      </c>
      <c r="DI69" s="191">
        <v>263.16079999999999</v>
      </c>
      <c r="DJ69" s="191">
        <v>263</v>
      </c>
      <c r="DK69" s="279">
        <v>262.98649999999998</v>
      </c>
      <c r="DL69" s="191">
        <v>263.22559999999999</v>
      </c>
      <c r="DM69" s="191">
        <v>262.90530000000001</v>
      </c>
      <c r="DN69" s="191">
        <v>263.05900000000003</v>
      </c>
      <c r="DO69" s="191">
        <v>263.2389</v>
      </c>
      <c r="DP69" s="191">
        <v>263.54020000000003</v>
      </c>
      <c r="DQ69" s="191">
        <v>263.524</v>
      </c>
      <c r="DR69" s="191">
        <v>263.25439999999998</v>
      </c>
      <c r="DS69" s="191">
        <v>263.31259999999997</v>
      </c>
      <c r="DT69" s="191">
        <v>263.23480000000001</v>
      </c>
      <c r="DU69" s="191">
        <v>263.2878</v>
      </c>
      <c r="DV69" s="191">
        <v>263.22210000000001</v>
      </c>
      <c r="DW69" s="191">
        <v>263.28750000000002</v>
      </c>
      <c r="DX69" s="191">
        <v>263.40109999999999</v>
      </c>
      <c r="DY69" s="278">
        <v>263.59660000000002</v>
      </c>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row>
    <row r="70" spans="1:155" ht="45" customHeight="1" x14ac:dyDescent="0.45">
      <c r="A70" s="277">
        <v>345</v>
      </c>
      <c r="B70" s="191"/>
      <c r="C70" s="191"/>
      <c r="D70" s="191"/>
      <c r="E70" s="278">
        <v>264.33980000000003</v>
      </c>
      <c r="F70" s="191">
        <v>263.916</v>
      </c>
      <c r="G70" s="191">
        <v>263.94940000000003</v>
      </c>
      <c r="H70" s="279">
        <v>263.9821</v>
      </c>
      <c r="I70" s="191">
        <v>263.94110000000001</v>
      </c>
      <c r="J70" s="191">
        <v>263.9323</v>
      </c>
      <c r="K70" s="191">
        <v>264.19560000000001</v>
      </c>
      <c r="L70" s="191">
        <v>264.18900000000002</v>
      </c>
      <c r="M70" s="191">
        <v>263.64659999999998</v>
      </c>
      <c r="N70" s="191">
        <v>263.91489999999999</v>
      </c>
      <c r="O70" s="191">
        <v>263.858</v>
      </c>
      <c r="P70" s="191">
        <v>263.82839999999999</v>
      </c>
      <c r="Q70" s="191">
        <v>263.82130000000001</v>
      </c>
      <c r="R70" s="191">
        <v>263.8374</v>
      </c>
      <c r="S70" s="191">
        <v>263.8075</v>
      </c>
      <c r="T70" s="191">
        <v>263.82209999999998</v>
      </c>
      <c r="U70" s="191">
        <v>263.82929999999999</v>
      </c>
      <c r="V70" s="191">
        <v>263.83019999999999</v>
      </c>
      <c r="W70" s="191">
        <v>263.82749999999999</v>
      </c>
      <c r="X70" s="191">
        <v>263.84070000000003</v>
      </c>
      <c r="Y70" s="279">
        <v>263.9846</v>
      </c>
      <c r="Z70" s="191">
        <v>263.86259999999999</v>
      </c>
      <c r="AA70" s="279">
        <v>263.83580000000001</v>
      </c>
      <c r="AB70" s="191">
        <v>263.84370000000001</v>
      </c>
      <c r="AC70" s="191">
        <v>263.85820000000001</v>
      </c>
      <c r="AD70" s="191">
        <v>263.85579999999999</v>
      </c>
      <c r="AE70" s="191">
        <v>263.86500000000001</v>
      </c>
      <c r="AF70" s="191">
        <v>263.87290000000002</v>
      </c>
      <c r="AG70" s="191">
        <v>263.87700000000001</v>
      </c>
      <c r="AH70" s="191">
        <v>263.88510000000002</v>
      </c>
      <c r="AI70" s="191">
        <v>263.86660000000001</v>
      </c>
      <c r="AJ70" s="191">
        <v>263.86219999999997</v>
      </c>
      <c r="AK70" s="191">
        <v>263.84859999999998</v>
      </c>
      <c r="AL70" s="191">
        <v>263.85849999999999</v>
      </c>
      <c r="AM70" s="191">
        <v>263.85469999999998</v>
      </c>
      <c r="AN70" s="191">
        <v>263.82690000000002</v>
      </c>
      <c r="AO70" s="191">
        <v>263.85950000000003</v>
      </c>
      <c r="AP70" s="191">
        <v>263.87049999999999</v>
      </c>
      <c r="AQ70" s="191">
        <v>263.88650000000001</v>
      </c>
      <c r="AR70" s="191">
        <v>263.90370000000001</v>
      </c>
      <c r="AS70" s="191">
        <v>263.90120000000002</v>
      </c>
      <c r="AT70" s="191">
        <v>263.75779999999997</v>
      </c>
      <c r="AU70" s="279">
        <v>263.74119999999999</v>
      </c>
      <c r="AV70" s="191">
        <v>263.78100000000001</v>
      </c>
      <c r="AW70" s="191">
        <v>263.78500000000003</v>
      </c>
      <c r="AX70" s="279">
        <v>263.8125</v>
      </c>
      <c r="AY70" s="191">
        <v>263.8064</v>
      </c>
      <c r="AZ70" s="191">
        <v>263.81130000000002</v>
      </c>
      <c r="BA70" s="191">
        <v>263.83179999999999</v>
      </c>
      <c r="BB70" s="191">
        <v>263.8075</v>
      </c>
      <c r="BC70" s="191">
        <v>263.80970000000002</v>
      </c>
      <c r="BD70" s="191">
        <v>263.85090000000002</v>
      </c>
      <c r="BE70" s="191">
        <v>263.85610000000003</v>
      </c>
      <c r="BF70" s="191">
        <v>263.8544</v>
      </c>
      <c r="BG70" s="191">
        <v>263.83580000000001</v>
      </c>
      <c r="BH70" s="191">
        <v>263.82780000000002</v>
      </c>
      <c r="BI70" s="191">
        <v>263.82819999999998</v>
      </c>
      <c r="BJ70" s="191">
        <v>263.80020000000002</v>
      </c>
      <c r="BK70" s="191">
        <v>263.81779999999998</v>
      </c>
      <c r="BL70" s="191">
        <v>263.80759999999998</v>
      </c>
      <c r="BM70" s="191">
        <v>263.8338</v>
      </c>
      <c r="BN70" s="191">
        <v>263.8109</v>
      </c>
      <c r="BO70" s="191">
        <v>263.83569999999997</v>
      </c>
      <c r="BP70" s="191">
        <v>263.88470000000001</v>
      </c>
      <c r="BQ70" s="191">
        <v>263.74419999999998</v>
      </c>
      <c r="BR70" s="279">
        <v>263.71420000000001</v>
      </c>
      <c r="BS70" s="191">
        <v>263.64100000000002</v>
      </c>
      <c r="BT70" s="279">
        <v>263.65170000000001</v>
      </c>
      <c r="BU70" s="191">
        <v>263.87540000000001</v>
      </c>
      <c r="BV70" s="191">
        <v>263.9787</v>
      </c>
      <c r="BW70" s="191">
        <v>263.90359999999998</v>
      </c>
      <c r="BX70" s="191">
        <v>263.89659999999998</v>
      </c>
      <c r="BY70" s="191">
        <v>263.67270000000002</v>
      </c>
      <c r="BZ70" s="191">
        <v>263.46800000000002</v>
      </c>
      <c r="CA70" s="191">
        <v>263.46339999999998</v>
      </c>
      <c r="CB70" s="191">
        <v>263.45519999999999</v>
      </c>
      <c r="CC70" s="191">
        <v>263.45150000000001</v>
      </c>
      <c r="CD70" s="191">
        <v>263.4357</v>
      </c>
      <c r="CE70" s="191">
        <v>263.43450000000001</v>
      </c>
      <c r="CF70" s="191">
        <v>263.41930000000002</v>
      </c>
      <c r="CG70" s="191">
        <v>263.39690000000002</v>
      </c>
      <c r="CH70" s="191">
        <v>263.42500000000001</v>
      </c>
      <c r="CI70" s="191">
        <v>263.45920000000001</v>
      </c>
      <c r="CJ70" s="191">
        <v>263.43060000000003</v>
      </c>
      <c r="CK70" s="191">
        <v>263.45409999999998</v>
      </c>
      <c r="CL70" s="191">
        <v>263.41759999999999</v>
      </c>
      <c r="CM70" s="191">
        <v>263.44959999999998</v>
      </c>
      <c r="CN70" s="191">
        <v>263.45530000000002</v>
      </c>
      <c r="CO70" s="279">
        <v>263.45249999999999</v>
      </c>
      <c r="CP70" s="191">
        <v>263.45409999999998</v>
      </c>
      <c r="CQ70" s="279">
        <v>263.45569999999998</v>
      </c>
      <c r="CR70" s="191">
        <v>263.43770000000001</v>
      </c>
      <c r="CS70" s="191">
        <v>263.24579999999997</v>
      </c>
      <c r="CT70" s="191">
        <v>263.27269999999999</v>
      </c>
      <c r="CU70" s="191">
        <v>263.28570000000002</v>
      </c>
      <c r="CV70" s="191">
        <v>263.22550000000001</v>
      </c>
      <c r="CW70" s="191">
        <v>263.1968</v>
      </c>
      <c r="CX70" s="191">
        <v>263.24299999999999</v>
      </c>
      <c r="CY70" s="191">
        <v>263.45679999999999</v>
      </c>
      <c r="CZ70" s="191">
        <v>263.23719999999997</v>
      </c>
      <c r="DA70" s="191">
        <v>263.27289999999999</v>
      </c>
      <c r="DB70" s="191">
        <v>263.2045</v>
      </c>
      <c r="DC70" s="191">
        <v>263.19920000000002</v>
      </c>
      <c r="DD70" s="191">
        <v>263.3374</v>
      </c>
      <c r="DE70" s="191">
        <v>263.2029</v>
      </c>
      <c r="DF70" s="191">
        <v>263.3116</v>
      </c>
      <c r="DG70" s="191">
        <v>263.2747</v>
      </c>
      <c r="DH70" s="191">
        <v>263.27050000000003</v>
      </c>
      <c r="DI70" s="191">
        <v>263.14420000000001</v>
      </c>
      <c r="DJ70" s="191">
        <v>263.13080000000002</v>
      </c>
      <c r="DK70" s="279">
        <v>263.14679999999998</v>
      </c>
      <c r="DL70" s="191">
        <v>263.22879999999998</v>
      </c>
      <c r="DM70" s="191">
        <v>263.23559999999998</v>
      </c>
      <c r="DN70" s="191">
        <v>263.2595</v>
      </c>
      <c r="DO70" s="191">
        <v>263.33019999999999</v>
      </c>
      <c r="DP70" s="191">
        <v>263.38389999999998</v>
      </c>
      <c r="DQ70" s="191">
        <v>263.37430000000001</v>
      </c>
      <c r="DR70" s="191">
        <v>263.25529999999998</v>
      </c>
      <c r="DS70" s="191">
        <v>263.27019999999999</v>
      </c>
      <c r="DT70" s="191">
        <v>263.16250000000002</v>
      </c>
      <c r="DU70" s="191">
        <v>263.33269999999999</v>
      </c>
      <c r="DV70" s="191">
        <v>263.27789999999999</v>
      </c>
      <c r="DW70" s="191">
        <v>263.3546</v>
      </c>
      <c r="DX70" s="191">
        <v>263.41340000000002</v>
      </c>
      <c r="DY70" s="278">
        <v>263.7439</v>
      </c>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row>
    <row r="71" spans="1:155" ht="45" customHeight="1" x14ac:dyDescent="0.45">
      <c r="A71" s="277">
        <v>350</v>
      </c>
      <c r="B71" s="191"/>
      <c r="C71" s="191"/>
      <c r="D71" s="191"/>
      <c r="E71" s="278">
        <v>264.29750000000001</v>
      </c>
      <c r="F71" s="191">
        <v>264.36270000000002</v>
      </c>
      <c r="G71" s="191">
        <v>264.46159999999998</v>
      </c>
      <c r="H71" s="279">
        <v>264.36900000000003</v>
      </c>
      <c r="I71" s="191">
        <v>264.1927</v>
      </c>
      <c r="J71" s="191">
        <v>263.827</v>
      </c>
      <c r="K71" s="191">
        <v>263.77420000000001</v>
      </c>
      <c r="L71" s="191">
        <v>263.90359999999998</v>
      </c>
      <c r="M71" s="191">
        <v>263.84160000000003</v>
      </c>
      <c r="N71" s="191">
        <v>263.84949999999998</v>
      </c>
      <c r="O71" s="191">
        <v>263.84480000000002</v>
      </c>
      <c r="P71" s="191">
        <v>263.85070000000002</v>
      </c>
      <c r="Q71" s="191">
        <v>263.84140000000002</v>
      </c>
      <c r="R71" s="191">
        <v>263.84429999999998</v>
      </c>
      <c r="S71" s="191">
        <v>263.83510000000001</v>
      </c>
      <c r="T71" s="191">
        <v>263.82510000000002</v>
      </c>
      <c r="U71" s="191">
        <v>263.83510000000001</v>
      </c>
      <c r="V71" s="191">
        <v>263.83800000000002</v>
      </c>
      <c r="W71" s="191">
        <v>263.84829999999999</v>
      </c>
      <c r="X71" s="191">
        <v>263.8424</v>
      </c>
      <c r="Y71" s="279">
        <v>263.99329999999998</v>
      </c>
      <c r="Z71" s="191">
        <v>263.83339999999998</v>
      </c>
      <c r="AA71" s="279">
        <v>263.81630000000001</v>
      </c>
      <c r="AB71" s="191">
        <v>263.8107</v>
      </c>
      <c r="AC71" s="191">
        <v>263.82459999999998</v>
      </c>
      <c r="AD71" s="191">
        <v>263.84089999999998</v>
      </c>
      <c r="AE71" s="191">
        <v>263.87259999999998</v>
      </c>
      <c r="AF71" s="191">
        <v>263.87689999999998</v>
      </c>
      <c r="AG71" s="191">
        <v>263.8707</v>
      </c>
      <c r="AH71" s="191">
        <v>263.9006</v>
      </c>
      <c r="AI71" s="191">
        <v>263.86059999999998</v>
      </c>
      <c r="AJ71" s="191">
        <v>263.85930000000002</v>
      </c>
      <c r="AK71" s="191">
        <v>263.82619999999997</v>
      </c>
      <c r="AL71" s="191">
        <v>263.84960000000001</v>
      </c>
      <c r="AM71" s="191">
        <v>263.81909999999999</v>
      </c>
      <c r="AN71" s="191">
        <v>263.81200000000001</v>
      </c>
      <c r="AO71" s="191">
        <v>263.84629999999999</v>
      </c>
      <c r="AP71" s="191">
        <v>263.86750000000001</v>
      </c>
      <c r="AQ71" s="191">
        <v>263.8623</v>
      </c>
      <c r="AR71" s="191">
        <v>263.87200000000001</v>
      </c>
      <c r="AS71" s="191">
        <v>263.86340000000001</v>
      </c>
      <c r="AT71" s="191">
        <v>263.81560000000002</v>
      </c>
      <c r="AU71" s="279">
        <v>263.8381</v>
      </c>
      <c r="AV71" s="191">
        <v>263.8492</v>
      </c>
      <c r="AW71" s="191">
        <v>263.84519999999998</v>
      </c>
      <c r="AX71" s="279">
        <v>263.84460000000001</v>
      </c>
      <c r="AY71" s="191">
        <v>263.87520000000001</v>
      </c>
      <c r="AZ71" s="191">
        <v>263.8741</v>
      </c>
      <c r="BA71" s="191">
        <v>263.88420000000002</v>
      </c>
      <c r="BB71" s="191">
        <v>263.9119</v>
      </c>
      <c r="BC71" s="191">
        <v>263.9228</v>
      </c>
      <c r="BD71" s="191">
        <v>263.93119999999999</v>
      </c>
      <c r="BE71" s="191">
        <v>263.88600000000002</v>
      </c>
      <c r="BF71" s="191">
        <v>263.89330000000001</v>
      </c>
      <c r="BG71" s="191">
        <v>263.8698</v>
      </c>
      <c r="BH71" s="191">
        <v>263.86799999999999</v>
      </c>
      <c r="BI71" s="191">
        <v>263.83859999999999</v>
      </c>
      <c r="BJ71" s="191">
        <v>263.8261</v>
      </c>
      <c r="BK71" s="191">
        <v>263.83120000000002</v>
      </c>
      <c r="BL71" s="191">
        <v>263.78410000000002</v>
      </c>
      <c r="BM71" s="191">
        <v>263.81220000000002</v>
      </c>
      <c r="BN71" s="191">
        <v>263.82760000000002</v>
      </c>
      <c r="BO71" s="191">
        <v>263.84559999999999</v>
      </c>
      <c r="BP71" s="191">
        <v>264.10230000000001</v>
      </c>
      <c r="BQ71" s="191">
        <v>263.84500000000003</v>
      </c>
      <c r="BR71" s="279">
        <v>263.84559999999999</v>
      </c>
      <c r="BS71" s="191">
        <v>263.64299999999997</v>
      </c>
      <c r="BT71" s="279">
        <v>263.63119999999998</v>
      </c>
      <c r="BU71" s="191">
        <v>263.91419999999999</v>
      </c>
      <c r="BV71" s="191">
        <v>264.06509999999997</v>
      </c>
      <c r="BW71" s="191">
        <v>263.96539999999999</v>
      </c>
      <c r="BX71" s="191">
        <v>263.87880000000001</v>
      </c>
      <c r="BY71" s="191">
        <v>263.65719999999999</v>
      </c>
      <c r="BZ71" s="191">
        <v>263.5093</v>
      </c>
      <c r="CA71" s="191">
        <v>263.49360000000001</v>
      </c>
      <c r="CB71" s="191">
        <v>263.49489999999997</v>
      </c>
      <c r="CC71" s="191">
        <v>263.48140000000001</v>
      </c>
      <c r="CD71" s="191">
        <v>263.48070000000001</v>
      </c>
      <c r="CE71" s="191">
        <v>263.4785</v>
      </c>
      <c r="CF71" s="191">
        <v>263.42090000000002</v>
      </c>
      <c r="CG71" s="191">
        <v>263.43900000000002</v>
      </c>
      <c r="CH71" s="191">
        <v>263.42290000000003</v>
      </c>
      <c r="CI71" s="191">
        <v>263.4522</v>
      </c>
      <c r="CJ71" s="191">
        <v>263.44409999999999</v>
      </c>
      <c r="CK71" s="191">
        <v>263.40379999999999</v>
      </c>
      <c r="CL71" s="191">
        <v>263.39769999999999</v>
      </c>
      <c r="CM71" s="191">
        <v>263.43950000000001</v>
      </c>
      <c r="CN71" s="191">
        <v>263.48410000000001</v>
      </c>
      <c r="CO71" s="279">
        <v>263.48919999999998</v>
      </c>
      <c r="CP71" s="191">
        <v>263.4889</v>
      </c>
      <c r="CQ71" s="279">
        <v>263.50150000000002</v>
      </c>
      <c r="CR71" s="191">
        <v>263.47539999999998</v>
      </c>
      <c r="CS71" s="191">
        <v>263.31610000000001</v>
      </c>
      <c r="CT71" s="191">
        <v>263.28440000000001</v>
      </c>
      <c r="CU71" s="191">
        <v>263.26909999999998</v>
      </c>
      <c r="CV71" s="191">
        <v>263.36160000000001</v>
      </c>
      <c r="CW71" s="191">
        <v>263.2756</v>
      </c>
      <c r="CX71" s="191">
        <v>263.48540000000003</v>
      </c>
      <c r="CY71" s="191">
        <v>263.40179999999998</v>
      </c>
      <c r="CZ71" s="191">
        <v>263.23540000000003</v>
      </c>
      <c r="DA71" s="191">
        <v>263.26049999999998</v>
      </c>
      <c r="DB71" s="191">
        <v>263.2371</v>
      </c>
      <c r="DC71" s="191">
        <v>263.24930000000001</v>
      </c>
      <c r="DD71" s="191">
        <v>263.29199999999997</v>
      </c>
      <c r="DE71" s="191">
        <v>263.24990000000003</v>
      </c>
      <c r="DF71" s="191">
        <v>263.25360000000001</v>
      </c>
      <c r="DG71" s="191">
        <v>262.89449999999999</v>
      </c>
      <c r="DH71" s="191">
        <v>263.32470000000001</v>
      </c>
      <c r="DI71" s="191">
        <v>262.94049999999999</v>
      </c>
      <c r="DJ71" s="191">
        <v>263.16250000000002</v>
      </c>
      <c r="DK71" s="279">
        <v>263.20839999999998</v>
      </c>
      <c r="DL71" s="191">
        <v>263.49400000000003</v>
      </c>
      <c r="DM71" s="191">
        <v>263.33949999999999</v>
      </c>
      <c r="DN71" s="191">
        <v>263.70620000000002</v>
      </c>
      <c r="DO71" s="191">
        <v>263.0575</v>
      </c>
      <c r="DP71" s="191">
        <v>263.16489999999999</v>
      </c>
      <c r="DQ71" s="191">
        <v>263.0462</v>
      </c>
      <c r="DR71" s="191">
        <v>263.45260000000002</v>
      </c>
      <c r="DS71" s="191">
        <v>263.4939</v>
      </c>
      <c r="DT71" s="191">
        <v>263.35680000000002</v>
      </c>
      <c r="DU71" s="191">
        <v>263.45100000000002</v>
      </c>
      <c r="DV71" s="191">
        <v>263.36689999999999</v>
      </c>
      <c r="DW71" s="191">
        <v>263.30419999999998</v>
      </c>
      <c r="DX71" s="191">
        <v>263.4699</v>
      </c>
      <c r="DY71" s="278">
        <v>263.44499999999999</v>
      </c>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row>
    <row r="72" spans="1:155" ht="45" customHeight="1" x14ac:dyDescent="0.45">
      <c r="A72" s="277">
        <v>355</v>
      </c>
      <c r="B72" s="191"/>
      <c r="C72" s="191"/>
      <c r="D72" s="191"/>
      <c r="E72" s="278">
        <v>264.08330000000001</v>
      </c>
      <c r="F72" s="191">
        <v>264.24270000000001</v>
      </c>
      <c r="G72" s="191">
        <v>264.27870000000001</v>
      </c>
      <c r="H72" s="279">
        <v>264.44850000000002</v>
      </c>
      <c r="I72" s="191">
        <v>264.27510000000001</v>
      </c>
      <c r="J72" s="191">
        <v>263.94209999999998</v>
      </c>
      <c r="K72" s="191">
        <v>263.86649999999997</v>
      </c>
      <c r="L72" s="191">
        <v>263.85579999999999</v>
      </c>
      <c r="M72" s="191">
        <v>263.86700000000002</v>
      </c>
      <c r="N72" s="191">
        <v>263.86070000000001</v>
      </c>
      <c r="O72" s="191">
        <v>263.85000000000002</v>
      </c>
      <c r="P72" s="191">
        <v>263.91750000000002</v>
      </c>
      <c r="Q72" s="191">
        <v>263.8562</v>
      </c>
      <c r="R72" s="191">
        <v>263.85899999999998</v>
      </c>
      <c r="S72" s="191">
        <v>263.85239999999999</v>
      </c>
      <c r="T72" s="191">
        <v>263.85820000000001</v>
      </c>
      <c r="U72" s="191">
        <v>263.83980000000003</v>
      </c>
      <c r="V72" s="191">
        <v>263.84370000000001</v>
      </c>
      <c r="W72" s="191">
        <v>263.839</v>
      </c>
      <c r="X72" s="191">
        <v>263.83730000000003</v>
      </c>
      <c r="Y72" s="279">
        <v>263.9402</v>
      </c>
      <c r="Z72" s="191">
        <v>263.8125</v>
      </c>
      <c r="AA72" s="279">
        <v>263.80560000000003</v>
      </c>
      <c r="AB72" s="191">
        <v>263.84679999999997</v>
      </c>
      <c r="AC72" s="191">
        <v>263.78919999999999</v>
      </c>
      <c r="AD72" s="191">
        <v>263.83240000000001</v>
      </c>
      <c r="AE72" s="191">
        <v>263.86919999999998</v>
      </c>
      <c r="AF72" s="191">
        <v>263.88299999999998</v>
      </c>
      <c r="AG72" s="191">
        <v>263.86329999999998</v>
      </c>
      <c r="AH72" s="191">
        <v>263.88560000000001</v>
      </c>
      <c r="AI72" s="191">
        <v>263.87979999999999</v>
      </c>
      <c r="AJ72" s="191">
        <v>263.8972</v>
      </c>
      <c r="AK72" s="191">
        <v>263.9169</v>
      </c>
      <c r="AL72" s="191">
        <v>263.88139999999999</v>
      </c>
      <c r="AM72" s="191">
        <v>263.86399999999998</v>
      </c>
      <c r="AN72" s="191">
        <v>263.87430000000001</v>
      </c>
      <c r="AO72" s="191">
        <v>263.8956</v>
      </c>
      <c r="AP72" s="191">
        <v>263.87119999999999</v>
      </c>
      <c r="AQ72" s="191">
        <v>263.87419999999997</v>
      </c>
      <c r="AR72" s="191">
        <v>263.8347</v>
      </c>
      <c r="AS72" s="191">
        <v>263.8639</v>
      </c>
      <c r="AT72" s="191">
        <v>263.79140000000001</v>
      </c>
      <c r="AU72" s="279">
        <v>263.82100000000003</v>
      </c>
      <c r="AV72" s="191">
        <v>263.94200000000001</v>
      </c>
      <c r="AW72" s="191">
        <v>263.87860000000001</v>
      </c>
      <c r="AX72" s="279">
        <v>263.87970000000001</v>
      </c>
      <c r="AY72" s="191">
        <v>263.8596</v>
      </c>
      <c r="AZ72" s="191">
        <v>263.86219999999997</v>
      </c>
      <c r="BA72" s="191">
        <v>263.8732</v>
      </c>
      <c r="BB72" s="191">
        <v>263.87459999999999</v>
      </c>
      <c r="BC72" s="191">
        <v>263.88760000000002</v>
      </c>
      <c r="BD72" s="191">
        <v>263.89789999999999</v>
      </c>
      <c r="BE72" s="191">
        <v>263.90190000000001</v>
      </c>
      <c r="BF72" s="191">
        <v>263.88589999999999</v>
      </c>
      <c r="BG72" s="191">
        <v>263.89170000000001</v>
      </c>
      <c r="BH72" s="191">
        <v>263.98680000000002</v>
      </c>
      <c r="BI72" s="191">
        <v>263.86450000000002</v>
      </c>
      <c r="BJ72" s="191">
        <v>263.81389999999999</v>
      </c>
      <c r="BK72" s="191">
        <v>263.81130000000002</v>
      </c>
      <c r="BL72" s="191">
        <v>263.82260000000002</v>
      </c>
      <c r="BM72" s="191">
        <v>263.8159</v>
      </c>
      <c r="BN72" s="191">
        <v>263.76319999999998</v>
      </c>
      <c r="BO72" s="191">
        <v>263.83010000000002</v>
      </c>
      <c r="BP72" s="191">
        <v>263.767</v>
      </c>
      <c r="BQ72" s="191">
        <v>263.8494</v>
      </c>
      <c r="BR72" s="279">
        <v>263.84879999999998</v>
      </c>
      <c r="BS72" s="191">
        <v>263.65870000000001</v>
      </c>
      <c r="BT72" s="279">
        <v>263.66030000000001</v>
      </c>
      <c r="BU72" s="191">
        <v>263.86900000000003</v>
      </c>
      <c r="BV72" s="191">
        <v>264.1037</v>
      </c>
      <c r="BW72" s="191">
        <v>264.01729999999998</v>
      </c>
      <c r="BX72" s="191">
        <v>263.9522</v>
      </c>
      <c r="BY72" s="191">
        <v>263.58920000000001</v>
      </c>
      <c r="BZ72" s="191">
        <v>263.5231</v>
      </c>
      <c r="CA72" s="191">
        <v>263.50599999999997</v>
      </c>
      <c r="CB72" s="191">
        <v>263.50869999999998</v>
      </c>
      <c r="CC72" s="191">
        <v>263.53460000000001</v>
      </c>
      <c r="CD72" s="191">
        <v>263.5104</v>
      </c>
      <c r="CE72" s="191">
        <v>263.5</v>
      </c>
      <c r="CF72" s="191">
        <v>263.46899999999999</v>
      </c>
      <c r="CG72" s="191">
        <v>263.46370000000002</v>
      </c>
      <c r="CH72" s="191">
        <v>263.46780000000001</v>
      </c>
      <c r="CI72" s="191">
        <v>263.48469999999998</v>
      </c>
      <c r="CJ72" s="191">
        <v>263.45249999999999</v>
      </c>
      <c r="CK72" s="191">
        <v>263.43450000000001</v>
      </c>
      <c r="CL72" s="191">
        <v>263.4434</v>
      </c>
      <c r="CM72" s="191">
        <v>263.44639999999998</v>
      </c>
      <c r="CN72" s="191">
        <v>263.46539999999999</v>
      </c>
      <c r="CO72" s="279">
        <v>263.5068</v>
      </c>
      <c r="CP72" s="191">
        <v>263.53919999999999</v>
      </c>
      <c r="CQ72" s="279">
        <v>263.5729</v>
      </c>
      <c r="CR72" s="191">
        <v>263.54989999999998</v>
      </c>
      <c r="CS72" s="191">
        <v>263.39359999999999</v>
      </c>
      <c r="CT72" s="191">
        <v>263.34230000000002</v>
      </c>
      <c r="CU72" s="191">
        <v>263.28769999999997</v>
      </c>
      <c r="CV72" s="191">
        <v>263.26679999999999</v>
      </c>
      <c r="CW72" s="191">
        <v>263.31810000000002</v>
      </c>
      <c r="CX72" s="191">
        <v>263.28269999999998</v>
      </c>
      <c r="CY72" s="191">
        <v>263.40140000000002</v>
      </c>
      <c r="CZ72" s="191">
        <v>263.24579999999997</v>
      </c>
      <c r="DA72" s="191">
        <v>263.3107</v>
      </c>
      <c r="DB72" s="191">
        <v>263.2654</v>
      </c>
      <c r="DC72" s="191">
        <v>263.28050000000002</v>
      </c>
      <c r="DD72" s="191">
        <v>263.29989999999998</v>
      </c>
      <c r="DE72" s="191">
        <v>263.27550000000002</v>
      </c>
      <c r="DF72" s="191">
        <v>263.28980000000001</v>
      </c>
      <c r="DG72" s="191">
        <v>263.1583</v>
      </c>
      <c r="DH72" s="191">
        <v>263.30180000000001</v>
      </c>
      <c r="DI72" s="191">
        <v>263.23390000000001</v>
      </c>
      <c r="DJ72" s="191">
        <v>263.21350000000001</v>
      </c>
      <c r="DK72" s="279">
        <v>263.21019999999999</v>
      </c>
      <c r="DL72" s="191">
        <v>263.18279999999999</v>
      </c>
      <c r="DM72" s="191">
        <v>263.34249999999997</v>
      </c>
      <c r="DN72" s="191">
        <v>263.5256</v>
      </c>
      <c r="DO72" s="191">
        <v>263.07799999999997</v>
      </c>
      <c r="DP72" s="191">
        <v>262.98050000000001</v>
      </c>
      <c r="DQ72" s="191">
        <v>263.2561</v>
      </c>
      <c r="DR72" s="191">
        <v>263.40879999999999</v>
      </c>
      <c r="DS72" s="191">
        <v>263.43329999999997</v>
      </c>
      <c r="DT72" s="191">
        <v>263.47519999999997</v>
      </c>
      <c r="DU72" s="191">
        <v>263.43180000000001</v>
      </c>
      <c r="DV72" s="191">
        <v>263.09030000000001</v>
      </c>
      <c r="DW72" s="191">
        <v>263.16199999999998</v>
      </c>
      <c r="DX72" s="191">
        <v>263.27</v>
      </c>
      <c r="DY72" s="278">
        <v>263.21469999999999</v>
      </c>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row>
    <row r="73" spans="1:155" ht="45" customHeight="1" x14ac:dyDescent="0.45">
      <c r="A73" s="277">
        <v>360</v>
      </c>
      <c r="B73" s="191"/>
      <c r="C73" s="191"/>
      <c r="D73" s="191"/>
      <c r="E73" s="191"/>
      <c r="F73" s="278">
        <v>264.18520000000001</v>
      </c>
      <c r="G73" s="191">
        <v>264.31439999999998</v>
      </c>
      <c r="H73" s="279">
        <v>263.90129999999999</v>
      </c>
      <c r="I73" s="191">
        <v>263.85449999999997</v>
      </c>
      <c r="J73" s="191">
        <v>263.87389999999999</v>
      </c>
      <c r="K73" s="191">
        <v>263.85140000000001</v>
      </c>
      <c r="L73" s="191">
        <v>263.87380000000002</v>
      </c>
      <c r="M73" s="191">
        <v>263.87700000000001</v>
      </c>
      <c r="N73" s="191">
        <v>263.88459999999998</v>
      </c>
      <c r="O73" s="191">
        <v>263.89240000000001</v>
      </c>
      <c r="P73" s="191">
        <v>263.96409999999997</v>
      </c>
      <c r="Q73" s="191">
        <v>263.87569999999999</v>
      </c>
      <c r="R73" s="191">
        <v>263.87509999999997</v>
      </c>
      <c r="S73" s="191">
        <v>263.86770000000001</v>
      </c>
      <c r="T73" s="191">
        <v>263.86590000000001</v>
      </c>
      <c r="U73" s="191">
        <v>263.85309999999998</v>
      </c>
      <c r="V73" s="191">
        <v>263.8383</v>
      </c>
      <c r="W73" s="191">
        <v>263.83519999999999</v>
      </c>
      <c r="X73" s="191">
        <v>263.84230000000002</v>
      </c>
      <c r="Y73" s="279">
        <v>263.86799999999999</v>
      </c>
      <c r="Z73" s="191">
        <v>263.78969999999998</v>
      </c>
      <c r="AA73" s="279">
        <v>263.80410000000001</v>
      </c>
      <c r="AB73" s="191">
        <v>263.84550000000002</v>
      </c>
      <c r="AC73" s="191">
        <v>263.87180000000001</v>
      </c>
      <c r="AD73" s="191">
        <v>263.84179999999998</v>
      </c>
      <c r="AE73" s="191">
        <v>263.89359999999999</v>
      </c>
      <c r="AF73" s="191">
        <v>263.8716</v>
      </c>
      <c r="AG73" s="191">
        <v>263.8843</v>
      </c>
      <c r="AH73" s="191">
        <v>263.89409999999998</v>
      </c>
      <c r="AI73" s="191">
        <v>263.89519999999999</v>
      </c>
      <c r="AJ73" s="191">
        <v>263.8845</v>
      </c>
      <c r="AK73" s="191">
        <v>263.91539999999998</v>
      </c>
      <c r="AL73" s="191">
        <v>263.91239999999999</v>
      </c>
      <c r="AM73" s="191">
        <v>263.88630000000001</v>
      </c>
      <c r="AN73" s="191">
        <v>263.89749999999998</v>
      </c>
      <c r="AO73" s="191">
        <v>263.9162</v>
      </c>
      <c r="AP73" s="191">
        <v>263.92649999999998</v>
      </c>
      <c r="AQ73" s="191">
        <v>263.91609999999997</v>
      </c>
      <c r="AR73" s="191">
        <v>263.88780000000003</v>
      </c>
      <c r="AS73" s="191">
        <v>263.84710000000001</v>
      </c>
      <c r="AT73" s="191">
        <v>263.78640000000001</v>
      </c>
      <c r="AU73" s="279">
        <v>263.80220000000003</v>
      </c>
      <c r="AV73" s="191">
        <v>263.85890000000001</v>
      </c>
      <c r="AW73" s="191">
        <v>263.88290000000001</v>
      </c>
      <c r="AX73" s="279">
        <v>263.8827</v>
      </c>
      <c r="AY73" s="191">
        <v>263.85320000000002</v>
      </c>
      <c r="AZ73" s="191">
        <v>263.87630000000001</v>
      </c>
      <c r="BA73" s="191">
        <v>263.88459999999998</v>
      </c>
      <c r="BB73" s="191">
        <v>263.89100000000002</v>
      </c>
      <c r="BC73" s="191">
        <v>263.89519999999999</v>
      </c>
      <c r="BD73" s="191">
        <v>263.88440000000003</v>
      </c>
      <c r="BE73" s="191">
        <v>263.91090000000003</v>
      </c>
      <c r="BF73" s="191">
        <v>263.89089999999999</v>
      </c>
      <c r="BG73" s="191">
        <v>263.88069999999999</v>
      </c>
      <c r="BH73" s="191">
        <v>263.95699999999999</v>
      </c>
      <c r="BI73" s="191">
        <v>263.9554</v>
      </c>
      <c r="BJ73" s="191">
        <v>263.86</v>
      </c>
      <c r="BK73" s="191">
        <v>263.84379999999999</v>
      </c>
      <c r="BL73" s="191">
        <v>263.83179999999999</v>
      </c>
      <c r="BM73" s="191">
        <v>263.80799999999999</v>
      </c>
      <c r="BN73" s="191">
        <v>263.82040000000001</v>
      </c>
      <c r="BO73" s="191">
        <v>263.82819999999998</v>
      </c>
      <c r="BP73" s="191">
        <v>263.65719999999999</v>
      </c>
      <c r="BQ73" s="191">
        <v>263.64100000000002</v>
      </c>
      <c r="BR73" s="279">
        <v>263.64510000000001</v>
      </c>
      <c r="BS73" s="191">
        <v>263.73230000000001</v>
      </c>
      <c r="BT73" s="279">
        <v>263.74119999999999</v>
      </c>
      <c r="BU73" s="191">
        <v>263.97149999999999</v>
      </c>
      <c r="BV73" s="191">
        <v>263.87049999999999</v>
      </c>
      <c r="BW73" s="191">
        <v>263.96749999999997</v>
      </c>
      <c r="BX73" s="191">
        <v>263.94810000000001</v>
      </c>
      <c r="BY73" s="191">
        <v>263.5711</v>
      </c>
      <c r="BZ73" s="191">
        <v>263.55450000000002</v>
      </c>
      <c r="CA73" s="191">
        <v>263.50799999999998</v>
      </c>
      <c r="CB73" s="191">
        <v>263.51049999999998</v>
      </c>
      <c r="CC73" s="191">
        <v>263.5308</v>
      </c>
      <c r="CD73" s="191">
        <v>263.52839999999998</v>
      </c>
      <c r="CE73" s="191">
        <v>263.5111</v>
      </c>
      <c r="CF73" s="191">
        <v>263.51209999999998</v>
      </c>
      <c r="CG73" s="191">
        <v>263.52929999999998</v>
      </c>
      <c r="CH73" s="191">
        <v>263.51420000000002</v>
      </c>
      <c r="CI73" s="191">
        <v>263.52960000000002</v>
      </c>
      <c r="CJ73" s="191">
        <v>263.49489999999997</v>
      </c>
      <c r="CK73" s="191">
        <v>263.4776</v>
      </c>
      <c r="CL73" s="191">
        <v>263.49180000000001</v>
      </c>
      <c r="CM73" s="191">
        <v>263.4846</v>
      </c>
      <c r="CN73" s="191">
        <v>263.46409999999997</v>
      </c>
      <c r="CO73" s="279">
        <v>263.48309999999998</v>
      </c>
      <c r="CP73" s="191">
        <v>263.51909999999998</v>
      </c>
      <c r="CQ73" s="279">
        <v>263.53769999999997</v>
      </c>
      <c r="CR73" s="191">
        <v>263.59780000000001</v>
      </c>
      <c r="CS73" s="191">
        <v>263.4563</v>
      </c>
      <c r="CT73" s="191">
        <v>263.39359999999999</v>
      </c>
      <c r="CU73" s="191">
        <v>263.35079999999999</v>
      </c>
      <c r="CV73" s="191">
        <v>263.3082</v>
      </c>
      <c r="CW73" s="191">
        <v>263.3252</v>
      </c>
      <c r="CX73" s="191">
        <v>263.33699999999999</v>
      </c>
      <c r="CY73" s="191">
        <v>263.46249999999998</v>
      </c>
      <c r="CZ73" s="191">
        <v>263.30169999999998</v>
      </c>
      <c r="DA73" s="191">
        <v>263.3313</v>
      </c>
      <c r="DB73" s="191">
        <v>263.2971</v>
      </c>
      <c r="DC73" s="191">
        <v>263.29539999999997</v>
      </c>
      <c r="DD73" s="191">
        <v>263.34019999999998</v>
      </c>
      <c r="DE73" s="191">
        <v>263.31950000000001</v>
      </c>
      <c r="DF73" s="191">
        <v>263.33909999999997</v>
      </c>
      <c r="DG73" s="191">
        <v>263.50409999999999</v>
      </c>
      <c r="DH73" s="191">
        <v>263.23110000000003</v>
      </c>
      <c r="DI73" s="191">
        <v>263.27429999999998</v>
      </c>
      <c r="DJ73" s="191">
        <v>263.25709999999998</v>
      </c>
      <c r="DK73" s="279">
        <v>263.24419999999998</v>
      </c>
      <c r="DL73" s="191">
        <v>263.22320000000002</v>
      </c>
      <c r="DM73" s="191">
        <v>263.10820000000001</v>
      </c>
      <c r="DN73" s="191">
        <v>263.24439999999998</v>
      </c>
      <c r="DO73" s="191">
        <v>263.23430000000002</v>
      </c>
      <c r="DP73" s="191">
        <v>263.36860000000001</v>
      </c>
      <c r="DQ73" s="191">
        <v>263.43540000000002</v>
      </c>
      <c r="DR73" s="191">
        <v>263.5095</v>
      </c>
      <c r="DS73" s="191">
        <v>263.40199999999999</v>
      </c>
      <c r="DT73" s="191">
        <v>263.32569999999998</v>
      </c>
      <c r="DU73" s="191">
        <v>263.45139999999998</v>
      </c>
      <c r="DV73" s="191">
        <v>263.17720000000003</v>
      </c>
      <c r="DW73" s="191">
        <v>263.21370000000002</v>
      </c>
      <c r="DX73" s="191">
        <v>263.43669999999997</v>
      </c>
      <c r="DY73" s="191">
        <v>263.23630000000003</v>
      </c>
      <c r="DZ73" s="278">
        <v>263.44959999999998</v>
      </c>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row>
    <row r="74" spans="1:155" ht="45" customHeight="1" x14ac:dyDescent="0.45">
      <c r="A74" s="277">
        <v>365</v>
      </c>
      <c r="B74" s="191"/>
      <c r="C74" s="191"/>
      <c r="D74" s="191"/>
      <c r="E74" s="191"/>
      <c r="F74" s="278">
        <v>263.87310000000002</v>
      </c>
      <c r="G74" s="191">
        <v>263.85489999999999</v>
      </c>
      <c r="H74" s="279">
        <v>263.86709999999999</v>
      </c>
      <c r="I74" s="191">
        <v>263.87819999999999</v>
      </c>
      <c r="J74" s="191">
        <v>263.88119999999998</v>
      </c>
      <c r="K74" s="191">
        <v>263.86810000000003</v>
      </c>
      <c r="L74" s="191">
        <v>263.87270000000001</v>
      </c>
      <c r="M74" s="191">
        <v>263.88630000000001</v>
      </c>
      <c r="N74" s="191">
        <v>263.88229999999999</v>
      </c>
      <c r="O74" s="191">
        <v>263.90769999999998</v>
      </c>
      <c r="P74" s="191">
        <v>264.01519999999999</v>
      </c>
      <c r="Q74" s="191">
        <v>263.91379999999998</v>
      </c>
      <c r="R74" s="191">
        <v>263.90719999999999</v>
      </c>
      <c r="S74" s="191">
        <v>263.90190000000001</v>
      </c>
      <c r="T74" s="191">
        <v>263.8879</v>
      </c>
      <c r="U74" s="191">
        <v>263.87049999999999</v>
      </c>
      <c r="V74" s="191">
        <v>263.86160000000001</v>
      </c>
      <c r="W74" s="191">
        <v>263.86410000000001</v>
      </c>
      <c r="X74" s="191">
        <v>263.85090000000002</v>
      </c>
      <c r="Y74" s="279">
        <v>263.85599999999999</v>
      </c>
      <c r="Z74" s="191">
        <v>263.80770000000001</v>
      </c>
      <c r="AA74" s="279">
        <v>263.82089999999999</v>
      </c>
      <c r="AB74" s="191">
        <v>263.83019999999999</v>
      </c>
      <c r="AC74" s="191">
        <v>263.88279999999997</v>
      </c>
      <c r="AD74" s="191">
        <v>263.85559999999998</v>
      </c>
      <c r="AE74" s="191">
        <v>263.8596</v>
      </c>
      <c r="AF74" s="191">
        <v>263.8766</v>
      </c>
      <c r="AG74" s="191">
        <v>263.89089999999999</v>
      </c>
      <c r="AH74" s="191">
        <v>263.91329999999999</v>
      </c>
      <c r="AI74" s="191">
        <v>263.90679999999998</v>
      </c>
      <c r="AJ74" s="191">
        <v>263.94779999999997</v>
      </c>
      <c r="AK74" s="191">
        <v>263.96359999999999</v>
      </c>
      <c r="AL74" s="191">
        <v>263.92540000000002</v>
      </c>
      <c r="AM74" s="191">
        <v>263.91000000000003</v>
      </c>
      <c r="AN74" s="191">
        <v>263.9194</v>
      </c>
      <c r="AO74" s="191">
        <v>263.9393</v>
      </c>
      <c r="AP74" s="191">
        <v>263.9529</v>
      </c>
      <c r="AQ74" s="191">
        <v>263.95209999999997</v>
      </c>
      <c r="AR74" s="191">
        <v>263.9282</v>
      </c>
      <c r="AS74" s="191">
        <v>263.96109999999999</v>
      </c>
      <c r="AT74" s="191">
        <v>263.81619999999998</v>
      </c>
      <c r="AU74" s="279">
        <v>263.82249999999999</v>
      </c>
      <c r="AV74" s="191">
        <v>263.84339999999997</v>
      </c>
      <c r="AW74" s="191">
        <v>263.90589999999997</v>
      </c>
      <c r="AX74" s="279">
        <v>263.87299999999999</v>
      </c>
      <c r="AY74" s="191">
        <v>263.86450000000002</v>
      </c>
      <c r="AZ74" s="191">
        <v>263.91829999999999</v>
      </c>
      <c r="BA74" s="191">
        <v>263.91629999999998</v>
      </c>
      <c r="BB74" s="191">
        <v>263.916</v>
      </c>
      <c r="BC74" s="191">
        <v>263.95069999999998</v>
      </c>
      <c r="BD74" s="191">
        <v>263.93509999999998</v>
      </c>
      <c r="BE74" s="191">
        <v>263.95729999999998</v>
      </c>
      <c r="BF74" s="191">
        <v>263.91890000000001</v>
      </c>
      <c r="BG74" s="191">
        <v>263.90260000000001</v>
      </c>
      <c r="BH74" s="191">
        <v>263.98750000000001</v>
      </c>
      <c r="BI74" s="191">
        <v>263.9896</v>
      </c>
      <c r="BJ74" s="191">
        <v>263.91340000000002</v>
      </c>
      <c r="BK74" s="191">
        <v>263.87430000000001</v>
      </c>
      <c r="BL74" s="191">
        <v>263.85410000000002</v>
      </c>
      <c r="BM74" s="191">
        <v>263.8338</v>
      </c>
      <c r="BN74" s="191">
        <v>263.815</v>
      </c>
      <c r="BO74" s="191">
        <v>263.86840000000001</v>
      </c>
      <c r="BP74" s="191">
        <v>263.7466</v>
      </c>
      <c r="BQ74" s="191">
        <v>263.6062</v>
      </c>
      <c r="BR74" s="279">
        <v>263.67380000000003</v>
      </c>
      <c r="BS74" s="191">
        <v>263.67</v>
      </c>
      <c r="BT74" s="279">
        <v>263.71870000000001</v>
      </c>
      <c r="BU74" s="191">
        <v>263.78370000000001</v>
      </c>
      <c r="BV74" s="191">
        <v>263.75080000000003</v>
      </c>
      <c r="BW74" s="191">
        <v>263.7722</v>
      </c>
      <c r="BX74" s="191">
        <v>263.74560000000002</v>
      </c>
      <c r="BY74" s="191">
        <v>263.57330000000002</v>
      </c>
      <c r="BZ74" s="191">
        <v>263.58870000000002</v>
      </c>
      <c r="CA74" s="191">
        <v>263.5598</v>
      </c>
      <c r="CB74" s="191">
        <v>263.54610000000002</v>
      </c>
      <c r="CC74" s="191">
        <v>263.53710000000001</v>
      </c>
      <c r="CD74" s="191">
        <v>263.53980000000001</v>
      </c>
      <c r="CE74" s="191">
        <v>263.51780000000002</v>
      </c>
      <c r="CF74" s="191">
        <v>263.5462</v>
      </c>
      <c r="CG74" s="191">
        <v>263.52420000000001</v>
      </c>
      <c r="CH74" s="191">
        <v>263.56560000000002</v>
      </c>
      <c r="CI74" s="191">
        <v>263.62830000000002</v>
      </c>
      <c r="CJ74" s="191">
        <v>263.54059999999998</v>
      </c>
      <c r="CK74" s="191">
        <v>263.52190000000002</v>
      </c>
      <c r="CL74" s="191">
        <v>263.51420000000002</v>
      </c>
      <c r="CM74" s="191">
        <v>263.52170000000001</v>
      </c>
      <c r="CN74" s="191">
        <v>263.52859999999998</v>
      </c>
      <c r="CO74" s="279">
        <v>263.52280000000002</v>
      </c>
      <c r="CP74" s="191">
        <v>263.5675</v>
      </c>
      <c r="CQ74" s="279">
        <v>263.53050000000002</v>
      </c>
      <c r="CR74" s="191">
        <v>263.60700000000003</v>
      </c>
      <c r="CS74" s="191">
        <v>263.50869999999998</v>
      </c>
      <c r="CT74" s="191">
        <v>263.42680000000001</v>
      </c>
      <c r="CU74" s="191">
        <v>263.39389999999997</v>
      </c>
      <c r="CV74" s="191">
        <v>263.40179999999998</v>
      </c>
      <c r="CW74" s="191">
        <v>263.37009999999998</v>
      </c>
      <c r="CX74" s="191">
        <v>263.38510000000002</v>
      </c>
      <c r="CY74" s="191">
        <v>263.43389999999999</v>
      </c>
      <c r="CZ74" s="191">
        <v>263.34640000000002</v>
      </c>
      <c r="DA74" s="191">
        <v>263.34230000000002</v>
      </c>
      <c r="DB74" s="191">
        <v>263.31220000000002</v>
      </c>
      <c r="DC74" s="191">
        <v>263.32330000000002</v>
      </c>
      <c r="DD74" s="191">
        <v>263.38799999999998</v>
      </c>
      <c r="DE74" s="191">
        <v>263.40730000000002</v>
      </c>
      <c r="DF74" s="191">
        <v>263.34350000000001</v>
      </c>
      <c r="DG74" s="279">
        <v>263.30759999999998</v>
      </c>
      <c r="DH74" s="279">
        <v>263.18189999999998</v>
      </c>
      <c r="DI74" s="279">
        <v>263.15750000000003</v>
      </c>
      <c r="DJ74" s="279">
        <v>263.3141</v>
      </c>
      <c r="DK74" s="279">
        <v>263.15219999999999</v>
      </c>
      <c r="DL74" s="191">
        <v>263.07600000000002</v>
      </c>
      <c r="DM74" s="191">
        <v>263.35669999999999</v>
      </c>
      <c r="DN74" s="191">
        <v>263.48540000000003</v>
      </c>
      <c r="DO74" s="191">
        <v>263.33330000000001</v>
      </c>
      <c r="DP74" s="191">
        <v>263.35120000000001</v>
      </c>
      <c r="DQ74" s="191">
        <v>263.33030000000002</v>
      </c>
      <c r="DR74" s="191">
        <v>263.54379999999998</v>
      </c>
      <c r="DS74" s="191">
        <v>263.25400000000002</v>
      </c>
      <c r="DT74" s="191">
        <v>263.31619999999998</v>
      </c>
      <c r="DU74" s="191">
        <v>263.37720000000002</v>
      </c>
      <c r="DV74" s="191">
        <v>263.80869999999999</v>
      </c>
      <c r="DW74" s="191">
        <v>263.77159999999998</v>
      </c>
      <c r="DX74" s="191">
        <v>263.51749999999998</v>
      </c>
      <c r="DY74" s="191">
        <v>263.90300000000002</v>
      </c>
      <c r="DZ74" s="278">
        <v>263.6671</v>
      </c>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row>
    <row r="75" spans="1:155" ht="45" customHeight="1" x14ac:dyDescent="0.45">
      <c r="A75" s="277">
        <v>370</v>
      </c>
      <c r="B75" s="191"/>
      <c r="C75" s="191"/>
      <c r="D75" s="191"/>
      <c r="E75" s="191"/>
      <c r="F75" s="278">
        <v>263.87450000000001</v>
      </c>
      <c r="G75" s="191">
        <v>263.83960000000002</v>
      </c>
      <c r="H75" s="279">
        <v>263.87630000000001</v>
      </c>
      <c r="I75" s="191">
        <v>263.8938</v>
      </c>
      <c r="J75" s="191">
        <v>263.88639999999998</v>
      </c>
      <c r="K75" s="191">
        <v>263.86470000000003</v>
      </c>
      <c r="L75" s="191">
        <v>263.86430000000001</v>
      </c>
      <c r="M75" s="191">
        <v>263.89330000000001</v>
      </c>
      <c r="N75" s="191">
        <v>263.89859999999999</v>
      </c>
      <c r="O75" s="191">
        <v>263.90429999999998</v>
      </c>
      <c r="P75" s="191">
        <v>263.97730000000001</v>
      </c>
      <c r="Q75" s="191">
        <v>263.9298</v>
      </c>
      <c r="R75" s="191">
        <v>263.95370000000003</v>
      </c>
      <c r="S75" s="191">
        <v>263.94099999999997</v>
      </c>
      <c r="T75" s="191">
        <v>263.9271</v>
      </c>
      <c r="U75" s="191">
        <v>263.91239999999999</v>
      </c>
      <c r="V75" s="191">
        <v>263.88920000000002</v>
      </c>
      <c r="W75" s="191">
        <v>263.88959999999997</v>
      </c>
      <c r="X75" s="191">
        <v>263.87380000000002</v>
      </c>
      <c r="Y75" s="279">
        <v>263.88099999999997</v>
      </c>
      <c r="Z75" s="191">
        <v>263.82299999999998</v>
      </c>
      <c r="AA75" s="279">
        <v>263.80329999999998</v>
      </c>
      <c r="AB75" s="191">
        <v>263.83170000000001</v>
      </c>
      <c r="AC75" s="191">
        <v>263.8646</v>
      </c>
      <c r="AD75" s="191">
        <v>263.86450000000002</v>
      </c>
      <c r="AE75" s="191">
        <v>263.858</v>
      </c>
      <c r="AF75" s="191">
        <v>263.89609999999999</v>
      </c>
      <c r="AG75" s="191">
        <v>263.89060000000001</v>
      </c>
      <c r="AH75" s="191">
        <v>263.91039999999998</v>
      </c>
      <c r="AI75" s="191">
        <v>263.93290000000002</v>
      </c>
      <c r="AJ75" s="191">
        <v>263.93729999999999</v>
      </c>
      <c r="AK75" s="191">
        <v>263.94150000000002</v>
      </c>
      <c r="AL75" s="191">
        <v>263.9425</v>
      </c>
      <c r="AM75" s="191">
        <v>263.93389999999999</v>
      </c>
      <c r="AN75" s="191">
        <v>263.9427</v>
      </c>
      <c r="AO75" s="191">
        <v>263.9599</v>
      </c>
      <c r="AP75" s="191">
        <v>263.97430000000003</v>
      </c>
      <c r="AQ75" s="191">
        <v>263.95429999999999</v>
      </c>
      <c r="AR75" s="191">
        <v>263.98469999999998</v>
      </c>
      <c r="AS75" s="191">
        <v>263.99900000000002</v>
      </c>
      <c r="AT75" s="191">
        <v>263.85789999999997</v>
      </c>
      <c r="AU75" s="279">
        <v>263.80970000000002</v>
      </c>
      <c r="AV75" s="191">
        <v>263.82060000000001</v>
      </c>
      <c r="AW75" s="191">
        <v>263.86340000000001</v>
      </c>
      <c r="AX75" s="279">
        <v>263.88200000000001</v>
      </c>
      <c r="AY75" s="191">
        <v>263.89589999999998</v>
      </c>
      <c r="AZ75" s="191">
        <v>263.91109999999998</v>
      </c>
      <c r="BA75" s="191">
        <v>263.95409999999998</v>
      </c>
      <c r="BB75" s="191">
        <v>263.94650000000001</v>
      </c>
      <c r="BC75" s="191">
        <v>263.97300000000001</v>
      </c>
      <c r="BD75" s="191">
        <v>263.96370000000002</v>
      </c>
      <c r="BE75" s="191">
        <v>263.9803</v>
      </c>
      <c r="BF75" s="191">
        <v>263.94499999999999</v>
      </c>
      <c r="BG75" s="191">
        <v>263.9427</v>
      </c>
      <c r="BH75" s="191">
        <v>263.99810000000002</v>
      </c>
      <c r="BI75" s="191">
        <v>264.00650000000002</v>
      </c>
      <c r="BJ75" s="191">
        <v>263.93239999999997</v>
      </c>
      <c r="BK75" s="191">
        <v>263.89550000000003</v>
      </c>
      <c r="BL75" s="191">
        <v>263.87569999999999</v>
      </c>
      <c r="BM75" s="191">
        <v>263.85559999999998</v>
      </c>
      <c r="BN75" s="191">
        <v>263.83879999999999</v>
      </c>
      <c r="BO75" s="191">
        <v>263.93810000000002</v>
      </c>
      <c r="BP75" s="191">
        <v>263.81240000000003</v>
      </c>
      <c r="BQ75" s="191">
        <v>263.70100000000002</v>
      </c>
      <c r="BR75" s="279">
        <v>263.70600000000002</v>
      </c>
      <c r="BS75" s="191">
        <v>263.66770000000002</v>
      </c>
      <c r="BT75" s="279">
        <v>263.71129999999999</v>
      </c>
      <c r="BU75" s="279">
        <v>263.75310000000002</v>
      </c>
      <c r="BV75" s="279">
        <v>263.76220000000001</v>
      </c>
      <c r="BW75" s="279">
        <v>263.72559999999999</v>
      </c>
      <c r="BX75" s="279">
        <v>263.75619999999998</v>
      </c>
      <c r="BY75" s="279">
        <v>263.61470000000003</v>
      </c>
      <c r="BZ75" s="279">
        <v>263.61939999999998</v>
      </c>
      <c r="CA75" s="279">
        <v>263.58449999999999</v>
      </c>
      <c r="CB75" s="279">
        <v>263.577</v>
      </c>
      <c r="CC75" s="279">
        <v>263.59160000000003</v>
      </c>
      <c r="CD75" s="279">
        <v>263.56790000000001</v>
      </c>
      <c r="CE75" s="279">
        <v>263.57589999999999</v>
      </c>
      <c r="CF75" s="279">
        <v>263.5847</v>
      </c>
      <c r="CG75" s="279">
        <v>263.54559999999998</v>
      </c>
      <c r="CH75" s="279">
        <v>263.56139999999999</v>
      </c>
      <c r="CI75" s="279">
        <v>263.5557</v>
      </c>
      <c r="CJ75" s="279">
        <v>263.56319999999999</v>
      </c>
      <c r="CK75" s="279">
        <v>263.55680000000001</v>
      </c>
      <c r="CL75" s="279">
        <v>263.55040000000002</v>
      </c>
      <c r="CM75" s="279">
        <v>263.54160000000002</v>
      </c>
      <c r="CN75" s="279">
        <v>263.58210000000003</v>
      </c>
      <c r="CO75" s="279">
        <v>263.56630000000001</v>
      </c>
      <c r="CP75" s="191">
        <v>263.58420000000001</v>
      </c>
      <c r="CQ75" s="279">
        <v>263.5498</v>
      </c>
      <c r="CR75" s="279">
        <v>263.62729999999999</v>
      </c>
      <c r="CS75" s="279">
        <v>263.553</v>
      </c>
      <c r="CT75" s="279">
        <v>263.38869999999997</v>
      </c>
      <c r="CU75" s="279">
        <v>263.38189999999997</v>
      </c>
      <c r="CV75" s="279">
        <v>263.44900000000001</v>
      </c>
      <c r="CW75" s="279">
        <v>263.44110000000001</v>
      </c>
      <c r="CX75" s="279">
        <v>263.47250000000003</v>
      </c>
      <c r="CY75" s="279">
        <v>263.49619999999999</v>
      </c>
      <c r="CZ75" s="279">
        <v>263.40769999999998</v>
      </c>
      <c r="DA75" s="279">
        <v>263.39280000000002</v>
      </c>
      <c r="DB75" s="279">
        <v>263.38380000000001</v>
      </c>
      <c r="DC75" s="279">
        <v>263.36509999999998</v>
      </c>
      <c r="DD75" s="279">
        <v>263.37509999999997</v>
      </c>
      <c r="DE75" s="279">
        <v>263.36590000000001</v>
      </c>
      <c r="DF75" s="279">
        <v>263.36520000000002</v>
      </c>
      <c r="DG75" s="191">
        <v>263.42160000000001</v>
      </c>
      <c r="DH75" s="278">
        <v>263.20979999999997</v>
      </c>
      <c r="DI75" s="278">
        <v>263.73579999999998</v>
      </c>
      <c r="DJ75" s="278">
        <v>263.95710000000003</v>
      </c>
      <c r="DK75" s="278">
        <v>263.8596</v>
      </c>
      <c r="DL75" s="278">
        <v>263.7801</v>
      </c>
      <c r="DM75" s="191">
        <v>263.80549999999999</v>
      </c>
      <c r="DN75" s="191">
        <v>263.3313</v>
      </c>
      <c r="DO75" s="191">
        <v>263.6918</v>
      </c>
      <c r="DP75" s="191">
        <v>263.33679999999998</v>
      </c>
      <c r="DQ75" s="191">
        <v>263.51010000000002</v>
      </c>
      <c r="DR75" s="191">
        <v>263.34660000000002</v>
      </c>
      <c r="DS75" s="191">
        <v>263.40499999999997</v>
      </c>
      <c r="DT75" s="191">
        <v>263.44310000000002</v>
      </c>
      <c r="DU75" s="191">
        <v>263.7681</v>
      </c>
      <c r="DV75" s="191">
        <v>264.0412</v>
      </c>
      <c r="DW75" s="191">
        <v>263.80439999999999</v>
      </c>
      <c r="DX75" s="191">
        <v>263.91289999999998</v>
      </c>
      <c r="DY75" s="191">
        <v>263.98309999999998</v>
      </c>
      <c r="DZ75" s="278">
        <v>263.76440000000002</v>
      </c>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row>
    <row r="76" spans="1:155" ht="45" customHeight="1" x14ac:dyDescent="0.45">
      <c r="A76" s="277">
        <v>375</v>
      </c>
      <c r="B76" s="191"/>
      <c r="C76" s="191"/>
      <c r="D76" s="191"/>
      <c r="E76" s="191"/>
      <c r="F76" s="278">
        <v>263.95499999999998</v>
      </c>
      <c r="G76" s="191">
        <v>263.83890000000002</v>
      </c>
      <c r="H76" s="279">
        <v>263.85050000000001</v>
      </c>
      <c r="I76" s="191">
        <v>263.87270000000001</v>
      </c>
      <c r="J76" s="191">
        <v>263.88749999999999</v>
      </c>
      <c r="K76" s="191">
        <v>263.87290000000002</v>
      </c>
      <c r="L76" s="191">
        <v>263.90069999999997</v>
      </c>
      <c r="M76" s="191">
        <v>263.90069999999997</v>
      </c>
      <c r="N76" s="191">
        <v>263.90980000000002</v>
      </c>
      <c r="O76" s="191">
        <v>263.91219999999998</v>
      </c>
      <c r="P76" s="191">
        <v>263.99590000000001</v>
      </c>
      <c r="Q76" s="191">
        <v>263.93130000000002</v>
      </c>
      <c r="R76" s="191">
        <v>263.95119999999997</v>
      </c>
      <c r="S76" s="191">
        <v>263.94630000000001</v>
      </c>
      <c r="T76" s="191">
        <v>263.93790000000001</v>
      </c>
      <c r="U76" s="191">
        <v>263.935</v>
      </c>
      <c r="V76" s="191">
        <v>263.93189999999998</v>
      </c>
      <c r="W76" s="191">
        <v>263.92919999999998</v>
      </c>
      <c r="X76" s="191">
        <v>263.91120000000001</v>
      </c>
      <c r="Y76" s="279">
        <v>263.90750000000003</v>
      </c>
      <c r="Z76" s="191">
        <v>263.82900000000001</v>
      </c>
      <c r="AA76" s="279">
        <v>263.82440000000003</v>
      </c>
      <c r="AB76" s="191">
        <v>263.84230000000002</v>
      </c>
      <c r="AC76" s="191">
        <v>263.83350000000002</v>
      </c>
      <c r="AD76" s="191">
        <v>263.86470000000003</v>
      </c>
      <c r="AE76" s="191">
        <v>263.85489999999999</v>
      </c>
      <c r="AF76" s="191">
        <v>263.90730000000002</v>
      </c>
      <c r="AG76" s="191">
        <v>263.887</v>
      </c>
      <c r="AH76" s="191">
        <v>263.9153</v>
      </c>
      <c r="AI76" s="191">
        <v>263.9579</v>
      </c>
      <c r="AJ76" s="191">
        <v>263.92919999999998</v>
      </c>
      <c r="AK76" s="191">
        <v>263.93549999999999</v>
      </c>
      <c r="AL76" s="191">
        <v>263.98039999999997</v>
      </c>
      <c r="AM76" s="191">
        <v>263.95740000000001</v>
      </c>
      <c r="AN76" s="191">
        <v>263.96600000000001</v>
      </c>
      <c r="AO76" s="191">
        <v>263.97969999999998</v>
      </c>
      <c r="AP76" s="191">
        <v>263.98950000000002</v>
      </c>
      <c r="AQ76" s="191">
        <v>263.95819999999998</v>
      </c>
      <c r="AR76" s="191">
        <v>263.98779999999999</v>
      </c>
      <c r="AS76" s="191">
        <v>264.0292</v>
      </c>
      <c r="AT76" s="191">
        <v>263.89620000000002</v>
      </c>
      <c r="AU76" s="279">
        <v>263.863</v>
      </c>
      <c r="AV76" s="191">
        <v>263.87459999999999</v>
      </c>
      <c r="AW76" s="191">
        <v>263.88049999999998</v>
      </c>
      <c r="AX76" s="279">
        <v>263.86630000000002</v>
      </c>
      <c r="AY76" s="191">
        <v>263.88319999999999</v>
      </c>
      <c r="AZ76" s="191">
        <v>263.90820000000002</v>
      </c>
      <c r="BA76" s="191">
        <v>263.93579999999997</v>
      </c>
      <c r="BB76" s="191">
        <v>263.96620000000001</v>
      </c>
      <c r="BC76" s="191">
        <v>263.96159999999998</v>
      </c>
      <c r="BD76" s="191">
        <v>263.97629999999998</v>
      </c>
      <c r="BE76" s="191">
        <v>263.9982</v>
      </c>
      <c r="BF76" s="191">
        <v>263.97070000000002</v>
      </c>
      <c r="BG76" s="191">
        <v>263.95699999999999</v>
      </c>
      <c r="BH76" s="191">
        <v>264.06810000000002</v>
      </c>
      <c r="BI76" s="191">
        <v>264.00990000000002</v>
      </c>
      <c r="BJ76" s="191">
        <v>263.9522</v>
      </c>
      <c r="BK76" s="191">
        <v>263.91739999999999</v>
      </c>
      <c r="BL76" s="191">
        <v>263.89710000000002</v>
      </c>
      <c r="BM76" s="191">
        <v>263.87709999999998</v>
      </c>
      <c r="BN76" s="191">
        <v>263.86219999999997</v>
      </c>
      <c r="BO76" s="191">
        <v>264.0813</v>
      </c>
      <c r="BP76" s="191">
        <v>263.8424</v>
      </c>
      <c r="BQ76" s="191">
        <v>263.78440000000001</v>
      </c>
      <c r="BR76" s="279">
        <v>263.70030000000003</v>
      </c>
      <c r="BS76" s="191">
        <v>263.65960000000001</v>
      </c>
      <c r="BT76" s="191">
        <v>263.7208</v>
      </c>
      <c r="BU76" s="191">
        <v>263.72719999999998</v>
      </c>
      <c r="BV76" s="191">
        <v>263.70100000000002</v>
      </c>
      <c r="BW76" s="191">
        <v>263.73719999999997</v>
      </c>
      <c r="BX76" s="191">
        <v>264.02699999999999</v>
      </c>
      <c r="BY76" s="191">
        <v>264.17880000000002</v>
      </c>
      <c r="BZ76" s="191">
        <v>263.63979999999998</v>
      </c>
      <c r="CA76" s="191">
        <v>263.63839999999999</v>
      </c>
      <c r="CB76" s="191">
        <v>263.63580000000002</v>
      </c>
      <c r="CC76" s="191">
        <v>263.60849999999999</v>
      </c>
      <c r="CD76" s="191">
        <v>263.58429999999998</v>
      </c>
      <c r="CE76" s="191">
        <v>263.61399999999998</v>
      </c>
      <c r="CF76" s="191">
        <v>263.625</v>
      </c>
      <c r="CG76" s="191">
        <v>263.55309999999997</v>
      </c>
      <c r="CH76" s="191">
        <v>263.56400000000002</v>
      </c>
      <c r="CI76" s="191">
        <v>263.56189999999998</v>
      </c>
      <c r="CJ76" s="191">
        <v>263.58940000000001</v>
      </c>
      <c r="CK76" s="191">
        <v>263.6155</v>
      </c>
      <c r="CL76" s="191">
        <v>263.67669999999998</v>
      </c>
      <c r="CM76" s="278">
        <v>263.67169999999999</v>
      </c>
      <c r="CN76" s="278">
        <v>263.77969999999999</v>
      </c>
      <c r="CO76" s="278">
        <v>263.82670000000002</v>
      </c>
      <c r="CP76" s="278">
        <v>263.94450000000001</v>
      </c>
      <c r="CQ76" s="278">
        <v>264.07299999999998</v>
      </c>
      <c r="CR76" s="278">
        <v>263.92410000000001</v>
      </c>
      <c r="CS76" s="278">
        <v>263.85599999999999</v>
      </c>
      <c r="CT76" s="278">
        <v>263.38310000000001</v>
      </c>
      <c r="CU76" s="278">
        <v>263.40280000000001</v>
      </c>
      <c r="CV76" s="278">
        <v>263.46910000000003</v>
      </c>
      <c r="CW76" s="278">
        <v>263.49029999999999</v>
      </c>
      <c r="CX76" s="278">
        <v>263.56119999999999</v>
      </c>
      <c r="CY76" s="278">
        <v>263.57049999999998</v>
      </c>
      <c r="CZ76" s="278">
        <v>263.60109999999997</v>
      </c>
      <c r="DA76" s="278">
        <v>263.51679999999999</v>
      </c>
      <c r="DB76" s="278">
        <v>263.67880000000002</v>
      </c>
      <c r="DC76" s="278">
        <v>263.68340000000001</v>
      </c>
      <c r="DD76" s="278">
        <v>263.95119999999997</v>
      </c>
      <c r="DE76" s="278">
        <v>264.03930000000003</v>
      </c>
      <c r="DF76" s="278">
        <v>264.18610000000001</v>
      </c>
      <c r="DG76" s="278">
        <v>264.1191</v>
      </c>
      <c r="DH76" s="191"/>
      <c r="DI76" s="191"/>
      <c r="DJ76" s="191"/>
      <c r="DK76" s="191"/>
      <c r="DL76" s="191"/>
      <c r="DM76" s="278">
        <v>264.00639999999999</v>
      </c>
      <c r="DN76" s="278">
        <v>263.8852</v>
      </c>
      <c r="DO76" s="278">
        <v>263.91579999999999</v>
      </c>
      <c r="DP76" s="278">
        <v>263.83929999999998</v>
      </c>
      <c r="DQ76" s="278">
        <v>263.66919999999999</v>
      </c>
      <c r="DR76" s="278">
        <v>263.70659999999998</v>
      </c>
      <c r="DS76" s="278">
        <v>263.87470000000002</v>
      </c>
      <c r="DT76" s="278">
        <v>263.70010000000002</v>
      </c>
      <c r="DU76" s="278">
        <v>263.80590000000001</v>
      </c>
      <c r="DV76" s="278">
        <v>264.1352</v>
      </c>
      <c r="DW76" s="278">
        <v>263.94369999999998</v>
      </c>
      <c r="DX76" s="278">
        <v>263.87220000000002</v>
      </c>
      <c r="DY76" s="278">
        <v>263.9631</v>
      </c>
      <c r="DZ76" s="278">
        <v>263.5206</v>
      </c>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row>
    <row r="77" spans="1:155" ht="45" customHeight="1" x14ac:dyDescent="0.45">
      <c r="A77" s="277">
        <v>380</v>
      </c>
      <c r="B77" s="191"/>
      <c r="C77" s="191"/>
      <c r="D77" s="191"/>
      <c r="E77" s="191"/>
      <c r="F77" s="278">
        <v>264.04070000000002</v>
      </c>
      <c r="G77" s="191">
        <v>263.85219999999998</v>
      </c>
      <c r="H77" s="279">
        <v>263.82119999999998</v>
      </c>
      <c r="I77" s="191">
        <v>263.84109999999998</v>
      </c>
      <c r="J77" s="191">
        <v>263.85770000000002</v>
      </c>
      <c r="K77" s="191">
        <v>263.85700000000003</v>
      </c>
      <c r="L77" s="191">
        <v>263.87729999999999</v>
      </c>
      <c r="M77" s="191">
        <v>263.89600000000002</v>
      </c>
      <c r="N77" s="191">
        <v>263.92</v>
      </c>
      <c r="O77" s="191">
        <v>263.95490000000001</v>
      </c>
      <c r="P77" s="191">
        <v>264.0213</v>
      </c>
      <c r="Q77" s="191">
        <v>263.94130000000001</v>
      </c>
      <c r="R77" s="191">
        <v>263.94409999999999</v>
      </c>
      <c r="S77" s="191">
        <v>263.94639999999998</v>
      </c>
      <c r="T77" s="191">
        <v>263.95350000000002</v>
      </c>
      <c r="U77" s="191">
        <v>263.9538</v>
      </c>
      <c r="V77" s="191">
        <v>263.95519999999999</v>
      </c>
      <c r="W77" s="191">
        <v>263.95139999999998</v>
      </c>
      <c r="X77" s="191">
        <v>263.94560000000001</v>
      </c>
      <c r="Y77" s="279">
        <v>263.92680000000001</v>
      </c>
      <c r="Z77" s="191">
        <v>263.85309999999998</v>
      </c>
      <c r="AA77" s="279">
        <v>263.84089999999998</v>
      </c>
      <c r="AB77" s="279">
        <v>263.84350000000001</v>
      </c>
      <c r="AC77" s="279">
        <v>263.90109999999999</v>
      </c>
      <c r="AD77" s="279">
        <v>263.84390000000002</v>
      </c>
      <c r="AE77" s="279">
        <v>263.88459999999998</v>
      </c>
      <c r="AF77" s="279">
        <v>263.90480000000002</v>
      </c>
      <c r="AG77" s="279">
        <v>263.8895</v>
      </c>
      <c r="AH77" s="279">
        <v>263.92399999999998</v>
      </c>
      <c r="AI77" s="279">
        <v>263.94720000000001</v>
      </c>
      <c r="AJ77" s="279">
        <v>263.9255</v>
      </c>
      <c r="AK77" s="279">
        <v>263.86649999999997</v>
      </c>
      <c r="AL77" s="279">
        <v>263.90859999999998</v>
      </c>
      <c r="AM77" s="279">
        <v>263.96570000000003</v>
      </c>
      <c r="AN77" s="279">
        <v>263.96050000000002</v>
      </c>
      <c r="AO77" s="279">
        <v>263.96109999999999</v>
      </c>
      <c r="AP77" s="279">
        <v>263.95299999999997</v>
      </c>
      <c r="AQ77" s="279">
        <v>264.00510000000003</v>
      </c>
      <c r="AR77" s="279">
        <v>264.00650000000002</v>
      </c>
      <c r="AS77" s="279">
        <v>264.03710000000001</v>
      </c>
      <c r="AT77" s="279">
        <v>263.94</v>
      </c>
      <c r="AU77" s="279">
        <v>263.91550000000001</v>
      </c>
      <c r="AV77" s="191">
        <v>263.92270000000002</v>
      </c>
      <c r="AW77" s="191">
        <v>263.89640000000003</v>
      </c>
      <c r="AX77" s="279">
        <v>263.87400000000002</v>
      </c>
      <c r="AY77" s="191">
        <v>263.89389999999997</v>
      </c>
      <c r="AZ77" s="191">
        <v>263.89190000000002</v>
      </c>
      <c r="BA77" s="191">
        <v>263.93459999999999</v>
      </c>
      <c r="BB77" s="191">
        <v>263.95159999999998</v>
      </c>
      <c r="BC77" s="191">
        <v>263.97179999999997</v>
      </c>
      <c r="BD77" s="191">
        <v>263.98719999999997</v>
      </c>
      <c r="BE77" s="191">
        <v>264.01280000000003</v>
      </c>
      <c r="BF77" s="191">
        <v>264.00139999999999</v>
      </c>
      <c r="BG77" s="191">
        <v>263.96539999999999</v>
      </c>
      <c r="BH77" s="191">
        <v>263.99349999999998</v>
      </c>
      <c r="BI77" s="191">
        <v>263.983</v>
      </c>
      <c r="BJ77" s="191">
        <v>263.97160000000002</v>
      </c>
      <c r="BK77" s="191">
        <v>263.93880000000001</v>
      </c>
      <c r="BL77" s="191">
        <v>263.91879999999998</v>
      </c>
      <c r="BM77" s="191">
        <v>263.89920000000001</v>
      </c>
      <c r="BN77" s="191">
        <v>263.9402</v>
      </c>
      <c r="BO77" s="191">
        <v>264.08690000000001</v>
      </c>
      <c r="BP77" s="191">
        <v>263.8571</v>
      </c>
      <c r="BQ77" s="191">
        <v>263.7414</v>
      </c>
      <c r="BR77" s="279">
        <v>263.76400000000001</v>
      </c>
      <c r="BS77" s="191">
        <v>263.76920000000001</v>
      </c>
      <c r="BT77" s="191">
        <v>263.74650000000003</v>
      </c>
      <c r="BU77" s="191">
        <v>263.74099999999999</v>
      </c>
      <c r="BV77" s="191">
        <v>263.75290000000001</v>
      </c>
      <c r="BW77" s="191">
        <v>263.73759999999999</v>
      </c>
      <c r="BX77" s="191">
        <v>264.01650000000001</v>
      </c>
      <c r="BY77" s="278">
        <v>264.81369999999998</v>
      </c>
      <c r="BZ77" s="278">
        <v>264.10140000000001</v>
      </c>
      <c r="CA77" s="278">
        <v>263.81040000000002</v>
      </c>
      <c r="CB77" s="278">
        <v>263.9264</v>
      </c>
      <c r="CC77" s="278">
        <v>263.83710000000002</v>
      </c>
      <c r="CD77" s="278">
        <v>263.70479999999998</v>
      </c>
      <c r="CE77" s="278">
        <v>263.66269999999997</v>
      </c>
      <c r="CF77" s="278">
        <v>264.12599999999998</v>
      </c>
      <c r="CG77" s="278">
        <v>263.6678</v>
      </c>
      <c r="CH77" s="278">
        <v>263.62180000000001</v>
      </c>
      <c r="CI77" s="278">
        <v>263.68770000000001</v>
      </c>
      <c r="CJ77" s="278">
        <v>263.62869999999998</v>
      </c>
      <c r="CK77" s="278">
        <v>263.62970000000001</v>
      </c>
      <c r="CL77" s="278">
        <v>263.73559999999998</v>
      </c>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191"/>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row>
    <row r="78" spans="1:155" ht="45" customHeight="1" x14ac:dyDescent="0.45">
      <c r="A78" s="277">
        <v>385</v>
      </c>
      <c r="B78" s="191"/>
      <c r="C78" s="191"/>
      <c r="D78" s="191"/>
      <c r="E78" s="191"/>
      <c r="F78" s="278">
        <v>264.04509999999999</v>
      </c>
      <c r="G78" s="191">
        <v>263.85579999999999</v>
      </c>
      <c r="H78" s="279">
        <v>263.8578</v>
      </c>
      <c r="I78" s="191">
        <v>263.87400000000002</v>
      </c>
      <c r="J78" s="191">
        <v>263.83510000000001</v>
      </c>
      <c r="K78" s="191">
        <v>263.87430000000001</v>
      </c>
      <c r="L78" s="191">
        <v>263.87040000000002</v>
      </c>
      <c r="M78" s="191">
        <v>263.8956</v>
      </c>
      <c r="N78" s="191">
        <v>263.90640000000002</v>
      </c>
      <c r="O78" s="191">
        <v>263.95049999999998</v>
      </c>
      <c r="P78" s="191">
        <v>264.02260000000001</v>
      </c>
      <c r="Q78" s="191">
        <v>263.94330000000002</v>
      </c>
      <c r="R78" s="191">
        <v>263.94589999999999</v>
      </c>
      <c r="S78" s="191">
        <v>263.964</v>
      </c>
      <c r="T78" s="191">
        <v>263.96420000000001</v>
      </c>
      <c r="U78" s="191">
        <v>263.95870000000002</v>
      </c>
      <c r="V78" s="191">
        <v>263.95519999999999</v>
      </c>
      <c r="W78" s="191">
        <v>263.95830000000001</v>
      </c>
      <c r="X78" s="191">
        <v>263.97469999999998</v>
      </c>
      <c r="Y78" s="279">
        <v>263.96589999999998</v>
      </c>
      <c r="Z78" s="278">
        <v>263.67790000000002</v>
      </c>
      <c r="AA78" s="278">
        <v>263.84649999999999</v>
      </c>
      <c r="AB78" s="278">
        <v>263.9991</v>
      </c>
      <c r="AC78" s="278">
        <v>264.27859999999998</v>
      </c>
      <c r="AD78" s="278">
        <v>263.81909999999999</v>
      </c>
      <c r="AE78" s="278">
        <v>263.94600000000003</v>
      </c>
      <c r="AF78" s="278">
        <v>263.8646</v>
      </c>
      <c r="AG78" s="278">
        <v>263.83319999999998</v>
      </c>
      <c r="AH78" s="278">
        <v>263.90519999999998</v>
      </c>
      <c r="AI78" s="278">
        <v>263.8854</v>
      </c>
      <c r="AJ78" s="278">
        <v>263.91050000000001</v>
      </c>
      <c r="AK78" s="278">
        <v>263.9135</v>
      </c>
      <c r="AL78" s="278">
        <v>263.98880000000003</v>
      </c>
      <c r="AM78" s="278">
        <v>263.92950000000002</v>
      </c>
      <c r="AN78" s="278">
        <v>263.91460000000001</v>
      </c>
      <c r="AO78" s="278">
        <v>264.1422</v>
      </c>
      <c r="AP78" s="278">
        <v>264.03160000000003</v>
      </c>
      <c r="AQ78" s="278">
        <v>264.04109999999997</v>
      </c>
      <c r="AR78" s="278">
        <v>264.0489</v>
      </c>
      <c r="AS78" s="278">
        <v>264.03039999999999</v>
      </c>
      <c r="AT78" s="191">
        <v>264.02</v>
      </c>
      <c r="AU78" s="191">
        <v>263.97859999999997</v>
      </c>
      <c r="AV78" s="191">
        <v>263.97739999999999</v>
      </c>
      <c r="AW78" s="191">
        <v>263.95209999999997</v>
      </c>
      <c r="AX78" s="279">
        <v>263.9502</v>
      </c>
      <c r="AY78" s="191">
        <v>263.94290000000001</v>
      </c>
      <c r="AZ78" s="191">
        <v>263.97359999999998</v>
      </c>
      <c r="BA78" s="191">
        <v>263.92619999999999</v>
      </c>
      <c r="BB78" s="191">
        <v>263.96789999999999</v>
      </c>
      <c r="BC78" s="191">
        <v>263.98259999999999</v>
      </c>
      <c r="BD78" s="191">
        <v>263.99740000000003</v>
      </c>
      <c r="BE78" s="191">
        <v>264.02760000000001</v>
      </c>
      <c r="BF78" s="191">
        <v>264.01979999999998</v>
      </c>
      <c r="BG78" s="191">
        <v>264.01350000000002</v>
      </c>
      <c r="BH78" s="191">
        <v>264.04939999999999</v>
      </c>
      <c r="BI78" s="191">
        <v>264.04360000000003</v>
      </c>
      <c r="BJ78" s="191">
        <v>263.98500000000001</v>
      </c>
      <c r="BK78" s="191">
        <v>263.96280000000002</v>
      </c>
      <c r="BL78" s="191">
        <v>263.94909999999999</v>
      </c>
      <c r="BM78" s="191">
        <v>263.9751</v>
      </c>
      <c r="BN78" s="191">
        <v>263.94830000000002</v>
      </c>
      <c r="BO78" s="191">
        <v>264.13310000000001</v>
      </c>
      <c r="BP78" s="191">
        <v>263.76859999999999</v>
      </c>
      <c r="BQ78" s="191">
        <v>263.78070000000002</v>
      </c>
      <c r="BR78" s="279">
        <v>263.81259999999997</v>
      </c>
      <c r="BS78" s="191">
        <v>263.82139999999998</v>
      </c>
      <c r="BT78" s="191">
        <v>263.80290000000002</v>
      </c>
      <c r="BU78" s="191">
        <v>263.74650000000003</v>
      </c>
      <c r="BV78" s="191">
        <v>263.77679999999998</v>
      </c>
      <c r="BW78" s="191">
        <v>263.80489999999998</v>
      </c>
      <c r="BX78" s="191">
        <v>263.81569999999999</v>
      </c>
      <c r="BY78" s="278">
        <v>264.39229999999998</v>
      </c>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191"/>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row>
    <row r="79" spans="1:155" ht="45" customHeight="1" x14ac:dyDescent="0.45">
      <c r="A79" s="277">
        <v>390</v>
      </c>
      <c r="B79" s="191"/>
      <c r="C79" s="191"/>
      <c r="D79" s="191"/>
      <c r="E79" s="191"/>
      <c r="F79" s="278">
        <v>264.06369999999998</v>
      </c>
      <c r="G79" s="191">
        <v>263.8854</v>
      </c>
      <c r="H79" s="279">
        <v>263.87709999999998</v>
      </c>
      <c r="I79" s="191">
        <v>263.90050000000002</v>
      </c>
      <c r="J79" s="191">
        <v>263.85019999999997</v>
      </c>
      <c r="K79" s="191">
        <v>263.87549999999999</v>
      </c>
      <c r="L79" s="191">
        <v>263.87240000000003</v>
      </c>
      <c r="M79" s="191">
        <v>263.88010000000003</v>
      </c>
      <c r="N79" s="191">
        <v>263.91370000000001</v>
      </c>
      <c r="O79" s="191">
        <v>263.94240000000002</v>
      </c>
      <c r="P79" s="191">
        <v>264.0317</v>
      </c>
      <c r="Q79" s="191">
        <v>263.96420000000001</v>
      </c>
      <c r="R79" s="191">
        <v>263.99299999999999</v>
      </c>
      <c r="S79" s="191">
        <v>263.98829999999998</v>
      </c>
      <c r="T79" s="191">
        <v>263.96129999999999</v>
      </c>
      <c r="U79" s="191">
        <v>263.98070000000001</v>
      </c>
      <c r="V79" s="191">
        <v>263.96789999999999</v>
      </c>
      <c r="W79" s="191">
        <v>263.96780000000001</v>
      </c>
      <c r="X79" s="191">
        <v>263.97640000000001</v>
      </c>
      <c r="Y79" s="279">
        <v>263.99299999999999</v>
      </c>
      <c r="Z79" s="278">
        <v>264.23110000000003</v>
      </c>
      <c r="AA79" s="191"/>
      <c r="AB79" s="191"/>
      <c r="AC79" s="191"/>
      <c r="AD79" s="191"/>
      <c r="AE79" s="191"/>
      <c r="AF79" s="191"/>
      <c r="AG79" s="191"/>
      <c r="AH79" s="191"/>
      <c r="AI79" s="191"/>
      <c r="AJ79" s="191"/>
      <c r="AK79" s="191"/>
      <c r="AL79" s="191"/>
      <c r="AM79" s="191"/>
      <c r="AN79" s="191"/>
      <c r="AO79" s="191"/>
      <c r="AP79" s="191"/>
      <c r="AQ79" s="191"/>
      <c r="AR79" s="191"/>
      <c r="AS79" s="191"/>
      <c r="AT79" s="278">
        <v>264.94119999999998</v>
      </c>
      <c r="AU79" s="278">
        <v>263.899</v>
      </c>
      <c r="AV79" s="278">
        <v>264.23079999999999</v>
      </c>
      <c r="AW79" s="191">
        <v>263.96030000000002</v>
      </c>
      <c r="AX79" s="279">
        <v>263.94749999999999</v>
      </c>
      <c r="AY79" s="279">
        <v>263.99880000000002</v>
      </c>
      <c r="AZ79" s="279">
        <v>263.99279999999999</v>
      </c>
      <c r="BA79" s="279">
        <v>263.96850000000001</v>
      </c>
      <c r="BB79" s="279">
        <v>264.02730000000003</v>
      </c>
      <c r="BC79" s="279">
        <v>264.02140000000003</v>
      </c>
      <c r="BD79" s="279">
        <v>264.0763</v>
      </c>
      <c r="BE79" s="279">
        <v>264.0847</v>
      </c>
      <c r="BF79" s="279">
        <v>264.04090000000002</v>
      </c>
      <c r="BG79" s="279">
        <v>264.00569999999999</v>
      </c>
      <c r="BH79" s="279">
        <v>264.0514</v>
      </c>
      <c r="BI79" s="279">
        <v>264.03269999999998</v>
      </c>
      <c r="BJ79" s="279">
        <v>263.97710000000001</v>
      </c>
      <c r="BK79" s="279">
        <v>263.9812</v>
      </c>
      <c r="BL79" s="279">
        <v>263.99369999999999</v>
      </c>
      <c r="BM79" s="279">
        <v>263.97120000000001</v>
      </c>
      <c r="BN79" s="279">
        <v>264.00099999999998</v>
      </c>
      <c r="BO79" s="279">
        <v>264.2552</v>
      </c>
      <c r="BP79" s="279">
        <v>263.79860000000002</v>
      </c>
      <c r="BQ79" s="279">
        <v>263.7704</v>
      </c>
      <c r="BR79" s="279">
        <v>263.81470000000002</v>
      </c>
      <c r="BS79" s="191">
        <v>263.8741</v>
      </c>
      <c r="BT79" s="191">
        <v>263.85919999999999</v>
      </c>
      <c r="BU79" s="191">
        <v>263.81079999999997</v>
      </c>
      <c r="BV79" s="191">
        <v>263.84609999999998</v>
      </c>
      <c r="BW79" s="191">
        <v>263.84620000000001</v>
      </c>
      <c r="BX79" s="191">
        <v>264.05380000000002</v>
      </c>
      <c r="BY79" s="278">
        <v>264.70139999999998</v>
      </c>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191"/>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row>
    <row r="80" spans="1:155" ht="45" customHeight="1" x14ac:dyDescent="0.45">
      <c r="A80" s="277">
        <v>395</v>
      </c>
      <c r="B80" s="191"/>
      <c r="C80" s="191"/>
      <c r="D80" s="191"/>
      <c r="E80" s="191"/>
      <c r="F80" s="278">
        <v>264.09840000000003</v>
      </c>
      <c r="G80" s="191">
        <v>263.93990000000002</v>
      </c>
      <c r="H80" s="279">
        <v>263.92329999999998</v>
      </c>
      <c r="I80" s="191">
        <v>263.92500000000001</v>
      </c>
      <c r="J80" s="191">
        <v>263.93490000000003</v>
      </c>
      <c r="K80" s="191">
        <v>263.89249999999998</v>
      </c>
      <c r="L80" s="191">
        <v>263.88709999999998</v>
      </c>
      <c r="M80" s="191">
        <v>263.86279999999999</v>
      </c>
      <c r="N80" s="191">
        <v>263.88389999999998</v>
      </c>
      <c r="O80" s="191">
        <v>263.92469999999997</v>
      </c>
      <c r="P80" s="191">
        <v>264.06900000000002</v>
      </c>
      <c r="Q80" s="191">
        <v>263.96690000000001</v>
      </c>
      <c r="R80" s="191">
        <v>264.01560000000001</v>
      </c>
      <c r="S80" s="191">
        <v>263.99860000000001</v>
      </c>
      <c r="T80" s="191">
        <v>264.00139999999999</v>
      </c>
      <c r="U80" s="191">
        <v>264.01190000000003</v>
      </c>
      <c r="V80" s="191">
        <v>263.99650000000003</v>
      </c>
      <c r="W80" s="191">
        <v>263.98559999999998</v>
      </c>
      <c r="X80" s="191">
        <v>264.0052</v>
      </c>
      <c r="Y80" s="279">
        <v>264.03559999999999</v>
      </c>
      <c r="Z80" s="278">
        <v>264.31020000000001</v>
      </c>
      <c r="AA80" s="191"/>
      <c r="AB80" s="191"/>
      <c r="AC80" s="191"/>
      <c r="AD80" s="191"/>
      <c r="AE80" s="191"/>
      <c r="AF80" s="191"/>
      <c r="AG80" s="191"/>
      <c r="AH80" s="191"/>
      <c r="AI80" s="191"/>
      <c r="AJ80" s="191"/>
      <c r="AK80" s="191"/>
      <c r="AL80" s="191"/>
      <c r="AM80" s="191"/>
      <c r="AN80" s="191"/>
      <c r="AO80" s="191"/>
      <c r="AP80" s="191"/>
      <c r="AQ80" s="191"/>
      <c r="AR80" s="191"/>
      <c r="AS80" s="191"/>
      <c r="AT80" s="191"/>
      <c r="AU80" s="191"/>
      <c r="AV80" s="191"/>
      <c r="AW80" s="278">
        <v>264.37029999999999</v>
      </c>
      <c r="AX80" s="278">
        <v>263.95080000000002</v>
      </c>
      <c r="AY80" s="278">
        <v>264.35849999999999</v>
      </c>
      <c r="AZ80" s="191">
        <v>264.09339999999997</v>
      </c>
      <c r="BA80" s="191">
        <v>264.04570000000001</v>
      </c>
      <c r="BB80" s="191">
        <v>264.00389999999999</v>
      </c>
      <c r="BC80" s="191">
        <v>264.11439999999999</v>
      </c>
      <c r="BD80" s="191">
        <v>264.20400000000001</v>
      </c>
      <c r="BE80" s="191">
        <v>264.16300000000001</v>
      </c>
      <c r="BF80" s="191">
        <v>264.13830000000002</v>
      </c>
      <c r="BG80" s="191">
        <v>264.05799999999999</v>
      </c>
      <c r="BH80" s="191">
        <v>264.18200000000002</v>
      </c>
      <c r="BI80" s="191">
        <v>264.04430000000002</v>
      </c>
      <c r="BJ80" s="191">
        <v>264.03710000000001</v>
      </c>
      <c r="BK80" s="191">
        <v>264.10680000000002</v>
      </c>
      <c r="BL80" s="191">
        <v>264.11040000000003</v>
      </c>
      <c r="BM80" s="191">
        <v>264.15339999999998</v>
      </c>
      <c r="BN80" s="191">
        <v>264.22910000000002</v>
      </c>
      <c r="BO80" s="191">
        <v>264.0591</v>
      </c>
      <c r="BP80" s="191">
        <v>263.8546</v>
      </c>
      <c r="BQ80" s="191">
        <v>263.88639999999998</v>
      </c>
      <c r="BR80" s="191">
        <v>263.90089999999998</v>
      </c>
      <c r="BS80" s="191">
        <v>263.87880000000001</v>
      </c>
      <c r="BT80" s="191">
        <v>263.9126</v>
      </c>
      <c r="BU80" s="191">
        <v>263.9187</v>
      </c>
      <c r="BV80" s="191">
        <v>263.83589999999998</v>
      </c>
      <c r="BW80" s="191">
        <v>263.90960000000001</v>
      </c>
      <c r="BX80" s="278">
        <v>264.0856</v>
      </c>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191"/>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row>
    <row r="81" spans="1:155" ht="45" customHeight="1" x14ac:dyDescent="0.45">
      <c r="A81" s="277">
        <v>400</v>
      </c>
      <c r="B81" s="191"/>
      <c r="C81" s="191"/>
      <c r="D81" s="191"/>
      <c r="E81" s="191"/>
      <c r="F81" s="278">
        <v>264.13229999999999</v>
      </c>
      <c r="G81" s="191">
        <v>264.0052</v>
      </c>
      <c r="H81" s="279">
        <v>263.94749999999999</v>
      </c>
      <c r="I81" s="191">
        <v>263.9658</v>
      </c>
      <c r="J81" s="191">
        <v>263.96170000000001</v>
      </c>
      <c r="K81" s="191">
        <v>263.93360000000001</v>
      </c>
      <c r="L81" s="191">
        <v>263.91320000000002</v>
      </c>
      <c r="M81" s="191">
        <v>263.91340000000002</v>
      </c>
      <c r="N81" s="191">
        <v>263.93009999999998</v>
      </c>
      <c r="O81" s="191">
        <v>263.93599999999998</v>
      </c>
      <c r="P81" s="191">
        <v>264.03019999999998</v>
      </c>
      <c r="Q81" s="191">
        <v>263.98989999999998</v>
      </c>
      <c r="R81" s="191">
        <v>264.0129</v>
      </c>
      <c r="S81" s="191">
        <v>264.0283</v>
      </c>
      <c r="T81" s="191">
        <v>264.05630000000002</v>
      </c>
      <c r="U81" s="191">
        <v>264.04689999999999</v>
      </c>
      <c r="V81" s="191">
        <v>264.03699999999998</v>
      </c>
      <c r="W81" s="191">
        <v>264.01549999999997</v>
      </c>
      <c r="X81" s="191">
        <v>264.02910000000003</v>
      </c>
      <c r="Y81" s="279">
        <v>264.11430000000001</v>
      </c>
      <c r="Z81" s="278">
        <v>265.10849999999999</v>
      </c>
      <c r="AA81" s="191"/>
      <c r="AB81" s="191"/>
      <c r="AC81" s="191"/>
      <c r="AD81" s="191"/>
      <c r="AE81" s="191"/>
      <c r="AF81" s="191"/>
      <c r="AG81" s="191"/>
      <c r="AH81" s="191"/>
      <c r="AI81" s="191"/>
      <c r="AJ81" s="191"/>
      <c r="AK81" s="191"/>
      <c r="AL81" s="191"/>
      <c r="AM81" s="191"/>
      <c r="AN81" s="191"/>
      <c r="AO81" s="191"/>
      <c r="AP81" s="191"/>
      <c r="AQ81" s="191"/>
      <c r="AR81" s="191"/>
      <c r="AS81" s="191"/>
      <c r="AT81" s="191"/>
      <c r="AU81" s="191"/>
      <c r="AV81" s="191"/>
      <c r="AW81" s="191"/>
      <c r="AX81" s="191"/>
      <c r="AY81" s="191"/>
      <c r="AZ81" s="278">
        <v>264.69819999999999</v>
      </c>
      <c r="BA81" s="278">
        <v>264.56939999999997</v>
      </c>
      <c r="BB81" s="278">
        <v>264.65769999999998</v>
      </c>
      <c r="BC81" s="278">
        <v>264.67099999999999</v>
      </c>
      <c r="BD81" s="278">
        <v>264.68520000000001</v>
      </c>
      <c r="BE81" s="278">
        <v>264.69639999999998</v>
      </c>
      <c r="BF81" s="278">
        <v>264.67840000000001</v>
      </c>
      <c r="BG81" s="278">
        <v>264.50560000000002</v>
      </c>
      <c r="BH81" s="278">
        <v>264.55540000000002</v>
      </c>
      <c r="BI81" s="278">
        <v>264.61200000000002</v>
      </c>
      <c r="BJ81" s="278">
        <v>264.59879999999998</v>
      </c>
      <c r="BK81" s="278">
        <v>264.52760000000001</v>
      </c>
      <c r="BL81" s="278">
        <v>264.67790000000002</v>
      </c>
      <c r="BM81" s="278">
        <v>265.09879999999998</v>
      </c>
      <c r="BN81" s="278">
        <v>264.91840000000002</v>
      </c>
      <c r="BO81" s="278">
        <v>264.89510000000001</v>
      </c>
      <c r="BP81" s="278">
        <v>264.59629999999999</v>
      </c>
      <c r="BQ81" s="278">
        <v>265.07850000000002</v>
      </c>
      <c r="BR81" s="278">
        <v>265.0795</v>
      </c>
      <c r="BS81" s="278">
        <v>264.71190000000001</v>
      </c>
      <c r="BT81" s="278">
        <v>263.92259999999999</v>
      </c>
      <c r="BU81" s="278">
        <v>263.86989999999997</v>
      </c>
      <c r="BV81" s="278">
        <v>263.96199999999999</v>
      </c>
      <c r="BW81" s="278">
        <v>264.34589999999997</v>
      </c>
      <c r="BX81" s="278">
        <v>264.22140000000002</v>
      </c>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191"/>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row>
    <row r="82" spans="1:155" ht="45" customHeight="1" x14ac:dyDescent="0.45">
      <c r="A82" s="277">
        <v>405</v>
      </c>
      <c r="B82" s="191"/>
      <c r="C82" s="191"/>
      <c r="D82" s="191"/>
      <c r="E82" s="191"/>
      <c r="F82" s="191"/>
      <c r="G82" s="278">
        <v>264.08100000000002</v>
      </c>
      <c r="H82" s="279">
        <v>263.9873</v>
      </c>
      <c r="I82" s="191">
        <v>264.00909999999999</v>
      </c>
      <c r="J82" s="191">
        <v>263.99220000000003</v>
      </c>
      <c r="K82" s="191">
        <v>263.99259999999998</v>
      </c>
      <c r="L82" s="191">
        <v>263.95150000000001</v>
      </c>
      <c r="M82" s="191">
        <v>263.96050000000002</v>
      </c>
      <c r="N82" s="191">
        <v>263.97370000000001</v>
      </c>
      <c r="O82" s="191">
        <v>263.95940000000002</v>
      </c>
      <c r="P82" s="191">
        <v>264.06169999999997</v>
      </c>
      <c r="Q82" s="191">
        <v>263.97750000000002</v>
      </c>
      <c r="R82" s="191">
        <v>263.99979999999999</v>
      </c>
      <c r="S82" s="191">
        <v>264.01589999999999</v>
      </c>
      <c r="T82" s="191">
        <v>264.04899999999998</v>
      </c>
      <c r="U82" s="191">
        <v>264.0455</v>
      </c>
      <c r="V82" s="191">
        <v>264.05669999999998</v>
      </c>
      <c r="W82" s="191">
        <v>264.04360000000003</v>
      </c>
      <c r="X82" s="191">
        <v>264.06659999999999</v>
      </c>
      <c r="Y82" s="279">
        <v>264.13130000000001</v>
      </c>
      <c r="Z82" s="278">
        <v>265.19420000000002</v>
      </c>
      <c r="AA82" s="191"/>
      <c r="AB82" s="191"/>
      <c r="AC82" s="191"/>
      <c r="AD82" s="191"/>
      <c r="AE82" s="191"/>
      <c r="AF82" s="191"/>
      <c r="AG82" s="191"/>
      <c r="AH82" s="191"/>
      <c r="AI82" s="191"/>
      <c r="AJ82" s="191"/>
      <c r="AK82" s="191"/>
      <c r="AL82" s="191"/>
      <c r="AM82" s="191"/>
      <c r="AN82" s="191"/>
      <c r="AO82" s="191"/>
      <c r="AP82" s="191"/>
      <c r="AQ82" s="191"/>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N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191"/>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row>
    <row r="83" spans="1:155" ht="45" customHeight="1" x14ac:dyDescent="0.45">
      <c r="A83" s="277">
        <v>410</v>
      </c>
      <c r="B83" s="191"/>
      <c r="C83" s="191"/>
      <c r="D83" s="191"/>
      <c r="E83" s="191"/>
      <c r="F83" s="191"/>
      <c r="G83" s="278">
        <v>264.16019999999997</v>
      </c>
      <c r="H83" s="279">
        <v>264.005</v>
      </c>
      <c r="I83" s="191">
        <v>264.00049999999999</v>
      </c>
      <c r="J83" s="191">
        <v>264.02809999999999</v>
      </c>
      <c r="K83" s="191">
        <v>264.02850000000001</v>
      </c>
      <c r="L83" s="191">
        <v>264.02539999999999</v>
      </c>
      <c r="M83" s="191">
        <v>263.9864</v>
      </c>
      <c r="N83" s="191">
        <v>263.99369999999999</v>
      </c>
      <c r="O83" s="191">
        <v>264.00049999999999</v>
      </c>
      <c r="P83" s="191">
        <v>264.08159999999998</v>
      </c>
      <c r="Q83" s="191">
        <v>263.98379999999997</v>
      </c>
      <c r="R83" s="191">
        <v>263.9896</v>
      </c>
      <c r="S83" s="191">
        <v>264.03190000000001</v>
      </c>
      <c r="T83" s="191">
        <v>264.03980000000001</v>
      </c>
      <c r="U83" s="191">
        <v>264.06909999999999</v>
      </c>
      <c r="V83" s="191">
        <v>264.08269999999999</v>
      </c>
      <c r="W83" s="191">
        <v>264.07920000000001</v>
      </c>
      <c r="X83" s="191">
        <v>264.08</v>
      </c>
      <c r="Y83" s="279">
        <v>264.01659999999998</v>
      </c>
      <c r="Z83" s="278">
        <v>265.40050000000002</v>
      </c>
      <c r="AA83" s="191"/>
      <c r="AB83" s="191"/>
      <c r="AC83" s="191"/>
      <c r="AD83" s="191"/>
      <c r="AE83" s="191"/>
      <c r="AF83" s="191"/>
      <c r="AG83" s="191"/>
      <c r="AH83" s="191"/>
      <c r="AI83" s="191"/>
      <c r="AJ83" s="191"/>
      <c r="AK83" s="191"/>
      <c r="AL83" s="191"/>
      <c r="AM83" s="191"/>
      <c r="AN83" s="191"/>
      <c r="AO83" s="191"/>
      <c r="AP83" s="191"/>
      <c r="AQ83" s="191"/>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N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191"/>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row>
    <row r="84" spans="1:155" ht="45" customHeight="1" x14ac:dyDescent="0.45">
      <c r="A84" s="277">
        <v>415</v>
      </c>
      <c r="B84" s="191"/>
      <c r="C84" s="191"/>
      <c r="D84" s="191"/>
      <c r="E84" s="191"/>
      <c r="F84" s="191"/>
      <c r="G84" s="278">
        <v>264.31740000000002</v>
      </c>
      <c r="H84" s="279">
        <v>264.0181</v>
      </c>
      <c r="I84" s="191">
        <v>264.01209999999998</v>
      </c>
      <c r="J84" s="191">
        <v>264.01459999999997</v>
      </c>
      <c r="K84" s="191">
        <v>264.04610000000002</v>
      </c>
      <c r="L84" s="191">
        <v>264.03649999999999</v>
      </c>
      <c r="M84" s="191">
        <v>264.02440000000001</v>
      </c>
      <c r="N84" s="191">
        <v>264.05439999999999</v>
      </c>
      <c r="O84" s="191">
        <v>264.06169999999997</v>
      </c>
      <c r="P84" s="191">
        <v>264.21469999999999</v>
      </c>
      <c r="Q84" s="191">
        <v>264.06830000000002</v>
      </c>
      <c r="R84" s="191">
        <v>264.00630000000001</v>
      </c>
      <c r="S84" s="191">
        <v>264.02530000000002</v>
      </c>
      <c r="T84" s="191">
        <v>264.0564</v>
      </c>
      <c r="U84" s="191">
        <v>264.06880000000001</v>
      </c>
      <c r="V84" s="191">
        <v>264.0797</v>
      </c>
      <c r="W84" s="191">
        <v>264.11070000000001</v>
      </c>
      <c r="X84" s="191">
        <v>264.12220000000002</v>
      </c>
      <c r="Y84" s="279">
        <v>264.11250000000001</v>
      </c>
      <c r="Z84" s="278">
        <v>265.5401</v>
      </c>
      <c r="AA84" s="191"/>
      <c r="AB84" s="191"/>
      <c r="AC84" s="191"/>
      <c r="AD84" s="191"/>
      <c r="AE84" s="191"/>
      <c r="AF84" s="191"/>
      <c r="AG84" s="191"/>
      <c r="AH84" s="191"/>
      <c r="AI84" s="191"/>
      <c r="AJ84" s="191"/>
      <c r="AK84" s="191"/>
      <c r="AL84" s="191"/>
      <c r="AM84" s="191"/>
      <c r="AN84" s="191"/>
      <c r="AO84" s="191"/>
      <c r="AP84" s="191"/>
      <c r="AQ84" s="191"/>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N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191"/>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row>
    <row r="85" spans="1:155" ht="45" customHeight="1" x14ac:dyDescent="0.45">
      <c r="A85" s="277">
        <v>420</v>
      </c>
      <c r="B85" s="191"/>
      <c r="C85" s="191"/>
      <c r="D85" s="191"/>
      <c r="E85" s="191"/>
      <c r="F85" s="191"/>
      <c r="G85" s="278">
        <v>264.48520000000002</v>
      </c>
      <c r="H85" s="279">
        <v>264.02999999999997</v>
      </c>
      <c r="I85" s="279">
        <v>264.01589999999999</v>
      </c>
      <c r="J85" s="279">
        <v>264.03590000000003</v>
      </c>
      <c r="K85" s="279">
        <v>264.04109999999997</v>
      </c>
      <c r="L85" s="279">
        <v>264.05290000000002</v>
      </c>
      <c r="M85" s="279">
        <v>264.07859999999999</v>
      </c>
      <c r="N85" s="279">
        <v>264.07420000000002</v>
      </c>
      <c r="O85" s="279">
        <v>264.12329999999997</v>
      </c>
      <c r="P85" s="279">
        <v>264.27780000000001</v>
      </c>
      <c r="Q85" s="279">
        <v>264.09109999999998</v>
      </c>
      <c r="R85" s="279">
        <v>264.08940000000001</v>
      </c>
      <c r="S85" s="279">
        <v>264.09120000000001</v>
      </c>
      <c r="T85" s="279">
        <v>264.06229999999999</v>
      </c>
      <c r="U85" s="279">
        <v>264.07769999999999</v>
      </c>
      <c r="V85" s="279">
        <v>264.07159999999999</v>
      </c>
      <c r="W85" s="279">
        <v>264.10210000000001</v>
      </c>
      <c r="X85" s="279">
        <v>264.12490000000003</v>
      </c>
      <c r="Y85" s="279">
        <v>264.05560000000003</v>
      </c>
      <c r="Z85" s="278">
        <v>265.52980000000002</v>
      </c>
      <c r="AA85" s="191"/>
      <c r="AB85" s="191"/>
      <c r="AC85" s="191"/>
      <c r="AD85" s="191"/>
      <c r="AE85" s="191"/>
      <c r="AF85" s="191"/>
      <c r="AG85" s="191"/>
      <c r="AH85" s="191"/>
      <c r="AI85" s="191"/>
      <c r="AJ85" s="191"/>
      <c r="AK85" s="191"/>
      <c r="AL85" s="191"/>
      <c r="AM85" s="191"/>
      <c r="AN85" s="191"/>
      <c r="AO85" s="191"/>
      <c r="AP85" s="191"/>
      <c r="AQ85" s="191"/>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N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191"/>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row>
    <row r="86" spans="1:155" ht="45" customHeight="1" x14ac:dyDescent="0.45">
      <c r="A86" s="277">
        <v>425</v>
      </c>
      <c r="B86" s="191"/>
      <c r="C86" s="191"/>
      <c r="D86" s="191"/>
      <c r="E86" s="191"/>
      <c r="F86" s="191"/>
      <c r="G86" s="278">
        <v>264.01420000000002</v>
      </c>
      <c r="H86" s="278">
        <v>263.97089999999997</v>
      </c>
      <c r="I86" s="278">
        <v>264.01889999999997</v>
      </c>
      <c r="J86" s="278">
        <v>264.1146</v>
      </c>
      <c r="K86" s="278">
        <v>263.9778</v>
      </c>
      <c r="L86" s="278">
        <v>263.92450000000002</v>
      </c>
      <c r="M86" s="278">
        <v>263.91210000000001</v>
      </c>
      <c r="N86" s="278">
        <v>263.9787</v>
      </c>
      <c r="O86" s="278">
        <v>263.9907</v>
      </c>
      <c r="P86" s="278">
        <v>263.9957</v>
      </c>
      <c r="Q86" s="278">
        <v>263.98919999999998</v>
      </c>
      <c r="R86" s="278">
        <v>264.10969999999998</v>
      </c>
      <c r="S86" s="278">
        <v>264.125</v>
      </c>
      <c r="T86" s="278">
        <v>264.23020000000002</v>
      </c>
      <c r="U86" s="278">
        <v>264.44650000000001</v>
      </c>
      <c r="V86" s="278">
        <v>264.37830000000002</v>
      </c>
      <c r="W86" s="278">
        <v>264.13290000000001</v>
      </c>
      <c r="X86" s="278">
        <v>264.08539999999999</v>
      </c>
      <c r="Y86" s="278">
        <v>264.55669999999998</v>
      </c>
      <c r="Z86" s="278">
        <v>265.33600000000001</v>
      </c>
      <c r="AA86" s="191"/>
      <c r="AB86" s="191"/>
      <c r="AC86" s="191"/>
      <c r="AD86" s="191"/>
      <c r="AE86" s="191"/>
      <c r="AF86" s="191"/>
      <c r="AG86" s="191"/>
      <c r="AH86" s="191"/>
      <c r="AI86" s="191"/>
      <c r="AJ86" s="191"/>
      <c r="AK86" s="191"/>
      <c r="AL86" s="191"/>
      <c r="AM86" s="191"/>
      <c r="AN86" s="191"/>
      <c r="AO86" s="191"/>
      <c r="AP86" s="191"/>
      <c r="AQ86" s="191"/>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N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191"/>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row>
    <row r="87" spans="1:155" ht="45" customHeight="1" x14ac:dyDescent="0.45">
      <c r="A87" s="277">
        <v>430</v>
      </c>
      <c r="B87" s="191"/>
      <c r="C87" s="191"/>
      <c r="D87" s="191"/>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1"/>
      <c r="AG87" s="191"/>
      <c r="AH87" s="191"/>
      <c r="AI87" s="191"/>
      <c r="AJ87" s="191"/>
      <c r="AK87" s="191"/>
      <c r="AL87" s="191"/>
      <c r="AM87" s="191"/>
      <c r="AN87" s="191"/>
      <c r="AO87" s="191"/>
      <c r="AP87" s="191"/>
      <c r="AQ87" s="191"/>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N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191"/>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row>
    <row r="88" spans="1:155" ht="45" customHeight="1" x14ac:dyDescent="0.45">
      <c r="A88" s="277">
        <v>435</v>
      </c>
      <c r="B88" s="191"/>
      <c r="C88" s="191"/>
      <c r="D88" s="191"/>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1"/>
      <c r="AG88" s="191"/>
      <c r="AH88" s="191"/>
      <c r="AI88" s="191"/>
      <c r="AJ88" s="191"/>
      <c r="AK88" s="191"/>
      <c r="AL88" s="191"/>
      <c r="AM88" s="191"/>
      <c r="AN88" s="191"/>
      <c r="AO88" s="191"/>
      <c r="AP88" s="191"/>
      <c r="AQ88" s="191"/>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N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191"/>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row>
    <row r="89" spans="1:155" ht="45" customHeight="1" x14ac:dyDescent="0.45">
      <c r="A89" s="277">
        <v>440</v>
      </c>
      <c r="B89" s="191"/>
      <c r="C89" s="191"/>
      <c r="D89" s="191"/>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1"/>
      <c r="AG89" s="191"/>
      <c r="AH89" s="191"/>
      <c r="AI89" s="191"/>
      <c r="AJ89" s="191"/>
      <c r="AK89" s="191"/>
      <c r="AL89" s="191"/>
      <c r="AM89" s="191"/>
      <c r="AN89" s="191"/>
      <c r="AO89" s="191"/>
      <c r="AP89" s="191"/>
      <c r="AQ89" s="191"/>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N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191"/>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row>
    <row r="90" spans="1:155" ht="45" customHeight="1" x14ac:dyDescent="0.45">
      <c r="A90" s="277">
        <v>445</v>
      </c>
      <c r="B90" s="191"/>
      <c r="C90" s="191"/>
      <c r="D90" s="191"/>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191"/>
      <c r="AH90" s="191"/>
      <c r="AI90" s="191"/>
      <c r="AJ90" s="191"/>
      <c r="AK90" s="191"/>
      <c r="AL90" s="191"/>
      <c r="AM90" s="191"/>
      <c r="AN90" s="191"/>
      <c r="AO90" s="191"/>
      <c r="AP90" s="191"/>
      <c r="AQ90" s="191"/>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N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191"/>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row>
    <row r="91" spans="1:155" ht="45" customHeight="1" x14ac:dyDescent="0.45">
      <c r="A91" s="277">
        <v>450</v>
      </c>
      <c r="B91" s="191"/>
      <c r="C91" s="191"/>
      <c r="D91" s="191"/>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1"/>
      <c r="AG91" s="191"/>
      <c r="AH91" s="191"/>
      <c r="AI91" s="191"/>
      <c r="AJ91" s="191"/>
      <c r="AK91" s="191"/>
      <c r="AL91" s="191"/>
      <c r="AM91" s="191"/>
      <c r="AN91" s="191"/>
      <c r="AO91" s="191"/>
      <c r="AP91" s="191"/>
      <c r="AQ91" s="191"/>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N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191"/>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row>
    <row r="92" spans="1:155" ht="45" customHeight="1" x14ac:dyDescent="0.45">
      <c r="A92" s="277">
        <v>455</v>
      </c>
      <c r="B92" s="191"/>
      <c r="C92" s="191"/>
      <c r="D92" s="191"/>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1"/>
      <c r="AG92" s="191"/>
      <c r="AH92" s="191"/>
      <c r="AI92" s="191"/>
      <c r="AJ92" s="191"/>
      <c r="AK92" s="191"/>
      <c r="AL92" s="191"/>
      <c r="AM92" s="191"/>
      <c r="AN92" s="191"/>
      <c r="AO92" s="191"/>
      <c r="AP92" s="191"/>
      <c r="AQ92" s="191"/>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N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191"/>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row>
  </sheetData>
  <pageMargins left="0.25" right="0.25" top="0.75" bottom="0.75" header="0.3" footer="0.3"/>
  <pageSetup paperSize="8" scale="18" orientation="landscape"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D4DCB-525B-4284-B3C0-6B4380DE5124}">
  <sheetPr>
    <tabColor rgb="FFFFD5D5"/>
    <pageSetUpPr fitToPage="1"/>
  </sheetPr>
  <dimension ref="A1:FC94"/>
  <sheetViews>
    <sheetView topLeftCell="EB88" zoomScale="69" zoomScaleNormal="104" workbookViewId="0">
      <selection activeCell="FB93" sqref="FB93"/>
    </sheetView>
  </sheetViews>
  <sheetFormatPr defaultColWidth="8" defaultRowHeight="45.4" customHeight="1" x14ac:dyDescent="0.45"/>
  <cols>
    <col min="1" max="16384" width="8" style="79"/>
  </cols>
  <sheetData>
    <row r="1" spans="1:155" ht="45" customHeight="1" x14ac:dyDescent="0.45">
      <c r="A1" s="277">
        <v>0</v>
      </c>
      <c r="B1" s="277">
        <v>5</v>
      </c>
      <c r="C1" s="277">
        <v>10</v>
      </c>
      <c r="D1" s="277">
        <v>15</v>
      </c>
      <c r="E1" s="277">
        <v>20</v>
      </c>
      <c r="F1" s="277">
        <v>25</v>
      </c>
      <c r="G1" s="277">
        <v>30</v>
      </c>
      <c r="H1" s="277">
        <v>35</v>
      </c>
      <c r="I1" s="277">
        <v>40</v>
      </c>
      <c r="J1" s="277">
        <v>45</v>
      </c>
      <c r="K1" s="277">
        <v>50</v>
      </c>
      <c r="L1" s="277">
        <v>55</v>
      </c>
      <c r="M1" s="277">
        <v>60</v>
      </c>
      <c r="N1" s="277">
        <v>65</v>
      </c>
      <c r="O1" s="277">
        <v>70</v>
      </c>
      <c r="P1" s="277">
        <v>75</v>
      </c>
      <c r="Q1" s="277">
        <v>80</v>
      </c>
      <c r="R1" s="277">
        <v>85</v>
      </c>
      <c r="S1" s="277">
        <v>90</v>
      </c>
      <c r="T1" s="277">
        <v>95</v>
      </c>
      <c r="U1" s="277">
        <v>100</v>
      </c>
      <c r="V1" s="277">
        <v>105</v>
      </c>
      <c r="W1" s="277">
        <v>110</v>
      </c>
      <c r="X1" s="277">
        <v>115</v>
      </c>
      <c r="Y1" s="277">
        <v>120</v>
      </c>
      <c r="Z1" s="277">
        <v>125</v>
      </c>
      <c r="AA1" s="277">
        <v>130</v>
      </c>
      <c r="AB1" s="277">
        <v>135</v>
      </c>
      <c r="AC1" s="277">
        <v>140</v>
      </c>
      <c r="AD1" s="277">
        <v>145</v>
      </c>
      <c r="AE1" s="277">
        <v>150</v>
      </c>
      <c r="AF1" s="277">
        <v>155</v>
      </c>
      <c r="AG1" s="277">
        <v>160</v>
      </c>
      <c r="AH1" s="277">
        <v>165</v>
      </c>
      <c r="AI1" s="277">
        <v>170</v>
      </c>
      <c r="AJ1" s="277">
        <v>175</v>
      </c>
      <c r="AK1" s="277">
        <v>180</v>
      </c>
      <c r="AL1" s="277">
        <v>185</v>
      </c>
      <c r="AM1" s="277">
        <v>190</v>
      </c>
      <c r="AN1" s="277">
        <v>195</v>
      </c>
      <c r="AO1" s="277">
        <v>200</v>
      </c>
      <c r="AP1" s="277">
        <v>205</v>
      </c>
      <c r="AQ1" s="277">
        <v>210</v>
      </c>
      <c r="AR1" s="277">
        <v>215</v>
      </c>
      <c r="AS1" s="277">
        <v>220</v>
      </c>
      <c r="AT1" s="277">
        <v>225</v>
      </c>
      <c r="AU1" s="277">
        <v>230</v>
      </c>
      <c r="AV1" s="277">
        <v>235</v>
      </c>
      <c r="AW1" s="277">
        <v>240</v>
      </c>
      <c r="AX1" s="277">
        <v>245</v>
      </c>
      <c r="AY1" s="277">
        <v>250</v>
      </c>
      <c r="AZ1" s="277">
        <v>255</v>
      </c>
      <c r="BA1" s="277">
        <v>260</v>
      </c>
      <c r="BB1" s="277">
        <v>265</v>
      </c>
      <c r="BC1" s="277">
        <v>270</v>
      </c>
      <c r="BD1" s="277">
        <v>275</v>
      </c>
      <c r="BE1" s="277">
        <v>280</v>
      </c>
      <c r="BF1" s="277">
        <v>285</v>
      </c>
      <c r="BG1" s="277">
        <v>290</v>
      </c>
      <c r="BH1" s="277">
        <v>295</v>
      </c>
      <c r="BI1" s="277">
        <v>300</v>
      </c>
      <c r="BJ1" s="277">
        <v>305</v>
      </c>
      <c r="BK1" s="277">
        <v>310</v>
      </c>
      <c r="BL1" s="277">
        <v>315</v>
      </c>
      <c r="BM1" s="277">
        <v>320</v>
      </c>
      <c r="BN1" s="277">
        <v>325</v>
      </c>
      <c r="BO1" s="277">
        <v>330</v>
      </c>
      <c r="BP1" s="277">
        <v>335</v>
      </c>
      <c r="BQ1" s="277">
        <v>340</v>
      </c>
      <c r="BR1" s="277">
        <v>345</v>
      </c>
      <c r="BS1" s="277">
        <v>350</v>
      </c>
      <c r="BT1" s="277">
        <v>355</v>
      </c>
      <c r="BU1" s="277">
        <v>360</v>
      </c>
      <c r="BV1" s="277">
        <v>365</v>
      </c>
      <c r="BW1" s="277">
        <v>370</v>
      </c>
      <c r="BX1" s="277">
        <v>375</v>
      </c>
      <c r="BY1" s="277">
        <v>380</v>
      </c>
      <c r="BZ1" s="277">
        <v>385</v>
      </c>
      <c r="CA1" s="277">
        <v>390</v>
      </c>
      <c r="CB1" s="277">
        <v>395</v>
      </c>
      <c r="CC1" s="277">
        <v>400</v>
      </c>
      <c r="CD1" s="277">
        <v>405</v>
      </c>
      <c r="CE1" s="277">
        <v>410</v>
      </c>
      <c r="CF1" s="277">
        <v>415</v>
      </c>
      <c r="CG1" s="277">
        <v>420</v>
      </c>
      <c r="CH1" s="277">
        <v>425</v>
      </c>
      <c r="CI1" s="277">
        <v>430</v>
      </c>
      <c r="CJ1" s="277">
        <v>435</v>
      </c>
      <c r="CK1" s="277">
        <v>440</v>
      </c>
      <c r="CL1" s="277">
        <v>445</v>
      </c>
      <c r="CM1" s="277">
        <v>450</v>
      </c>
      <c r="CN1" s="277">
        <v>455</v>
      </c>
      <c r="CO1" s="277">
        <v>460</v>
      </c>
      <c r="CP1" s="277">
        <v>465</v>
      </c>
      <c r="CQ1" s="277">
        <v>470</v>
      </c>
      <c r="CR1" s="277">
        <v>475</v>
      </c>
      <c r="CS1" s="277">
        <v>480</v>
      </c>
      <c r="CT1" s="277">
        <v>485</v>
      </c>
      <c r="CU1" s="277">
        <v>490</v>
      </c>
      <c r="CV1" s="277">
        <v>495</v>
      </c>
      <c r="CW1" s="277">
        <v>500</v>
      </c>
      <c r="CX1" s="277">
        <v>505</v>
      </c>
      <c r="CY1" s="277">
        <v>510</v>
      </c>
      <c r="CZ1" s="277">
        <v>515</v>
      </c>
      <c r="DA1" s="277">
        <v>520</v>
      </c>
      <c r="DB1" s="277">
        <v>525</v>
      </c>
      <c r="DC1" s="277">
        <v>530</v>
      </c>
      <c r="DD1" s="277">
        <v>535</v>
      </c>
      <c r="DE1" s="277">
        <v>540</v>
      </c>
      <c r="DF1" s="277">
        <v>545</v>
      </c>
      <c r="DG1" s="277">
        <v>550</v>
      </c>
      <c r="DH1" s="277">
        <v>555</v>
      </c>
      <c r="DI1" s="277">
        <v>560</v>
      </c>
      <c r="DJ1" s="277">
        <v>565</v>
      </c>
      <c r="DK1" s="277">
        <v>570</v>
      </c>
      <c r="DL1" s="277">
        <v>575</v>
      </c>
      <c r="DM1" s="277">
        <v>580</v>
      </c>
      <c r="DN1" s="277">
        <v>585</v>
      </c>
      <c r="DO1" s="277">
        <v>590</v>
      </c>
      <c r="DP1" s="277">
        <v>595</v>
      </c>
      <c r="DQ1" s="277">
        <v>600</v>
      </c>
      <c r="DR1" s="277">
        <v>605</v>
      </c>
      <c r="DS1" s="277">
        <v>610</v>
      </c>
      <c r="DT1" s="277">
        <v>615</v>
      </c>
      <c r="DU1" s="277">
        <v>620</v>
      </c>
      <c r="DV1" s="277">
        <v>625</v>
      </c>
      <c r="DW1" s="277">
        <v>630</v>
      </c>
      <c r="DX1" s="277">
        <v>635</v>
      </c>
      <c r="DY1" s="277">
        <v>640</v>
      </c>
      <c r="DZ1" s="277">
        <v>645</v>
      </c>
      <c r="EA1" s="277">
        <v>650</v>
      </c>
      <c r="EB1" s="277">
        <v>655</v>
      </c>
      <c r="EC1" s="277">
        <v>660</v>
      </c>
      <c r="ED1" s="277">
        <v>665</v>
      </c>
      <c r="EE1" s="277">
        <v>670</v>
      </c>
      <c r="EF1" s="277">
        <v>675</v>
      </c>
      <c r="EG1" s="277">
        <v>680</v>
      </c>
      <c r="EH1" s="277">
        <v>685</v>
      </c>
      <c r="EI1" s="277">
        <v>690</v>
      </c>
      <c r="EJ1" s="277">
        <v>695</v>
      </c>
      <c r="EK1" s="277">
        <v>700</v>
      </c>
      <c r="EL1" s="277">
        <v>705</v>
      </c>
      <c r="EM1" s="277">
        <v>710</v>
      </c>
      <c r="EN1" s="277">
        <v>715</v>
      </c>
      <c r="EO1" s="277">
        <v>720</v>
      </c>
      <c r="EP1" s="277">
        <v>725</v>
      </c>
      <c r="EQ1" s="277">
        <v>730</v>
      </c>
      <c r="ER1" s="277">
        <v>735</v>
      </c>
      <c r="ES1" s="277">
        <v>740</v>
      </c>
      <c r="ET1" s="277">
        <v>745</v>
      </c>
      <c r="EU1" s="277">
        <v>750</v>
      </c>
      <c r="EV1" s="277">
        <v>755</v>
      </c>
      <c r="EW1" s="277">
        <v>760</v>
      </c>
      <c r="EX1" s="277">
        <v>765</v>
      </c>
      <c r="EY1" s="277">
        <v>770</v>
      </c>
    </row>
    <row r="2" spans="1:155" ht="45" customHeight="1" x14ac:dyDescent="0.45">
      <c r="A2" s="277">
        <v>5</v>
      </c>
      <c r="B2" s="191">
        <f>'Functional Levels Drone Survey'!B2-'Existing Levels Drone Survey'!B2</f>
        <v>0</v>
      </c>
      <c r="C2" s="191">
        <f>'Functional Levels Drone Survey'!C2-'Existing Levels Drone Survey'!C2</f>
        <v>0</v>
      </c>
      <c r="D2" s="191">
        <f>'Functional Levels Drone Survey'!D2-'Existing Levels Drone Survey'!D2</f>
        <v>0</v>
      </c>
      <c r="E2" s="191">
        <f>'Functional Levels Drone Survey'!E2-'Existing Levels Drone Survey'!E2</f>
        <v>0</v>
      </c>
      <c r="F2" s="191">
        <f>'Functional Levels Drone Survey'!F2-'Existing Levels Drone Survey'!F2</f>
        <v>0</v>
      </c>
      <c r="G2" s="191">
        <f>'Functional Levels Drone Survey'!G2-'Existing Levels Drone Survey'!G2</f>
        <v>0</v>
      </c>
      <c r="H2" s="191">
        <f>'Functional Levels Drone Survey'!H2-'Existing Levels Drone Survey'!H2</f>
        <v>0</v>
      </c>
      <c r="I2" s="191">
        <f>'Functional Levels Drone Survey'!I2-'Existing Levels Drone Survey'!I2</f>
        <v>0</v>
      </c>
      <c r="J2" s="191">
        <f>'Functional Levels Drone Survey'!J2-'Existing Levels Drone Survey'!J2</f>
        <v>0</v>
      </c>
      <c r="K2" s="191">
        <f>'Functional Levels Drone Survey'!K2-'Existing Levels Drone Survey'!K2</f>
        <v>0</v>
      </c>
      <c r="L2" s="191">
        <f>'Functional Levels Drone Survey'!L2-'Existing Levels Drone Survey'!L2</f>
        <v>0</v>
      </c>
      <c r="M2" s="191">
        <f>'Functional Levels Drone Survey'!M2-'Existing Levels Drone Survey'!M2</f>
        <v>0</v>
      </c>
      <c r="N2" s="191">
        <f>'Functional Levels Drone Survey'!N2-'Existing Levels Drone Survey'!N2</f>
        <v>0</v>
      </c>
      <c r="O2" s="191">
        <f>'Functional Levels Drone Survey'!O2-'Existing Levels Drone Survey'!O2</f>
        <v>0</v>
      </c>
      <c r="P2" s="191">
        <f>'Functional Levels Drone Survey'!P2-'Existing Levels Drone Survey'!P2</f>
        <v>0</v>
      </c>
      <c r="Q2" s="191">
        <f>'Functional Levels Drone Survey'!Q2-'Existing Levels Drone Survey'!Q2</f>
        <v>0</v>
      </c>
      <c r="R2" s="191">
        <f>'Functional Levels Drone Survey'!R2-'Existing Levels Drone Survey'!R2</f>
        <v>0</v>
      </c>
      <c r="S2" s="191">
        <f>'Functional Levels Drone Survey'!S2-'Existing Levels Drone Survey'!S2</f>
        <v>0</v>
      </c>
      <c r="T2" s="191">
        <f>'Functional Levels Drone Survey'!T2-'Existing Levels Drone Survey'!T2</f>
        <v>0</v>
      </c>
      <c r="U2" s="191">
        <f>'Functional Levels Drone Survey'!U2-'Existing Levels Drone Survey'!U2</f>
        <v>0</v>
      </c>
      <c r="V2" s="191">
        <f>'Functional Levels Drone Survey'!V2-'Existing Levels Drone Survey'!V2</f>
        <v>0</v>
      </c>
      <c r="W2" s="191">
        <f>'Functional Levels Drone Survey'!W2-'Existing Levels Drone Survey'!W2</f>
        <v>0</v>
      </c>
      <c r="X2" s="191">
        <f>'Functional Levels Drone Survey'!X2-'Existing Levels Drone Survey'!X2</f>
        <v>0</v>
      </c>
      <c r="Y2" s="191">
        <f>'Functional Levels Drone Survey'!Y2-'Existing Levels Drone Survey'!Y2</f>
        <v>0</v>
      </c>
      <c r="Z2" s="191">
        <f>'Functional Levels Drone Survey'!Z2-'Existing Levels Drone Survey'!Z2</f>
        <v>0</v>
      </c>
      <c r="AA2" s="191">
        <f>'Functional Levels Drone Survey'!AA2-'Existing Levels Drone Survey'!AA2</f>
        <v>0</v>
      </c>
      <c r="AB2" s="191">
        <f>'Functional Levels Drone Survey'!AB2-'Existing Levels Drone Survey'!AB2</f>
        <v>0</v>
      </c>
      <c r="AC2" s="191">
        <f>'Functional Levels Drone Survey'!AC2-'Existing Levels Drone Survey'!AC2</f>
        <v>0</v>
      </c>
      <c r="AD2" s="191">
        <f>'Functional Levels Drone Survey'!AD2-'Existing Levels Drone Survey'!AD2</f>
        <v>0</v>
      </c>
      <c r="AE2" s="191">
        <f>'Functional Levels Drone Survey'!AE2-'Existing Levels Drone Survey'!AE2</f>
        <v>0</v>
      </c>
      <c r="AF2" s="191">
        <f>'Functional Levels Drone Survey'!AF2-'Existing Levels Drone Survey'!AF2</f>
        <v>0</v>
      </c>
      <c r="AG2" s="191">
        <f>'Functional Levels Drone Survey'!AG2-'Existing Levels Drone Survey'!AG2</f>
        <v>0</v>
      </c>
      <c r="AH2" s="191">
        <f>'Functional Levels Drone Survey'!AH2-'Existing Levels Drone Survey'!AH2</f>
        <v>0</v>
      </c>
      <c r="AI2" s="191">
        <f>'Functional Levels Drone Survey'!AI2-'Existing Levels Drone Survey'!AI2</f>
        <v>0</v>
      </c>
      <c r="AJ2" s="191">
        <f>'Functional Levels Drone Survey'!AJ2-'Existing Levels Drone Survey'!AJ2</f>
        <v>0</v>
      </c>
      <c r="AK2" s="191">
        <f>'Functional Levels Drone Survey'!AK2-'Existing Levels Drone Survey'!AK2</f>
        <v>0</v>
      </c>
      <c r="AL2" s="191">
        <f>'Functional Levels Drone Survey'!AL2-'Existing Levels Drone Survey'!AL2</f>
        <v>0</v>
      </c>
      <c r="AM2" s="191">
        <f>'Functional Levels Drone Survey'!AM2-'Existing Levels Drone Survey'!AM2</f>
        <v>0</v>
      </c>
      <c r="AN2" s="191">
        <f>'Functional Levels Drone Survey'!AN2-'Existing Levels Drone Survey'!AN2</f>
        <v>0</v>
      </c>
      <c r="AO2" s="191">
        <f>'Functional Levels Drone Survey'!AO2-'Existing Levels Drone Survey'!AO2</f>
        <v>0</v>
      </c>
      <c r="AP2" s="191">
        <f>'Functional Levels Drone Survey'!AP2-'Existing Levels Drone Survey'!AP2</f>
        <v>0</v>
      </c>
      <c r="AQ2" s="191">
        <f>'Functional Levels Drone Survey'!AQ2-'Existing Levels Drone Survey'!AQ2</f>
        <v>0</v>
      </c>
      <c r="AR2" s="191">
        <f>'Functional Levels Drone Survey'!AR2-'Existing Levels Drone Survey'!AR2</f>
        <v>0</v>
      </c>
      <c r="AS2" s="191">
        <f>'Functional Levels Drone Survey'!AS2-'Existing Levels Drone Survey'!AS2</f>
        <v>0</v>
      </c>
      <c r="AT2" s="191">
        <f>'Functional Levels Drone Survey'!AT2-'Existing Levels Drone Survey'!AT2</f>
        <v>0</v>
      </c>
      <c r="AU2" s="191">
        <f>'Functional Levels Drone Survey'!AU2-'Existing Levels Drone Survey'!AU2</f>
        <v>0</v>
      </c>
      <c r="AV2" s="191">
        <f>'Functional Levels Drone Survey'!AV2-'Existing Levels Drone Survey'!AV2</f>
        <v>0</v>
      </c>
      <c r="AW2" s="191">
        <f>'Functional Levels Drone Survey'!AW2-'Existing Levels Drone Survey'!AW2</f>
        <v>0</v>
      </c>
      <c r="AX2" s="191">
        <f>'Functional Levels Drone Survey'!AX2-'Existing Levels Drone Survey'!AX2</f>
        <v>0</v>
      </c>
      <c r="AY2" s="191">
        <f>'Functional Levels Drone Survey'!AY2-'Existing Levels Drone Survey'!AY2</f>
        <v>0</v>
      </c>
      <c r="AZ2" s="191">
        <f>'Functional Levels Drone Survey'!AZ2-'Existing Levels Drone Survey'!AZ2</f>
        <v>0</v>
      </c>
      <c r="BA2" s="191">
        <f>'Functional Levels Drone Survey'!BA2-'Existing Levels Drone Survey'!BA2</f>
        <v>0</v>
      </c>
      <c r="BB2" s="191">
        <f>'Functional Levels Drone Survey'!BB2-'Existing Levels Drone Survey'!BB2</f>
        <v>0</v>
      </c>
      <c r="BC2" s="191">
        <f>'Functional Levels Drone Survey'!BC2-'Existing Levels Drone Survey'!BC2</f>
        <v>0</v>
      </c>
      <c r="BD2" s="191">
        <f>'Functional Levels Drone Survey'!BD2-'Existing Levels Drone Survey'!BD2</f>
        <v>0</v>
      </c>
      <c r="BE2" s="191">
        <f>'Functional Levels Drone Survey'!BE2-'Existing Levels Drone Survey'!BE2</f>
        <v>0</v>
      </c>
      <c r="BF2" s="191">
        <f>'Functional Levels Drone Survey'!BF2-'Existing Levels Drone Survey'!BF2</f>
        <v>0</v>
      </c>
      <c r="BG2" s="191">
        <f>'Functional Levels Drone Survey'!BG2-'Existing Levels Drone Survey'!BG2</f>
        <v>0</v>
      </c>
      <c r="BH2" s="191">
        <f>'Functional Levels Drone Survey'!BH2-'Existing Levels Drone Survey'!BH2</f>
        <v>0</v>
      </c>
      <c r="BI2" s="191">
        <f>'Functional Levels Drone Survey'!BI2-'Existing Levels Drone Survey'!BI2</f>
        <v>0</v>
      </c>
      <c r="BJ2" s="191">
        <f>'Functional Levels Drone Survey'!BJ2-'Existing Levels Drone Survey'!BJ2</f>
        <v>0</v>
      </c>
      <c r="BK2" s="191">
        <f>'Functional Levels Drone Survey'!BK2-'Existing Levels Drone Survey'!BK2</f>
        <v>0</v>
      </c>
      <c r="BL2" s="191">
        <f>'Functional Levels Drone Survey'!BL2-'Existing Levels Drone Survey'!BL2</f>
        <v>0</v>
      </c>
      <c r="BM2" s="191">
        <f>'Functional Levels Drone Survey'!BM2-'Existing Levels Drone Survey'!BM2</f>
        <v>0</v>
      </c>
      <c r="BN2" s="191">
        <f>'Functional Levels Drone Survey'!BN2-'Existing Levels Drone Survey'!BN2</f>
        <v>0</v>
      </c>
      <c r="BO2" s="191">
        <f>'Functional Levels Drone Survey'!BO2-'Existing Levels Drone Survey'!BO2</f>
        <v>0</v>
      </c>
      <c r="BP2" s="191">
        <f>'Functional Levels Drone Survey'!BP2-'Existing Levels Drone Survey'!BP2</f>
        <v>0</v>
      </c>
      <c r="BQ2" s="191">
        <f>'Functional Levels Drone Survey'!BQ2-'Existing Levels Drone Survey'!BQ2</f>
        <v>0</v>
      </c>
      <c r="BR2" s="191">
        <f>'Functional Levels Drone Survey'!BR2-'Existing Levels Drone Survey'!BR2</f>
        <v>0</v>
      </c>
      <c r="BS2" s="191">
        <f>'Functional Levels Drone Survey'!BS2-'Existing Levels Drone Survey'!BS2</f>
        <v>0</v>
      </c>
      <c r="BT2" s="191">
        <f>'Functional Levels Drone Survey'!BT2-'Existing Levels Drone Survey'!BT2</f>
        <v>0</v>
      </c>
      <c r="BU2" s="191">
        <f>'Functional Levels Drone Survey'!BU2-'Existing Levels Drone Survey'!BU2</f>
        <v>0</v>
      </c>
      <c r="BV2" s="191">
        <f>'Functional Levels Drone Survey'!BV2-'Existing Levels Drone Survey'!BV2</f>
        <v>0</v>
      </c>
      <c r="BW2" s="191">
        <f>'Functional Levels Drone Survey'!BW2-'Existing Levels Drone Survey'!BW2</f>
        <v>0</v>
      </c>
      <c r="BX2" s="191">
        <f>'Functional Levels Drone Survey'!BX2-'Existing Levels Drone Survey'!BX2</f>
        <v>0</v>
      </c>
      <c r="BY2" s="191">
        <f>'Functional Levels Drone Survey'!BY2-'Existing Levels Drone Survey'!BY2</f>
        <v>0</v>
      </c>
      <c r="BZ2" s="191">
        <f>'Functional Levels Drone Survey'!BZ2-'Existing Levels Drone Survey'!BZ2</f>
        <v>0</v>
      </c>
      <c r="CA2" s="191">
        <f>'Functional Levels Drone Survey'!CA2-'Existing Levels Drone Survey'!CA2</f>
        <v>0</v>
      </c>
      <c r="CB2" s="191">
        <f>'Functional Levels Drone Survey'!CB2-'Existing Levels Drone Survey'!CB2</f>
        <v>0</v>
      </c>
      <c r="CC2" s="191">
        <f>'Functional Levels Drone Survey'!CC2-'Existing Levels Drone Survey'!CC2</f>
        <v>0</v>
      </c>
      <c r="CD2" s="191">
        <f>'Functional Levels Drone Survey'!CD2-'Existing Levels Drone Survey'!CD2</f>
        <v>0</v>
      </c>
      <c r="CE2" s="191">
        <f>'Functional Levels Drone Survey'!CE2-'Existing Levels Drone Survey'!CE2</f>
        <v>0</v>
      </c>
      <c r="CF2" s="191">
        <f>'Functional Levels Drone Survey'!CF2-'Existing Levels Drone Survey'!CF2</f>
        <v>0</v>
      </c>
      <c r="CG2" s="191">
        <f>'Functional Levels Drone Survey'!CG2-'Existing Levels Drone Survey'!CG2</f>
        <v>0</v>
      </c>
      <c r="CH2" s="191">
        <f>'Functional Levels Drone Survey'!CH2-'Existing Levels Drone Survey'!CH2</f>
        <v>0</v>
      </c>
      <c r="CI2" s="191">
        <f>'Functional Levels Drone Survey'!CI2-'Existing Levels Drone Survey'!CI2</f>
        <v>0</v>
      </c>
      <c r="CJ2" s="191">
        <f>'Functional Levels Drone Survey'!CJ2-'Existing Levels Drone Survey'!CJ2</f>
        <v>0</v>
      </c>
      <c r="CK2" s="191">
        <f>'Functional Levels Drone Survey'!CK2-'Existing Levels Drone Survey'!CK2</f>
        <v>0</v>
      </c>
      <c r="CL2" s="191">
        <f>'Functional Levels Drone Survey'!CL2-'Existing Levels Drone Survey'!CL2</f>
        <v>0</v>
      </c>
      <c r="CM2" s="191">
        <f>'Functional Levels Drone Survey'!CM2-'Existing Levels Drone Survey'!CM2</f>
        <v>0</v>
      </c>
      <c r="CN2" s="191">
        <f>'Functional Levels Drone Survey'!CN2-'Existing Levels Drone Survey'!CN2</f>
        <v>0</v>
      </c>
      <c r="CO2" s="191">
        <f>'Functional Levels Drone Survey'!CO2-'Existing Levels Drone Survey'!CO2</f>
        <v>0</v>
      </c>
      <c r="CP2" s="191">
        <f>'Functional Levels Drone Survey'!CP2-'Existing Levels Drone Survey'!CP2</f>
        <v>0</v>
      </c>
      <c r="CQ2" s="191">
        <f>'Functional Levels Drone Survey'!CQ2-'Existing Levels Drone Survey'!CQ2</f>
        <v>0</v>
      </c>
      <c r="CR2" s="191">
        <f>'Functional Levels Drone Survey'!CR2-'Existing Levels Drone Survey'!CR2</f>
        <v>0</v>
      </c>
      <c r="CS2" s="191">
        <f>'Functional Levels Drone Survey'!CS2-'Existing Levels Drone Survey'!CS2</f>
        <v>0</v>
      </c>
      <c r="CT2" s="191">
        <f>'Functional Levels Drone Survey'!CT2-'Existing Levels Drone Survey'!CT2</f>
        <v>0</v>
      </c>
      <c r="CU2" s="191">
        <f>'Functional Levels Drone Survey'!CU2-'Existing Levels Drone Survey'!CU2</f>
        <v>0</v>
      </c>
      <c r="CV2" s="191">
        <f>'Functional Levels Drone Survey'!CV2-'Existing Levels Drone Survey'!CV2</f>
        <v>0</v>
      </c>
      <c r="CW2" s="191">
        <f>'Functional Levels Drone Survey'!CW2-'Existing Levels Drone Survey'!CW2</f>
        <v>0</v>
      </c>
      <c r="CX2" s="191">
        <f>'Functional Levels Drone Survey'!CX2-'Existing Levels Drone Survey'!CX2</f>
        <v>0</v>
      </c>
      <c r="CY2" s="191">
        <f>'Functional Levels Drone Survey'!CY2-'Existing Levels Drone Survey'!CY2</f>
        <v>0</v>
      </c>
      <c r="CZ2" s="191">
        <f>'Functional Levels Drone Survey'!CZ2-'Existing Levels Drone Survey'!CZ2</f>
        <v>0</v>
      </c>
      <c r="DA2" s="191">
        <f>'Functional Levels Drone Survey'!DA2-'Existing Levels Drone Survey'!DA2</f>
        <v>0</v>
      </c>
      <c r="DB2" s="191">
        <f>'Functional Levels Drone Survey'!DB2-'Existing Levels Drone Survey'!DB2</f>
        <v>0</v>
      </c>
      <c r="DC2" s="191">
        <f>'Functional Levels Drone Survey'!DC2-'Existing Levels Drone Survey'!DC2</f>
        <v>0</v>
      </c>
      <c r="DD2" s="191">
        <f>'Functional Levels Drone Survey'!DD2-'Existing Levels Drone Survey'!DD2</f>
        <v>0</v>
      </c>
      <c r="DE2" s="191">
        <f>'Functional Levels Drone Survey'!DE2-'Existing Levels Drone Survey'!DE2</f>
        <v>0</v>
      </c>
      <c r="DF2" s="191">
        <f>'Functional Levels Drone Survey'!DF2-'Existing Levels Drone Survey'!DF2</f>
        <v>0</v>
      </c>
      <c r="DG2" s="191">
        <f>'Functional Levels Drone Survey'!DG2-'Existing Levels Drone Survey'!DG2</f>
        <v>0</v>
      </c>
      <c r="DH2" s="191">
        <f>'Functional Levels Drone Survey'!DH2-'Existing Levels Drone Survey'!DH2</f>
        <v>0</v>
      </c>
      <c r="DI2" s="191">
        <f>'Functional Levels Drone Survey'!DI2-'Existing Levels Drone Survey'!DI2</f>
        <v>0</v>
      </c>
      <c r="DJ2" s="191">
        <f>'Functional Levels Drone Survey'!DJ2-'Existing Levels Drone Survey'!DJ2</f>
        <v>0</v>
      </c>
      <c r="DK2" s="191">
        <f>'Functional Levels Drone Survey'!DK2-'Existing Levels Drone Survey'!DK2</f>
        <v>0</v>
      </c>
      <c r="DL2" s="191">
        <f>'Functional Levels Drone Survey'!DL2-'Existing Levels Drone Survey'!DL2</f>
        <v>0</v>
      </c>
      <c r="DM2" s="191">
        <f>'Functional Levels Drone Survey'!DM2-'Existing Levels Drone Survey'!DM2</f>
        <v>0</v>
      </c>
      <c r="DN2" s="191">
        <f>'Functional Levels Drone Survey'!DN2-'Existing Levels Drone Survey'!DN2</f>
        <v>0</v>
      </c>
      <c r="DO2" s="191">
        <f>'Functional Levels Drone Survey'!DO2-'Existing Levels Drone Survey'!DO2</f>
        <v>0</v>
      </c>
      <c r="DP2" s="191">
        <f>'Functional Levels Drone Survey'!DP2-'Existing Levels Drone Survey'!DP2</f>
        <v>0</v>
      </c>
      <c r="DQ2" s="191">
        <f>'Functional Levels Drone Survey'!DQ2-'Existing Levels Drone Survey'!DQ2</f>
        <v>0</v>
      </c>
      <c r="DR2" s="191">
        <f>'Functional Levels Drone Survey'!DR2-'Existing Levels Drone Survey'!DR2</f>
        <v>0</v>
      </c>
      <c r="DS2" s="191">
        <f>'Functional Levels Drone Survey'!DS2-'Existing Levels Drone Survey'!DS2</f>
        <v>0</v>
      </c>
      <c r="DT2" s="191">
        <f>'Functional Levels Drone Survey'!DT2-'Existing Levels Drone Survey'!DT2</f>
        <v>0</v>
      </c>
      <c r="DU2" s="191">
        <f>'Functional Levels Drone Survey'!DU2-'Existing Levels Drone Survey'!DU2</f>
        <v>0</v>
      </c>
      <c r="DV2" s="191">
        <f>'Functional Levels Drone Survey'!DV2-'Existing Levels Drone Survey'!DV2</f>
        <v>0</v>
      </c>
      <c r="DW2" s="191">
        <f>'Functional Levels Drone Survey'!DW2-'Existing Levels Drone Survey'!DW2</f>
        <v>0</v>
      </c>
      <c r="DX2" s="191">
        <f>'Functional Levels Drone Survey'!DX2-'Existing Levels Drone Survey'!DX2</f>
        <v>0</v>
      </c>
      <c r="DY2" s="191">
        <f>'Functional Levels Drone Survey'!DY2-'Existing Levels Drone Survey'!DY2</f>
        <v>0</v>
      </c>
      <c r="DZ2" s="191">
        <f>'Functional Levels Drone Survey'!DZ2-'Existing Levels Drone Survey'!DZ2</f>
        <v>0</v>
      </c>
      <c r="EA2" s="191">
        <f>'Functional Levels Drone Survey'!EA2-'Existing Levels Drone Survey'!EA2</f>
        <v>0</v>
      </c>
      <c r="EB2" s="191">
        <f>'Functional Levels Drone Survey'!EB2-'Existing Levels Drone Survey'!EB2</f>
        <v>0</v>
      </c>
      <c r="EC2" s="191">
        <f>'Functional Levels Drone Survey'!EC2-'Existing Levels Drone Survey'!EC2</f>
        <v>0</v>
      </c>
      <c r="ED2" s="191">
        <f>'Functional Levels Drone Survey'!ED2-'Existing Levels Drone Survey'!ED2</f>
        <v>0</v>
      </c>
      <c r="EE2" s="191">
        <f>'Functional Levels Drone Survey'!EE2-'Existing Levels Drone Survey'!EE2</f>
        <v>0</v>
      </c>
      <c r="EF2" s="191">
        <f>'Functional Levels Drone Survey'!EF2-'Existing Levels Drone Survey'!EF2</f>
        <v>0</v>
      </c>
      <c r="EG2" s="191">
        <f>'Functional Levels Drone Survey'!EG2-'Existing Levels Drone Survey'!EG2</f>
        <v>0</v>
      </c>
      <c r="EH2" s="191">
        <f>'Functional Levels Drone Survey'!EH2-'Existing Levels Drone Survey'!EH2</f>
        <v>0</v>
      </c>
      <c r="EI2" s="191">
        <f>'Functional Levels Drone Survey'!EI2-'Existing Levels Drone Survey'!EI2</f>
        <v>0</v>
      </c>
      <c r="EJ2" s="191">
        <f>'Functional Levels Drone Survey'!EJ2-'Existing Levels Drone Survey'!EJ2</f>
        <v>0</v>
      </c>
      <c r="EK2" s="191">
        <f>'Functional Levels Drone Survey'!EK2-'Existing Levels Drone Survey'!EK2</f>
        <v>0</v>
      </c>
      <c r="EL2" s="191">
        <f>'Functional Levels Drone Survey'!EL2-'Existing Levels Drone Survey'!EL2</f>
        <v>0</v>
      </c>
      <c r="EM2" s="191">
        <f>'Functional Levels Drone Survey'!EM2-'Existing Levels Drone Survey'!EM2</f>
        <v>0</v>
      </c>
      <c r="EN2" s="191">
        <f>'Functional Levels Drone Survey'!EN2-'Existing Levels Drone Survey'!EN2</f>
        <v>0</v>
      </c>
      <c r="EO2" s="191">
        <f>'Functional Levels Drone Survey'!EO2-'Existing Levels Drone Survey'!EO2</f>
        <v>0</v>
      </c>
      <c r="EP2" s="191">
        <f>'Functional Levels Drone Survey'!EP2-'Existing Levels Drone Survey'!EP2</f>
        <v>0</v>
      </c>
      <c r="EQ2" s="191">
        <f>'Functional Levels Drone Survey'!EQ2-'Existing Levels Drone Survey'!EQ2</f>
        <v>0</v>
      </c>
      <c r="ER2" s="191">
        <f>'Functional Levels Drone Survey'!ER2-'Existing Levels Drone Survey'!ER2</f>
        <v>0</v>
      </c>
      <c r="ES2" s="191">
        <f>'Functional Levels Drone Survey'!ES2-'Existing Levels Drone Survey'!ES2</f>
        <v>0</v>
      </c>
      <c r="ET2" s="191">
        <f>'Functional Levels Drone Survey'!ET2-'Existing Levels Drone Survey'!ET2</f>
        <v>0</v>
      </c>
      <c r="EU2" s="191">
        <f>'Functional Levels Drone Survey'!EU2-'Existing Levels Drone Survey'!EU2</f>
        <v>0</v>
      </c>
      <c r="EV2" s="191">
        <f>'Functional Levels Drone Survey'!EV2-'Existing Levels Drone Survey'!EV2</f>
        <v>0</v>
      </c>
      <c r="EW2" s="191">
        <f>'Functional Levels Drone Survey'!EW2-'Existing Levels Drone Survey'!EW2</f>
        <v>0</v>
      </c>
      <c r="EX2" s="191">
        <f>'Functional Levels Drone Survey'!EX2-'Existing Levels Drone Survey'!EX2</f>
        <v>0</v>
      </c>
      <c r="EY2" s="191">
        <f>'Functional Levels Drone Survey'!EY2-'Existing Levels Drone Survey'!EY2</f>
        <v>0</v>
      </c>
    </row>
    <row r="3" spans="1:155" ht="45" customHeight="1" x14ac:dyDescent="0.45">
      <c r="A3" s="277">
        <v>10</v>
      </c>
      <c r="B3" s="191">
        <f>'Functional Levels Drone Survey'!B3-'Existing Levels Drone Survey'!B3</f>
        <v>0</v>
      </c>
      <c r="C3" s="191">
        <f>'Functional Levels Drone Survey'!C3-'Existing Levels Drone Survey'!C3</f>
        <v>0</v>
      </c>
      <c r="D3" s="191">
        <f>'Functional Levels Drone Survey'!D3-'Existing Levels Drone Survey'!D3</f>
        <v>0</v>
      </c>
      <c r="E3" s="191">
        <f>'Functional Levels Drone Survey'!E3-'Existing Levels Drone Survey'!E3</f>
        <v>0</v>
      </c>
      <c r="F3" s="191">
        <f>'Functional Levels Drone Survey'!F3-'Existing Levels Drone Survey'!F3</f>
        <v>0</v>
      </c>
      <c r="G3" s="191">
        <f>'Functional Levels Drone Survey'!G3-'Existing Levels Drone Survey'!G3</f>
        <v>0</v>
      </c>
      <c r="H3" s="191">
        <f>'Functional Levels Drone Survey'!H3-'Existing Levels Drone Survey'!H3</f>
        <v>0</v>
      </c>
      <c r="I3" s="191">
        <f>'Functional Levels Drone Survey'!I3-'Existing Levels Drone Survey'!I3</f>
        <v>0</v>
      </c>
      <c r="J3" s="191">
        <f>'Functional Levels Drone Survey'!J3-'Existing Levels Drone Survey'!J3</f>
        <v>0</v>
      </c>
      <c r="K3" s="191">
        <f>'Functional Levels Drone Survey'!K3-'Existing Levels Drone Survey'!K3</f>
        <v>0</v>
      </c>
      <c r="L3" s="191">
        <f>'Functional Levels Drone Survey'!L3-'Existing Levels Drone Survey'!L3</f>
        <v>0</v>
      </c>
      <c r="M3" s="191">
        <f>'Functional Levels Drone Survey'!M3-'Existing Levels Drone Survey'!M3</f>
        <v>0</v>
      </c>
      <c r="N3" s="191">
        <f>'Functional Levels Drone Survey'!N3-'Existing Levels Drone Survey'!N3</f>
        <v>0</v>
      </c>
      <c r="O3" s="191">
        <f>'Functional Levels Drone Survey'!O3-'Existing Levels Drone Survey'!O3</f>
        <v>0</v>
      </c>
      <c r="P3" s="191">
        <f>'Functional Levels Drone Survey'!P3-'Existing Levels Drone Survey'!P3</f>
        <v>0</v>
      </c>
      <c r="Q3" s="191">
        <f>'Functional Levels Drone Survey'!Q3-'Existing Levels Drone Survey'!Q3</f>
        <v>0</v>
      </c>
      <c r="R3" s="191">
        <f>'Functional Levels Drone Survey'!R3-'Existing Levels Drone Survey'!R3</f>
        <v>0</v>
      </c>
      <c r="S3" s="191">
        <f>'Functional Levels Drone Survey'!S3-'Existing Levels Drone Survey'!S3</f>
        <v>0</v>
      </c>
      <c r="T3" s="191">
        <f>'Functional Levels Drone Survey'!T3-'Existing Levels Drone Survey'!T3</f>
        <v>0</v>
      </c>
      <c r="U3" s="191">
        <f>'Functional Levels Drone Survey'!U3-'Existing Levels Drone Survey'!U3</f>
        <v>0</v>
      </c>
      <c r="V3" s="191">
        <f>'Functional Levels Drone Survey'!V3-'Existing Levels Drone Survey'!V3</f>
        <v>0</v>
      </c>
      <c r="W3" s="191">
        <f>'Functional Levels Drone Survey'!W3-'Existing Levels Drone Survey'!W3</f>
        <v>0</v>
      </c>
      <c r="X3" s="191">
        <f>'Functional Levels Drone Survey'!X3-'Existing Levels Drone Survey'!X3</f>
        <v>0</v>
      </c>
      <c r="Y3" s="191">
        <f>'Functional Levels Drone Survey'!Y3-'Existing Levels Drone Survey'!Y3</f>
        <v>0</v>
      </c>
      <c r="Z3" s="191">
        <f>'Functional Levels Drone Survey'!Z3-'Existing Levels Drone Survey'!Z3</f>
        <v>0</v>
      </c>
      <c r="AA3" s="191">
        <f>'Functional Levels Drone Survey'!AA3-'Existing Levels Drone Survey'!AA3</f>
        <v>0</v>
      </c>
      <c r="AB3" s="191">
        <f>'Functional Levels Drone Survey'!AB3-'Existing Levels Drone Survey'!AB3</f>
        <v>0</v>
      </c>
      <c r="AC3" s="191">
        <f>'Functional Levels Drone Survey'!AC3-'Existing Levels Drone Survey'!AC3</f>
        <v>0</v>
      </c>
      <c r="AD3" s="191">
        <f>'Functional Levels Drone Survey'!AD3-'Existing Levels Drone Survey'!AD3</f>
        <v>0</v>
      </c>
      <c r="AE3" s="191">
        <f>'Functional Levels Drone Survey'!AE3-'Existing Levels Drone Survey'!AE3</f>
        <v>0</v>
      </c>
      <c r="AF3" s="191">
        <f>'Functional Levels Drone Survey'!AF3-'Existing Levels Drone Survey'!AF3</f>
        <v>0</v>
      </c>
      <c r="AG3" s="191">
        <f>'Functional Levels Drone Survey'!AG3-'Existing Levels Drone Survey'!AG3</f>
        <v>0</v>
      </c>
      <c r="AH3" s="191">
        <f>'Functional Levels Drone Survey'!AH3-'Existing Levels Drone Survey'!AH3</f>
        <v>0</v>
      </c>
      <c r="AI3" s="191">
        <f>'Functional Levels Drone Survey'!AI3-'Existing Levels Drone Survey'!AI3</f>
        <v>0</v>
      </c>
      <c r="AJ3" s="191">
        <f>'Functional Levels Drone Survey'!AJ3-'Existing Levels Drone Survey'!AJ3</f>
        <v>0</v>
      </c>
      <c r="AK3" s="191">
        <f>'Functional Levels Drone Survey'!AK3-'Existing Levels Drone Survey'!AK3</f>
        <v>0</v>
      </c>
      <c r="AL3" s="191">
        <f>'Functional Levels Drone Survey'!AL3-'Existing Levels Drone Survey'!AL3</f>
        <v>0</v>
      </c>
      <c r="AM3" s="191">
        <f>'Functional Levels Drone Survey'!AM3-'Existing Levels Drone Survey'!AM3</f>
        <v>0</v>
      </c>
      <c r="AN3" s="191">
        <f>'Functional Levels Drone Survey'!AN3-'Existing Levels Drone Survey'!AN3</f>
        <v>0</v>
      </c>
      <c r="AO3" s="191">
        <f>'Functional Levels Drone Survey'!AO3-'Existing Levels Drone Survey'!AO3</f>
        <v>0</v>
      </c>
      <c r="AP3" s="191">
        <f>'Functional Levels Drone Survey'!AP3-'Existing Levels Drone Survey'!AP3</f>
        <v>0</v>
      </c>
      <c r="AQ3" s="191">
        <f>'Functional Levels Drone Survey'!AQ3-'Existing Levels Drone Survey'!AQ3</f>
        <v>0</v>
      </c>
      <c r="AR3" s="191">
        <f>'Functional Levels Drone Survey'!AR3-'Existing Levels Drone Survey'!AR3</f>
        <v>0</v>
      </c>
      <c r="AS3" s="191">
        <f>'Functional Levels Drone Survey'!AS3-'Existing Levels Drone Survey'!AS3</f>
        <v>0</v>
      </c>
      <c r="AT3" s="191">
        <f>'Functional Levels Drone Survey'!AT3-'Existing Levels Drone Survey'!AT3</f>
        <v>0</v>
      </c>
      <c r="AU3" s="191">
        <f>'Functional Levels Drone Survey'!AU3-'Existing Levels Drone Survey'!AU3</f>
        <v>0</v>
      </c>
      <c r="AV3" s="191">
        <f>'Functional Levels Drone Survey'!AV3-'Existing Levels Drone Survey'!AV3</f>
        <v>0</v>
      </c>
      <c r="AW3" s="191">
        <f>'Functional Levels Drone Survey'!AW3-'Existing Levels Drone Survey'!AW3</f>
        <v>0</v>
      </c>
      <c r="AX3" s="191">
        <f>'Functional Levels Drone Survey'!AX3-'Existing Levels Drone Survey'!AX3</f>
        <v>0</v>
      </c>
      <c r="AY3" s="191">
        <f>'Functional Levels Drone Survey'!AY3-'Existing Levels Drone Survey'!AY3</f>
        <v>0</v>
      </c>
      <c r="AZ3" s="191">
        <f>'Functional Levels Drone Survey'!AZ3-'Existing Levels Drone Survey'!AZ3</f>
        <v>0</v>
      </c>
      <c r="BA3" s="191">
        <f>'Functional Levels Drone Survey'!BA3-'Existing Levels Drone Survey'!BA3</f>
        <v>0</v>
      </c>
      <c r="BB3" s="191">
        <f>'Functional Levels Drone Survey'!BB3-'Existing Levels Drone Survey'!BB3</f>
        <v>0</v>
      </c>
      <c r="BC3" s="191">
        <f>'Functional Levels Drone Survey'!BC3-'Existing Levels Drone Survey'!BC3</f>
        <v>0</v>
      </c>
      <c r="BD3" s="191">
        <f>'Functional Levels Drone Survey'!BD3-'Existing Levels Drone Survey'!BD3</f>
        <v>0</v>
      </c>
      <c r="BE3" s="191">
        <f>'Functional Levels Drone Survey'!BE3-'Existing Levels Drone Survey'!BE3</f>
        <v>0</v>
      </c>
      <c r="BF3" s="191">
        <f>'Functional Levels Drone Survey'!BF3-'Existing Levels Drone Survey'!BF3</f>
        <v>0</v>
      </c>
      <c r="BG3" s="191">
        <f>'Functional Levels Drone Survey'!BG3-'Existing Levels Drone Survey'!BG3</f>
        <v>0</v>
      </c>
      <c r="BH3" s="191">
        <f>'Functional Levels Drone Survey'!BH3-'Existing Levels Drone Survey'!BH3</f>
        <v>0</v>
      </c>
      <c r="BI3" s="191">
        <f>'Functional Levels Drone Survey'!BI3-'Existing Levels Drone Survey'!BI3</f>
        <v>0</v>
      </c>
      <c r="BJ3" s="191">
        <f>'Functional Levels Drone Survey'!BJ3-'Existing Levels Drone Survey'!BJ3</f>
        <v>0</v>
      </c>
      <c r="BK3" s="191">
        <f>'Functional Levels Drone Survey'!BK3-'Existing Levels Drone Survey'!BK3</f>
        <v>0</v>
      </c>
      <c r="BL3" s="191">
        <f>'Functional Levels Drone Survey'!BL3-'Existing Levels Drone Survey'!BL3</f>
        <v>0</v>
      </c>
      <c r="BM3" s="191">
        <f>'Functional Levels Drone Survey'!BM3-'Existing Levels Drone Survey'!BM3</f>
        <v>0</v>
      </c>
      <c r="BN3" s="191">
        <f>'Functional Levels Drone Survey'!BN3-'Existing Levels Drone Survey'!BN3</f>
        <v>0</v>
      </c>
      <c r="BO3" s="191">
        <f>'Functional Levels Drone Survey'!BO3-'Existing Levels Drone Survey'!BO3</f>
        <v>0</v>
      </c>
      <c r="BP3" s="191">
        <f>'Functional Levels Drone Survey'!BP3-'Existing Levels Drone Survey'!BP3</f>
        <v>0</v>
      </c>
      <c r="BQ3" s="191">
        <f>'Functional Levels Drone Survey'!BQ3-'Existing Levels Drone Survey'!BQ3</f>
        <v>0</v>
      </c>
      <c r="BR3" s="191">
        <f>'Functional Levels Drone Survey'!BR3-'Existing Levels Drone Survey'!BR3</f>
        <v>0</v>
      </c>
      <c r="BS3" s="191">
        <f>'Functional Levels Drone Survey'!BS3-'Existing Levels Drone Survey'!BS3</f>
        <v>0</v>
      </c>
      <c r="BT3" s="191">
        <f>'Functional Levels Drone Survey'!BT3-'Existing Levels Drone Survey'!BT3</f>
        <v>0</v>
      </c>
      <c r="BU3" s="191">
        <f>'Functional Levels Drone Survey'!BU3-'Existing Levels Drone Survey'!BU3</f>
        <v>0</v>
      </c>
      <c r="BV3" s="191">
        <f>'Functional Levels Drone Survey'!BV3-'Existing Levels Drone Survey'!BV3</f>
        <v>0</v>
      </c>
      <c r="BW3" s="191">
        <f>'Functional Levels Drone Survey'!BW3-'Existing Levels Drone Survey'!BW3</f>
        <v>0</v>
      </c>
      <c r="BX3" s="191">
        <f>'Functional Levels Drone Survey'!BX3-'Existing Levels Drone Survey'!BX3</f>
        <v>0</v>
      </c>
      <c r="BY3" s="191">
        <f>'Functional Levels Drone Survey'!BY3-'Existing Levels Drone Survey'!BY3</f>
        <v>0</v>
      </c>
      <c r="BZ3" s="191">
        <f>'Functional Levels Drone Survey'!BZ3-'Existing Levels Drone Survey'!BZ3</f>
        <v>0</v>
      </c>
      <c r="CA3" s="191">
        <f>'Functional Levels Drone Survey'!CA3-'Existing Levels Drone Survey'!CA3</f>
        <v>0</v>
      </c>
      <c r="CB3" s="191">
        <f>'Functional Levels Drone Survey'!CB3-'Existing Levels Drone Survey'!CB3</f>
        <v>0</v>
      </c>
      <c r="CC3" s="191">
        <f>'Functional Levels Drone Survey'!CC3-'Existing Levels Drone Survey'!CC3</f>
        <v>0</v>
      </c>
      <c r="CD3" s="191">
        <f>'Functional Levels Drone Survey'!CD3-'Existing Levels Drone Survey'!CD3</f>
        <v>0</v>
      </c>
      <c r="CE3" s="191">
        <f>'Functional Levels Drone Survey'!CE3-'Existing Levels Drone Survey'!CE3</f>
        <v>0</v>
      </c>
      <c r="CF3" s="191">
        <f>'Functional Levels Drone Survey'!CF3-'Existing Levels Drone Survey'!CF3</f>
        <v>0</v>
      </c>
      <c r="CG3" s="191">
        <f>'Functional Levels Drone Survey'!CG3-'Existing Levels Drone Survey'!CG3</f>
        <v>0</v>
      </c>
      <c r="CH3" s="191">
        <f>'Functional Levels Drone Survey'!CH3-'Existing Levels Drone Survey'!CH3</f>
        <v>0</v>
      </c>
      <c r="CI3" s="191">
        <f>'Functional Levels Drone Survey'!CI3-'Existing Levels Drone Survey'!CI3</f>
        <v>0</v>
      </c>
      <c r="CJ3" s="191">
        <f>'Functional Levels Drone Survey'!CJ3-'Existing Levels Drone Survey'!CJ3</f>
        <v>0</v>
      </c>
      <c r="CK3" s="191">
        <f>'Functional Levels Drone Survey'!CK3-'Existing Levels Drone Survey'!CK3</f>
        <v>0</v>
      </c>
      <c r="CL3" s="191">
        <f>'Functional Levels Drone Survey'!CL3-'Existing Levels Drone Survey'!CL3</f>
        <v>0</v>
      </c>
      <c r="CM3" s="191">
        <f>'Functional Levels Drone Survey'!CM3-'Existing Levels Drone Survey'!CM3</f>
        <v>0</v>
      </c>
      <c r="CN3" s="191">
        <f>'Functional Levels Drone Survey'!CN3-'Existing Levels Drone Survey'!CN3</f>
        <v>0</v>
      </c>
      <c r="CO3" s="191">
        <f>'Functional Levels Drone Survey'!CO3-'Existing Levels Drone Survey'!CO3</f>
        <v>0</v>
      </c>
      <c r="CP3" s="191">
        <f>'Functional Levels Drone Survey'!CP3-'Existing Levels Drone Survey'!CP3</f>
        <v>0</v>
      </c>
      <c r="CQ3" s="191">
        <f>'Functional Levels Drone Survey'!CQ3-'Existing Levels Drone Survey'!CQ3</f>
        <v>0</v>
      </c>
      <c r="CR3" s="191">
        <f>'Functional Levels Drone Survey'!CR3-'Existing Levels Drone Survey'!CR3</f>
        <v>0</v>
      </c>
      <c r="CS3" s="191">
        <f>'Functional Levels Drone Survey'!CS3-'Existing Levels Drone Survey'!CS3</f>
        <v>0</v>
      </c>
      <c r="CT3" s="191">
        <f>'Functional Levels Drone Survey'!CT3-'Existing Levels Drone Survey'!CT3</f>
        <v>0</v>
      </c>
      <c r="CU3" s="191">
        <f>'Functional Levels Drone Survey'!CU3-'Existing Levels Drone Survey'!CU3</f>
        <v>0</v>
      </c>
      <c r="CV3" s="191">
        <f>'Functional Levels Drone Survey'!CV3-'Existing Levels Drone Survey'!CV3</f>
        <v>0</v>
      </c>
      <c r="CW3" s="191">
        <f>'Functional Levels Drone Survey'!CW3-'Existing Levels Drone Survey'!CW3</f>
        <v>0</v>
      </c>
      <c r="CX3" s="191">
        <f>'Functional Levels Drone Survey'!CX3-'Existing Levels Drone Survey'!CX3</f>
        <v>0</v>
      </c>
      <c r="CY3" s="191">
        <f>'Functional Levels Drone Survey'!CY3-'Existing Levels Drone Survey'!CY3</f>
        <v>0</v>
      </c>
      <c r="CZ3" s="191">
        <f>'Functional Levels Drone Survey'!CZ3-'Existing Levels Drone Survey'!CZ3</f>
        <v>0</v>
      </c>
      <c r="DA3" s="191">
        <f>'Functional Levels Drone Survey'!DA3-'Existing Levels Drone Survey'!DA3</f>
        <v>0</v>
      </c>
      <c r="DB3" s="191">
        <f>'Functional Levels Drone Survey'!DB3-'Existing Levels Drone Survey'!DB3</f>
        <v>0</v>
      </c>
      <c r="DC3" s="191">
        <f>'Functional Levels Drone Survey'!DC3-'Existing Levels Drone Survey'!DC3</f>
        <v>0</v>
      </c>
      <c r="DD3" s="191">
        <f>'Functional Levels Drone Survey'!DD3-'Existing Levels Drone Survey'!DD3</f>
        <v>0</v>
      </c>
      <c r="DE3" s="191">
        <f>'Functional Levels Drone Survey'!DE3-'Existing Levels Drone Survey'!DE3</f>
        <v>0</v>
      </c>
      <c r="DF3" s="191">
        <f>'Functional Levels Drone Survey'!DF3-'Existing Levels Drone Survey'!DF3</f>
        <v>0</v>
      </c>
      <c r="DG3" s="191">
        <f>'Functional Levels Drone Survey'!DG3-'Existing Levels Drone Survey'!DG3</f>
        <v>0</v>
      </c>
      <c r="DH3" s="191">
        <f>'Functional Levels Drone Survey'!DH3-'Existing Levels Drone Survey'!DH3</f>
        <v>0</v>
      </c>
      <c r="DI3" s="191">
        <f>'Functional Levels Drone Survey'!DI3-'Existing Levels Drone Survey'!DI3</f>
        <v>0</v>
      </c>
      <c r="DJ3" s="191">
        <f>'Functional Levels Drone Survey'!DJ3-'Existing Levels Drone Survey'!DJ3</f>
        <v>0</v>
      </c>
      <c r="DK3" s="191">
        <f>'Functional Levels Drone Survey'!DK3-'Existing Levels Drone Survey'!DK3</f>
        <v>0</v>
      </c>
      <c r="DL3" s="191">
        <f>'Functional Levels Drone Survey'!DL3-'Existing Levels Drone Survey'!DL3</f>
        <v>0</v>
      </c>
      <c r="DM3" s="191">
        <f>'Functional Levels Drone Survey'!DM3-'Existing Levels Drone Survey'!DM3</f>
        <v>0</v>
      </c>
      <c r="DN3" s="191">
        <f>'Functional Levels Drone Survey'!DN3-'Existing Levels Drone Survey'!DN3</f>
        <v>0</v>
      </c>
      <c r="DO3" s="191">
        <f>'Functional Levels Drone Survey'!DO3-'Existing Levels Drone Survey'!DO3</f>
        <v>0</v>
      </c>
      <c r="DP3" s="191">
        <f>'Functional Levels Drone Survey'!DP3-'Existing Levels Drone Survey'!DP3</f>
        <v>0</v>
      </c>
      <c r="DQ3" s="191">
        <f>'Functional Levels Drone Survey'!DQ3-'Existing Levels Drone Survey'!DQ3</f>
        <v>0</v>
      </c>
      <c r="DR3" s="191">
        <f>'Functional Levels Drone Survey'!DR3-'Existing Levels Drone Survey'!DR3</f>
        <v>0</v>
      </c>
      <c r="DS3" s="191">
        <f>'Functional Levels Drone Survey'!DS3-'Existing Levels Drone Survey'!DS3</f>
        <v>0</v>
      </c>
      <c r="DT3" s="191">
        <f>'Functional Levels Drone Survey'!DT3-'Existing Levels Drone Survey'!DT3</f>
        <v>0</v>
      </c>
      <c r="DU3" s="191">
        <f>'Functional Levels Drone Survey'!DU3-'Existing Levels Drone Survey'!DU3</f>
        <v>0</v>
      </c>
      <c r="DV3" s="191">
        <f>'Functional Levels Drone Survey'!DV3-'Existing Levels Drone Survey'!DV3</f>
        <v>0</v>
      </c>
      <c r="DW3" s="191">
        <f>'Functional Levels Drone Survey'!DW3-'Existing Levels Drone Survey'!DW3</f>
        <v>0</v>
      </c>
      <c r="DX3" s="191">
        <f>'Functional Levels Drone Survey'!DX3-'Existing Levels Drone Survey'!DX3</f>
        <v>0</v>
      </c>
      <c r="DY3" s="191">
        <f>'Functional Levels Drone Survey'!DY3-'Existing Levels Drone Survey'!DY3</f>
        <v>0</v>
      </c>
      <c r="DZ3" s="191">
        <f>'Functional Levels Drone Survey'!DZ3-'Existing Levels Drone Survey'!DZ3</f>
        <v>0</v>
      </c>
      <c r="EA3" s="191">
        <f>'Functional Levels Drone Survey'!EA3-'Existing Levels Drone Survey'!EA3</f>
        <v>0</v>
      </c>
      <c r="EB3" s="191">
        <f>'Functional Levels Drone Survey'!EB3-'Existing Levels Drone Survey'!EB3</f>
        <v>0</v>
      </c>
      <c r="EC3" s="191">
        <f>'Functional Levels Drone Survey'!EC3-'Existing Levels Drone Survey'!EC3</f>
        <v>0</v>
      </c>
      <c r="ED3" s="191">
        <f>'Functional Levels Drone Survey'!ED3-'Existing Levels Drone Survey'!ED3</f>
        <v>0</v>
      </c>
      <c r="EE3" s="191">
        <f>'Functional Levels Drone Survey'!EE3-'Existing Levels Drone Survey'!EE3</f>
        <v>0</v>
      </c>
      <c r="EF3" s="191">
        <f>'Functional Levels Drone Survey'!EF3-'Existing Levels Drone Survey'!EF3</f>
        <v>0</v>
      </c>
      <c r="EG3" s="191">
        <f>'Functional Levels Drone Survey'!EG3-'Existing Levels Drone Survey'!EG3</f>
        <v>0</v>
      </c>
      <c r="EH3" s="191">
        <f>'Functional Levels Drone Survey'!EH3-'Existing Levels Drone Survey'!EH3</f>
        <v>0</v>
      </c>
      <c r="EI3" s="191">
        <f>'Functional Levels Drone Survey'!EI3-'Existing Levels Drone Survey'!EI3</f>
        <v>0</v>
      </c>
      <c r="EJ3" s="191">
        <f>'Functional Levels Drone Survey'!EJ3-'Existing Levels Drone Survey'!EJ3</f>
        <v>0</v>
      </c>
      <c r="EK3" s="191">
        <f>'Functional Levels Drone Survey'!EK3-'Existing Levels Drone Survey'!EK3</f>
        <v>0</v>
      </c>
      <c r="EL3" s="191">
        <f>'Functional Levels Drone Survey'!EL3-'Existing Levels Drone Survey'!EL3</f>
        <v>0</v>
      </c>
      <c r="EM3" s="191">
        <f>'Functional Levels Drone Survey'!EM3-'Existing Levels Drone Survey'!EM3</f>
        <v>0</v>
      </c>
      <c r="EN3" s="191">
        <f>'Functional Levels Drone Survey'!EN3-'Existing Levels Drone Survey'!EN3</f>
        <v>0</v>
      </c>
      <c r="EO3" s="191">
        <f>'Functional Levels Drone Survey'!EO3-'Existing Levels Drone Survey'!EO3</f>
        <v>0</v>
      </c>
      <c r="EP3" s="191">
        <f>'Functional Levels Drone Survey'!EP3-'Existing Levels Drone Survey'!EP3</f>
        <v>0</v>
      </c>
      <c r="EQ3" s="191">
        <f>'Functional Levels Drone Survey'!EQ3-'Existing Levels Drone Survey'!EQ3</f>
        <v>0</v>
      </c>
      <c r="ER3" s="191">
        <f>'Functional Levels Drone Survey'!ER3-'Existing Levels Drone Survey'!ER3</f>
        <v>0</v>
      </c>
      <c r="ES3" s="191">
        <f>'Functional Levels Drone Survey'!ES3-'Existing Levels Drone Survey'!ES3</f>
        <v>0</v>
      </c>
      <c r="ET3" s="191">
        <f>'Functional Levels Drone Survey'!ET3-'Existing Levels Drone Survey'!ET3</f>
        <v>0</v>
      </c>
      <c r="EU3" s="191">
        <f>'Functional Levels Drone Survey'!EU3-'Existing Levels Drone Survey'!EU3</f>
        <v>0</v>
      </c>
      <c r="EV3" s="191">
        <f>'Functional Levels Drone Survey'!EV3-'Existing Levels Drone Survey'!EV3</f>
        <v>0</v>
      </c>
      <c r="EW3" s="191">
        <f>'Functional Levels Drone Survey'!EW3-'Existing Levels Drone Survey'!EW3</f>
        <v>0</v>
      </c>
      <c r="EX3" s="191">
        <f>'Functional Levels Drone Survey'!EX3-'Existing Levels Drone Survey'!EX3</f>
        <v>0</v>
      </c>
      <c r="EY3" s="191">
        <f>'Functional Levels Drone Survey'!EY3-'Existing Levels Drone Survey'!EY3</f>
        <v>0</v>
      </c>
    </row>
    <row r="4" spans="1:155" ht="45" customHeight="1" x14ac:dyDescent="0.45">
      <c r="A4" s="277">
        <v>15</v>
      </c>
      <c r="B4" s="191">
        <f>'Functional Levels Drone Survey'!B4-'Existing Levels Drone Survey'!B4</f>
        <v>0</v>
      </c>
      <c r="C4" s="191">
        <f>'Functional Levels Drone Survey'!C4-'Existing Levels Drone Survey'!C4</f>
        <v>0</v>
      </c>
      <c r="D4" s="191">
        <f>'Functional Levels Drone Survey'!D4-'Existing Levels Drone Survey'!D4</f>
        <v>0</v>
      </c>
      <c r="E4" s="191">
        <f>'Functional Levels Drone Survey'!E4-'Existing Levels Drone Survey'!E4</f>
        <v>0</v>
      </c>
      <c r="F4" s="191">
        <f>'Functional Levels Drone Survey'!F4-'Existing Levels Drone Survey'!F4</f>
        <v>0</v>
      </c>
      <c r="G4" s="191">
        <f>'Functional Levels Drone Survey'!G4-'Existing Levels Drone Survey'!G4</f>
        <v>0</v>
      </c>
      <c r="H4" s="191">
        <f>'Functional Levels Drone Survey'!H4-'Existing Levels Drone Survey'!H4</f>
        <v>0</v>
      </c>
      <c r="I4" s="191">
        <f>'Functional Levels Drone Survey'!I4-'Existing Levels Drone Survey'!I4</f>
        <v>0</v>
      </c>
      <c r="J4" s="191">
        <f>'Functional Levels Drone Survey'!J4-'Existing Levels Drone Survey'!J4</f>
        <v>0</v>
      </c>
      <c r="K4" s="191">
        <f>'Functional Levels Drone Survey'!K4-'Existing Levels Drone Survey'!K4</f>
        <v>0</v>
      </c>
      <c r="L4" s="191">
        <f>'Functional Levels Drone Survey'!L4-'Existing Levels Drone Survey'!L4</f>
        <v>0</v>
      </c>
      <c r="M4" s="191">
        <f>'Functional Levels Drone Survey'!M4-'Existing Levels Drone Survey'!M4</f>
        <v>0</v>
      </c>
      <c r="N4" s="191">
        <f>'Functional Levels Drone Survey'!N4-'Existing Levels Drone Survey'!N4</f>
        <v>0</v>
      </c>
      <c r="O4" s="191">
        <f>'Functional Levels Drone Survey'!O4-'Existing Levels Drone Survey'!O4</f>
        <v>0</v>
      </c>
      <c r="P4" s="191">
        <f>'Functional Levels Drone Survey'!P4-'Existing Levels Drone Survey'!P4</f>
        <v>0</v>
      </c>
      <c r="Q4" s="191">
        <f>'Functional Levels Drone Survey'!Q4-'Existing Levels Drone Survey'!Q4</f>
        <v>0</v>
      </c>
      <c r="R4" s="191">
        <f>'Functional Levels Drone Survey'!R4-'Existing Levels Drone Survey'!R4</f>
        <v>0</v>
      </c>
      <c r="S4" s="191">
        <f>'Functional Levels Drone Survey'!S4-'Existing Levels Drone Survey'!S4</f>
        <v>0</v>
      </c>
      <c r="T4" s="191">
        <f>'Functional Levels Drone Survey'!T4-'Existing Levels Drone Survey'!T4</f>
        <v>0</v>
      </c>
      <c r="U4" s="191">
        <f>'Functional Levels Drone Survey'!U4-'Existing Levels Drone Survey'!U4</f>
        <v>0</v>
      </c>
      <c r="V4" s="191">
        <f>'Functional Levels Drone Survey'!V4-'Existing Levels Drone Survey'!V4</f>
        <v>0</v>
      </c>
      <c r="W4" s="191">
        <f>'Functional Levels Drone Survey'!W4-'Existing Levels Drone Survey'!W4</f>
        <v>0</v>
      </c>
      <c r="X4" s="191">
        <f>'Functional Levels Drone Survey'!X4-'Existing Levels Drone Survey'!X4</f>
        <v>0</v>
      </c>
      <c r="Y4" s="191">
        <f>'Functional Levels Drone Survey'!Y4-'Existing Levels Drone Survey'!Y4</f>
        <v>0</v>
      </c>
      <c r="Z4" s="191">
        <f>'Functional Levels Drone Survey'!Z4-'Existing Levels Drone Survey'!Z4</f>
        <v>0</v>
      </c>
      <c r="AA4" s="191">
        <f>'Functional Levels Drone Survey'!AA4-'Existing Levels Drone Survey'!AA4</f>
        <v>0</v>
      </c>
      <c r="AB4" s="191">
        <f>'Functional Levels Drone Survey'!AB4-'Existing Levels Drone Survey'!AB4</f>
        <v>0</v>
      </c>
      <c r="AC4" s="191">
        <f>'Functional Levels Drone Survey'!AC4-'Existing Levels Drone Survey'!AC4</f>
        <v>0</v>
      </c>
      <c r="AD4" s="191">
        <f>'Functional Levels Drone Survey'!AD4-'Existing Levels Drone Survey'!AD4</f>
        <v>0</v>
      </c>
      <c r="AE4" s="191">
        <f>'Functional Levels Drone Survey'!AE4-'Existing Levels Drone Survey'!AE4</f>
        <v>0</v>
      </c>
      <c r="AF4" s="191">
        <f>'Functional Levels Drone Survey'!AF4-'Existing Levels Drone Survey'!AF4</f>
        <v>0</v>
      </c>
      <c r="AG4" s="191">
        <f>'Functional Levels Drone Survey'!AG4-'Existing Levels Drone Survey'!AG4</f>
        <v>0</v>
      </c>
      <c r="AH4" s="191">
        <f>'Functional Levels Drone Survey'!AH4-'Existing Levels Drone Survey'!AH4</f>
        <v>0</v>
      </c>
      <c r="AI4" s="191">
        <f>'Functional Levels Drone Survey'!AI4-'Existing Levels Drone Survey'!AI4</f>
        <v>0</v>
      </c>
      <c r="AJ4" s="191">
        <f>'Functional Levels Drone Survey'!AJ4-'Existing Levels Drone Survey'!AJ4</f>
        <v>0</v>
      </c>
      <c r="AK4" s="191">
        <f>'Functional Levels Drone Survey'!AK4-'Existing Levels Drone Survey'!AK4</f>
        <v>0</v>
      </c>
      <c r="AL4" s="191">
        <f>'Functional Levels Drone Survey'!AL4-'Existing Levels Drone Survey'!AL4</f>
        <v>0</v>
      </c>
      <c r="AM4" s="191">
        <f>'Functional Levels Drone Survey'!AM4-'Existing Levels Drone Survey'!AM4</f>
        <v>0</v>
      </c>
      <c r="AN4" s="191">
        <f>'Functional Levels Drone Survey'!AN4-'Existing Levels Drone Survey'!AN4</f>
        <v>0</v>
      </c>
      <c r="AO4" s="191">
        <f>'Functional Levels Drone Survey'!AO4-'Existing Levels Drone Survey'!AO4</f>
        <v>0</v>
      </c>
      <c r="AP4" s="191">
        <f>'Functional Levels Drone Survey'!AP4-'Existing Levels Drone Survey'!AP4</f>
        <v>0</v>
      </c>
      <c r="AQ4" s="191">
        <f>'Functional Levels Drone Survey'!AQ4-'Existing Levels Drone Survey'!AQ4</f>
        <v>0</v>
      </c>
      <c r="AR4" s="191">
        <f>'Functional Levels Drone Survey'!AR4-'Existing Levels Drone Survey'!AR4</f>
        <v>0</v>
      </c>
      <c r="AS4" s="191">
        <f>'Functional Levels Drone Survey'!AS4-'Existing Levels Drone Survey'!AS4</f>
        <v>0</v>
      </c>
      <c r="AT4" s="191">
        <f>'Functional Levels Drone Survey'!AT4-'Existing Levels Drone Survey'!AT4</f>
        <v>0</v>
      </c>
      <c r="AU4" s="191">
        <f>'Functional Levels Drone Survey'!AU4-'Existing Levels Drone Survey'!AU4</f>
        <v>0</v>
      </c>
      <c r="AV4" s="191">
        <f>'Functional Levels Drone Survey'!AV4-'Existing Levels Drone Survey'!AV4</f>
        <v>0</v>
      </c>
      <c r="AW4" s="191">
        <f>'Functional Levels Drone Survey'!AW4-'Existing Levels Drone Survey'!AW4</f>
        <v>0</v>
      </c>
      <c r="AX4" s="191">
        <f>'Functional Levels Drone Survey'!AX4-'Existing Levels Drone Survey'!AX4</f>
        <v>0</v>
      </c>
      <c r="AY4" s="191">
        <f>'Functional Levels Drone Survey'!AY4-'Existing Levels Drone Survey'!AY4</f>
        <v>0</v>
      </c>
      <c r="AZ4" s="191">
        <f>'Functional Levels Drone Survey'!AZ4-'Existing Levels Drone Survey'!AZ4</f>
        <v>0</v>
      </c>
      <c r="BA4" s="191">
        <f>'Functional Levels Drone Survey'!BA4-'Existing Levels Drone Survey'!BA4</f>
        <v>0</v>
      </c>
      <c r="BB4" s="191">
        <f>'Functional Levels Drone Survey'!BB4-'Existing Levels Drone Survey'!BB4</f>
        <v>0</v>
      </c>
      <c r="BC4" s="191">
        <f>'Functional Levels Drone Survey'!BC4-'Existing Levels Drone Survey'!BC4</f>
        <v>0</v>
      </c>
      <c r="BD4" s="191">
        <f>'Functional Levels Drone Survey'!BD4-'Existing Levels Drone Survey'!BD4</f>
        <v>0</v>
      </c>
      <c r="BE4" s="191">
        <f>'Functional Levels Drone Survey'!BE4-'Existing Levels Drone Survey'!BE4</f>
        <v>0</v>
      </c>
      <c r="BF4" s="191">
        <f>'Functional Levels Drone Survey'!BF4-'Existing Levels Drone Survey'!BF4</f>
        <v>0</v>
      </c>
      <c r="BG4" s="191">
        <f>'Functional Levels Drone Survey'!BG4-'Existing Levels Drone Survey'!BG4</f>
        <v>0</v>
      </c>
      <c r="BH4" s="191">
        <f>'Functional Levels Drone Survey'!BH4-'Existing Levels Drone Survey'!BH4</f>
        <v>0</v>
      </c>
      <c r="BI4" s="191">
        <f>'Functional Levels Drone Survey'!BI4-'Existing Levels Drone Survey'!BI4</f>
        <v>0</v>
      </c>
      <c r="BJ4" s="191">
        <f>'Functional Levels Drone Survey'!BJ4-'Existing Levels Drone Survey'!BJ4</f>
        <v>0</v>
      </c>
      <c r="BK4" s="191">
        <f>'Functional Levels Drone Survey'!BK4-'Existing Levels Drone Survey'!BK4</f>
        <v>0</v>
      </c>
      <c r="BL4" s="191">
        <f>'Functional Levels Drone Survey'!BL4-'Existing Levels Drone Survey'!BL4</f>
        <v>0</v>
      </c>
      <c r="BM4" s="191">
        <f>'Functional Levels Drone Survey'!BM4-'Existing Levels Drone Survey'!BM4</f>
        <v>0</v>
      </c>
      <c r="BN4" s="191">
        <f>'Functional Levels Drone Survey'!BN4-'Existing Levels Drone Survey'!BN4</f>
        <v>0</v>
      </c>
      <c r="BO4" s="191">
        <f>'Functional Levels Drone Survey'!BO4-'Existing Levels Drone Survey'!BO4</f>
        <v>0</v>
      </c>
      <c r="BP4" s="191">
        <f>'Functional Levels Drone Survey'!BP4-'Existing Levels Drone Survey'!BP4</f>
        <v>0</v>
      </c>
      <c r="BQ4" s="191">
        <f>'Functional Levels Drone Survey'!BQ4-'Existing Levels Drone Survey'!BQ4</f>
        <v>0</v>
      </c>
      <c r="BR4" s="191">
        <f>'Functional Levels Drone Survey'!BR4-'Existing Levels Drone Survey'!BR4</f>
        <v>0</v>
      </c>
      <c r="BS4" s="191">
        <f>'Functional Levels Drone Survey'!BS4-'Existing Levels Drone Survey'!BS4</f>
        <v>0</v>
      </c>
      <c r="BT4" s="191">
        <f>'Functional Levels Drone Survey'!BT4-'Existing Levels Drone Survey'!BT4</f>
        <v>0</v>
      </c>
      <c r="BU4" s="191">
        <f>'Functional Levels Drone Survey'!BU4-'Existing Levels Drone Survey'!BU4</f>
        <v>0</v>
      </c>
      <c r="BV4" s="191">
        <f>'Functional Levels Drone Survey'!BV4-'Existing Levels Drone Survey'!BV4</f>
        <v>0</v>
      </c>
      <c r="BW4" s="191">
        <f>'Functional Levels Drone Survey'!BW4-'Existing Levels Drone Survey'!BW4</f>
        <v>0</v>
      </c>
      <c r="BX4" s="191">
        <f>'Functional Levels Drone Survey'!BX4-'Existing Levels Drone Survey'!BX4</f>
        <v>0</v>
      </c>
      <c r="BY4" s="191">
        <f>'Functional Levels Drone Survey'!BY4-'Existing Levels Drone Survey'!BY4</f>
        <v>0</v>
      </c>
      <c r="BZ4" s="191">
        <f>'Functional Levels Drone Survey'!BZ4-'Existing Levels Drone Survey'!BZ4</f>
        <v>0</v>
      </c>
      <c r="CA4" s="191">
        <f>'Functional Levels Drone Survey'!CA4-'Existing Levels Drone Survey'!CA4</f>
        <v>0</v>
      </c>
      <c r="CB4" s="191">
        <f>'Functional Levels Drone Survey'!CB4-'Existing Levels Drone Survey'!CB4</f>
        <v>0</v>
      </c>
      <c r="CC4" s="191">
        <f>'Functional Levels Drone Survey'!CC4-'Existing Levels Drone Survey'!CC4</f>
        <v>0</v>
      </c>
      <c r="CD4" s="191">
        <f>'Functional Levels Drone Survey'!CD4-'Existing Levels Drone Survey'!CD4</f>
        <v>0</v>
      </c>
      <c r="CE4" s="191">
        <f>'Functional Levels Drone Survey'!CE4-'Existing Levels Drone Survey'!CE4</f>
        <v>0</v>
      </c>
      <c r="CF4" s="191">
        <f>'Functional Levels Drone Survey'!CF4-'Existing Levels Drone Survey'!CF4</f>
        <v>0</v>
      </c>
      <c r="CG4" s="191">
        <f>'Functional Levels Drone Survey'!CG4-'Existing Levels Drone Survey'!CG4</f>
        <v>0</v>
      </c>
      <c r="CH4" s="191">
        <f>'Functional Levels Drone Survey'!CH4-'Existing Levels Drone Survey'!CH4</f>
        <v>0</v>
      </c>
      <c r="CI4" s="191">
        <f>'Functional Levels Drone Survey'!CI4-'Existing Levels Drone Survey'!CI4</f>
        <v>0</v>
      </c>
      <c r="CJ4" s="191">
        <f>'Functional Levels Drone Survey'!CJ4-'Existing Levels Drone Survey'!CJ4</f>
        <v>0</v>
      </c>
      <c r="CK4" s="191">
        <f>'Functional Levels Drone Survey'!CK4-'Existing Levels Drone Survey'!CK4</f>
        <v>0</v>
      </c>
      <c r="CL4" s="191">
        <f>'Functional Levels Drone Survey'!CL4-'Existing Levels Drone Survey'!CL4</f>
        <v>0</v>
      </c>
      <c r="CM4" s="191">
        <f>'Functional Levels Drone Survey'!CM4-'Existing Levels Drone Survey'!CM4</f>
        <v>0</v>
      </c>
      <c r="CN4" s="191">
        <f>'Functional Levels Drone Survey'!CN4-'Existing Levels Drone Survey'!CN4</f>
        <v>0</v>
      </c>
      <c r="CO4" s="191">
        <f>'Functional Levels Drone Survey'!CO4-'Existing Levels Drone Survey'!CO4</f>
        <v>0</v>
      </c>
      <c r="CP4" s="191">
        <f>'Functional Levels Drone Survey'!CP4-'Existing Levels Drone Survey'!CP4</f>
        <v>0</v>
      </c>
      <c r="CQ4" s="191">
        <f>'Functional Levels Drone Survey'!CQ4-'Existing Levels Drone Survey'!CQ4</f>
        <v>0</v>
      </c>
      <c r="CR4" s="191">
        <f>'Functional Levels Drone Survey'!CR4-'Existing Levels Drone Survey'!CR4</f>
        <v>0</v>
      </c>
      <c r="CS4" s="191">
        <f>'Functional Levels Drone Survey'!CS4-'Existing Levels Drone Survey'!CS4</f>
        <v>0</v>
      </c>
      <c r="CT4" s="191">
        <f>'Functional Levels Drone Survey'!CT4-'Existing Levels Drone Survey'!CT4</f>
        <v>0</v>
      </c>
      <c r="CU4" s="191">
        <f>'Functional Levels Drone Survey'!CU4-'Existing Levels Drone Survey'!CU4</f>
        <v>0</v>
      </c>
      <c r="CV4" s="191">
        <f>'Functional Levels Drone Survey'!CV4-'Existing Levels Drone Survey'!CV4</f>
        <v>0</v>
      </c>
      <c r="CW4" s="191">
        <f>'Functional Levels Drone Survey'!CW4-'Existing Levels Drone Survey'!CW4</f>
        <v>0</v>
      </c>
      <c r="CX4" s="191">
        <f>'Functional Levels Drone Survey'!CX4-'Existing Levels Drone Survey'!CX4</f>
        <v>0</v>
      </c>
      <c r="CY4" s="191">
        <f>'Functional Levels Drone Survey'!CY4-'Existing Levels Drone Survey'!CY4</f>
        <v>0</v>
      </c>
      <c r="CZ4" s="191">
        <f>'Functional Levels Drone Survey'!CZ4-'Existing Levels Drone Survey'!CZ4</f>
        <v>0</v>
      </c>
      <c r="DA4" s="191">
        <f>'Functional Levels Drone Survey'!DA4-'Existing Levels Drone Survey'!DA4</f>
        <v>0</v>
      </c>
      <c r="DB4" s="191">
        <f>'Functional Levels Drone Survey'!DB4-'Existing Levels Drone Survey'!DB4</f>
        <v>0</v>
      </c>
      <c r="DC4" s="191">
        <f>'Functional Levels Drone Survey'!DC4-'Existing Levels Drone Survey'!DC4</f>
        <v>0</v>
      </c>
      <c r="DD4" s="191">
        <f>'Functional Levels Drone Survey'!DD4-'Existing Levels Drone Survey'!DD4</f>
        <v>0</v>
      </c>
      <c r="DE4" s="191">
        <f>'Functional Levels Drone Survey'!DE4-'Existing Levels Drone Survey'!DE4</f>
        <v>0</v>
      </c>
      <c r="DF4" s="191">
        <f>'Functional Levels Drone Survey'!DF4-'Existing Levels Drone Survey'!DF4</f>
        <v>0</v>
      </c>
      <c r="DG4" s="191">
        <f>'Functional Levels Drone Survey'!DG4-'Existing Levels Drone Survey'!DG4</f>
        <v>0</v>
      </c>
      <c r="DH4" s="191">
        <f>'Functional Levels Drone Survey'!DH4-'Existing Levels Drone Survey'!DH4</f>
        <v>0</v>
      </c>
      <c r="DI4" s="191">
        <f>'Functional Levels Drone Survey'!DI4-'Existing Levels Drone Survey'!DI4</f>
        <v>0</v>
      </c>
      <c r="DJ4" s="191">
        <f>'Functional Levels Drone Survey'!DJ4-'Existing Levels Drone Survey'!DJ4</f>
        <v>0</v>
      </c>
      <c r="DK4" s="191">
        <f>'Functional Levels Drone Survey'!DK4-'Existing Levels Drone Survey'!DK4</f>
        <v>0</v>
      </c>
      <c r="DL4" s="191">
        <f>'Functional Levels Drone Survey'!DL4-'Existing Levels Drone Survey'!DL4</f>
        <v>0</v>
      </c>
      <c r="DM4" s="191">
        <f>'Functional Levels Drone Survey'!DM4-'Existing Levels Drone Survey'!DM4</f>
        <v>0</v>
      </c>
      <c r="DN4" s="191">
        <f>'Functional Levels Drone Survey'!DN4-'Existing Levels Drone Survey'!DN4</f>
        <v>0</v>
      </c>
      <c r="DO4" s="191">
        <f>'Functional Levels Drone Survey'!DO4-'Existing Levels Drone Survey'!DO4</f>
        <v>0</v>
      </c>
      <c r="DP4" s="191">
        <f>'Functional Levels Drone Survey'!DP4-'Existing Levels Drone Survey'!DP4</f>
        <v>0</v>
      </c>
      <c r="DQ4" s="191">
        <f>'Functional Levels Drone Survey'!DQ4-'Existing Levels Drone Survey'!DQ4</f>
        <v>0</v>
      </c>
      <c r="DR4" s="191">
        <f>'Functional Levels Drone Survey'!DR4-'Existing Levels Drone Survey'!DR4</f>
        <v>0</v>
      </c>
      <c r="DS4" s="191">
        <f>'Functional Levels Drone Survey'!DS4-'Existing Levels Drone Survey'!DS4</f>
        <v>0</v>
      </c>
      <c r="DT4" s="191">
        <f>'Functional Levels Drone Survey'!DT4-'Existing Levels Drone Survey'!DT4</f>
        <v>0</v>
      </c>
      <c r="DU4" s="191">
        <f>'Functional Levels Drone Survey'!DU4-'Existing Levels Drone Survey'!DU4</f>
        <v>0</v>
      </c>
      <c r="DV4" s="191">
        <f>'Functional Levels Drone Survey'!DV4-'Existing Levels Drone Survey'!DV4</f>
        <v>0</v>
      </c>
      <c r="DW4" s="191">
        <f>'Functional Levels Drone Survey'!DW4-'Existing Levels Drone Survey'!DW4</f>
        <v>0</v>
      </c>
      <c r="DX4" s="191">
        <f>'Functional Levels Drone Survey'!DX4-'Existing Levels Drone Survey'!DX4</f>
        <v>0</v>
      </c>
      <c r="DY4" s="191">
        <f>'Functional Levels Drone Survey'!DY4-'Existing Levels Drone Survey'!DY4</f>
        <v>0</v>
      </c>
      <c r="DZ4" s="191">
        <f>'Functional Levels Drone Survey'!DZ4-'Existing Levels Drone Survey'!DZ4</f>
        <v>0</v>
      </c>
      <c r="EA4" s="191">
        <f>'Functional Levels Drone Survey'!EA4-'Existing Levels Drone Survey'!EA4</f>
        <v>0</v>
      </c>
      <c r="EB4" s="191">
        <f>'Functional Levels Drone Survey'!EB4-'Existing Levels Drone Survey'!EB4</f>
        <v>0</v>
      </c>
      <c r="EC4" s="191">
        <f>'Functional Levels Drone Survey'!EC4-'Existing Levels Drone Survey'!EC4</f>
        <v>0</v>
      </c>
      <c r="ED4" s="191">
        <f>'Functional Levels Drone Survey'!ED4-'Existing Levels Drone Survey'!ED4</f>
        <v>0</v>
      </c>
      <c r="EE4" s="191">
        <f>'Functional Levels Drone Survey'!EE4-'Existing Levels Drone Survey'!EE4</f>
        <v>0</v>
      </c>
      <c r="EF4" s="191">
        <f>'Functional Levels Drone Survey'!EF4-'Existing Levels Drone Survey'!EF4</f>
        <v>0</v>
      </c>
      <c r="EG4" s="191">
        <f>'Functional Levels Drone Survey'!EG4-'Existing Levels Drone Survey'!EG4</f>
        <v>0</v>
      </c>
      <c r="EH4" s="191">
        <f>'Functional Levels Drone Survey'!EH4-'Existing Levels Drone Survey'!EH4</f>
        <v>0</v>
      </c>
      <c r="EI4" s="191">
        <f>'Functional Levels Drone Survey'!EI4-'Existing Levels Drone Survey'!EI4</f>
        <v>0</v>
      </c>
      <c r="EJ4" s="191">
        <f>'Functional Levels Drone Survey'!EJ4-'Existing Levels Drone Survey'!EJ4</f>
        <v>0</v>
      </c>
      <c r="EK4" s="191">
        <f>'Functional Levels Drone Survey'!EK4-'Existing Levels Drone Survey'!EK4</f>
        <v>0</v>
      </c>
      <c r="EL4" s="191">
        <f>'Functional Levels Drone Survey'!EL4-'Existing Levels Drone Survey'!EL4</f>
        <v>0</v>
      </c>
      <c r="EM4" s="191">
        <f>'Functional Levels Drone Survey'!EM4-'Existing Levels Drone Survey'!EM4</f>
        <v>0</v>
      </c>
      <c r="EN4" s="191">
        <f>'Functional Levels Drone Survey'!EN4-'Existing Levels Drone Survey'!EN4</f>
        <v>0</v>
      </c>
      <c r="EO4" s="191">
        <f>'Functional Levels Drone Survey'!EO4-'Existing Levels Drone Survey'!EO4</f>
        <v>0</v>
      </c>
      <c r="EP4" s="191">
        <f>'Functional Levels Drone Survey'!EP4-'Existing Levels Drone Survey'!EP4</f>
        <v>0</v>
      </c>
      <c r="EQ4" s="191">
        <f>'Functional Levels Drone Survey'!EQ4-'Existing Levels Drone Survey'!EQ4</f>
        <v>0</v>
      </c>
      <c r="ER4" s="191">
        <f>'Functional Levels Drone Survey'!ER4-'Existing Levels Drone Survey'!ER4</f>
        <v>0</v>
      </c>
      <c r="ES4" s="191">
        <f>'Functional Levels Drone Survey'!ES4-'Existing Levels Drone Survey'!ES4</f>
        <v>0</v>
      </c>
      <c r="ET4" s="191">
        <f>'Functional Levels Drone Survey'!ET4-'Existing Levels Drone Survey'!ET4</f>
        <v>0</v>
      </c>
      <c r="EU4" s="191">
        <f>'Functional Levels Drone Survey'!EU4-'Existing Levels Drone Survey'!EU4</f>
        <v>0</v>
      </c>
      <c r="EV4" s="191">
        <f>'Functional Levels Drone Survey'!EV4-'Existing Levels Drone Survey'!EV4</f>
        <v>0</v>
      </c>
      <c r="EW4" s="191">
        <f>'Functional Levels Drone Survey'!EW4-'Existing Levels Drone Survey'!EW4</f>
        <v>0</v>
      </c>
      <c r="EX4" s="191">
        <f>'Functional Levels Drone Survey'!EX4-'Existing Levels Drone Survey'!EX4</f>
        <v>0</v>
      </c>
      <c r="EY4" s="191">
        <f>'Functional Levels Drone Survey'!EY4-'Existing Levels Drone Survey'!EY4</f>
        <v>0</v>
      </c>
    </row>
    <row r="5" spans="1:155" ht="45" customHeight="1" x14ac:dyDescent="0.45">
      <c r="A5" s="277">
        <v>20</v>
      </c>
      <c r="B5" s="191">
        <f>'Functional Levels Drone Survey'!B5-'Existing Levels Drone Survey'!B5</f>
        <v>0</v>
      </c>
      <c r="C5" s="191">
        <f>'Functional Levels Drone Survey'!C5-'Existing Levels Drone Survey'!C5</f>
        <v>0</v>
      </c>
      <c r="D5" s="191">
        <f>'Functional Levels Drone Survey'!D5-'Existing Levels Drone Survey'!D5</f>
        <v>0</v>
      </c>
      <c r="E5" s="191">
        <f>'Functional Levels Drone Survey'!E5-'Existing Levels Drone Survey'!E5</f>
        <v>0</v>
      </c>
      <c r="F5" s="191">
        <f>'Functional Levels Drone Survey'!F5-'Existing Levels Drone Survey'!F5</f>
        <v>0</v>
      </c>
      <c r="G5" s="191">
        <f>'Functional Levels Drone Survey'!G5-'Existing Levels Drone Survey'!G5</f>
        <v>0</v>
      </c>
      <c r="H5" s="191">
        <f>'Functional Levels Drone Survey'!H5-'Existing Levels Drone Survey'!H5</f>
        <v>0</v>
      </c>
      <c r="I5" s="191">
        <f>'Functional Levels Drone Survey'!I5-'Existing Levels Drone Survey'!I5</f>
        <v>0</v>
      </c>
      <c r="J5" s="191">
        <f>'Functional Levels Drone Survey'!J5-'Existing Levels Drone Survey'!J5</f>
        <v>0</v>
      </c>
      <c r="K5" s="191">
        <f>'Functional Levels Drone Survey'!K5-'Existing Levels Drone Survey'!K5</f>
        <v>0</v>
      </c>
      <c r="L5" s="191">
        <f>'Functional Levels Drone Survey'!L5-'Existing Levels Drone Survey'!L5</f>
        <v>0</v>
      </c>
      <c r="M5" s="191">
        <f>'Functional Levels Drone Survey'!M5-'Existing Levels Drone Survey'!M5</f>
        <v>0</v>
      </c>
      <c r="N5" s="191">
        <f>'Functional Levels Drone Survey'!N5-'Existing Levels Drone Survey'!N5</f>
        <v>0</v>
      </c>
      <c r="O5" s="191">
        <f>'Functional Levels Drone Survey'!O5-'Existing Levels Drone Survey'!O5</f>
        <v>0</v>
      </c>
      <c r="P5" s="191">
        <f>'Functional Levels Drone Survey'!P5-'Existing Levels Drone Survey'!P5</f>
        <v>0</v>
      </c>
      <c r="Q5" s="191">
        <f>'Functional Levels Drone Survey'!Q5-'Existing Levels Drone Survey'!Q5</f>
        <v>0</v>
      </c>
      <c r="R5" s="191">
        <f>'Functional Levels Drone Survey'!R5-'Existing Levels Drone Survey'!R5</f>
        <v>0</v>
      </c>
      <c r="S5" s="191">
        <f>'Functional Levels Drone Survey'!S5-'Existing Levels Drone Survey'!S5</f>
        <v>0</v>
      </c>
      <c r="T5" s="191">
        <f>'Functional Levels Drone Survey'!T5-'Existing Levels Drone Survey'!T5</f>
        <v>0</v>
      </c>
      <c r="U5" s="191">
        <f>'Functional Levels Drone Survey'!U5-'Existing Levels Drone Survey'!U5</f>
        <v>0</v>
      </c>
      <c r="V5" s="191">
        <f>'Functional Levels Drone Survey'!V5-'Existing Levels Drone Survey'!V5</f>
        <v>0</v>
      </c>
      <c r="W5" s="191">
        <f>'Functional Levels Drone Survey'!W5-'Existing Levels Drone Survey'!W5</f>
        <v>0</v>
      </c>
      <c r="X5" s="191">
        <f>'Functional Levels Drone Survey'!X5-'Existing Levels Drone Survey'!X5</f>
        <v>0</v>
      </c>
      <c r="Y5" s="191">
        <f>'Functional Levels Drone Survey'!Y5-'Existing Levels Drone Survey'!Y5</f>
        <v>0</v>
      </c>
      <c r="Z5" s="191">
        <f>'Functional Levels Drone Survey'!Z5-'Existing Levels Drone Survey'!Z5</f>
        <v>0</v>
      </c>
      <c r="AA5" s="191">
        <f>'Functional Levels Drone Survey'!AA5-'Existing Levels Drone Survey'!AA5</f>
        <v>0</v>
      </c>
      <c r="AB5" s="191">
        <f>'Functional Levels Drone Survey'!AB5-'Existing Levels Drone Survey'!AB5</f>
        <v>0</v>
      </c>
      <c r="AC5" s="191">
        <f>'Functional Levels Drone Survey'!AC5-'Existing Levels Drone Survey'!AC5</f>
        <v>0</v>
      </c>
      <c r="AD5" s="191">
        <f>'Functional Levels Drone Survey'!AD5-'Existing Levels Drone Survey'!AD5</f>
        <v>0</v>
      </c>
      <c r="AE5" s="191">
        <f>'Functional Levels Drone Survey'!AE5-'Existing Levels Drone Survey'!AE5</f>
        <v>0</v>
      </c>
      <c r="AF5" s="191">
        <f>'Functional Levels Drone Survey'!AF5-'Existing Levels Drone Survey'!AF5</f>
        <v>0</v>
      </c>
      <c r="AG5" s="191">
        <f>'Functional Levels Drone Survey'!AG5-'Existing Levels Drone Survey'!AG5</f>
        <v>0</v>
      </c>
      <c r="AH5" s="191">
        <f>'Functional Levels Drone Survey'!AH5-'Existing Levels Drone Survey'!AH5</f>
        <v>0</v>
      </c>
      <c r="AI5" s="191">
        <f>'Functional Levels Drone Survey'!AI5-'Existing Levels Drone Survey'!AI5</f>
        <v>0</v>
      </c>
      <c r="AJ5" s="191">
        <f>'Functional Levels Drone Survey'!AJ5-'Existing Levels Drone Survey'!AJ5</f>
        <v>0</v>
      </c>
      <c r="AK5" s="191">
        <f>'Functional Levels Drone Survey'!AK5-'Existing Levels Drone Survey'!AK5</f>
        <v>0</v>
      </c>
      <c r="AL5" s="191">
        <f>'Functional Levels Drone Survey'!AL5-'Existing Levels Drone Survey'!AL5</f>
        <v>0</v>
      </c>
      <c r="AM5" s="191">
        <f>'Functional Levels Drone Survey'!AM5-'Existing Levels Drone Survey'!AM5</f>
        <v>0</v>
      </c>
      <c r="AN5" s="191">
        <f>'Functional Levels Drone Survey'!AN5-'Existing Levels Drone Survey'!AN5</f>
        <v>0</v>
      </c>
      <c r="AO5" s="191">
        <f>'Functional Levels Drone Survey'!AO5-'Existing Levels Drone Survey'!AO5</f>
        <v>0</v>
      </c>
      <c r="AP5" s="191">
        <f>'Functional Levels Drone Survey'!AP5-'Existing Levels Drone Survey'!AP5</f>
        <v>0</v>
      </c>
      <c r="AQ5" s="191">
        <f>'Functional Levels Drone Survey'!AQ5-'Existing Levels Drone Survey'!AQ5</f>
        <v>0</v>
      </c>
      <c r="AR5" s="191">
        <f>'Functional Levels Drone Survey'!AR5-'Existing Levels Drone Survey'!AR5</f>
        <v>0</v>
      </c>
      <c r="AS5" s="191">
        <f>'Functional Levels Drone Survey'!AS5-'Existing Levels Drone Survey'!AS5</f>
        <v>0</v>
      </c>
      <c r="AT5" s="191">
        <f>'Functional Levels Drone Survey'!AT5-'Existing Levels Drone Survey'!AT5</f>
        <v>0</v>
      </c>
      <c r="AU5" s="191">
        <f>'Functional Levels Drone Survey'!AU5-'Existing Levels Drone Survey'!AU5</f>
        <v>0</v>
      </c>
      <c r="AV5" s="191">
        <f>'Functional Levels Drone Survey'!AV5-'Existing Levels Drone Survey'!AV5</f>
        <v>0</v>
      </c>
      <c r="AW5" s="191">
        <f>'Functional Levels Drone Survey'!AW5-'Existing Levels Drone Survey'!AW5</f>
        <v>0</v>
      </c>
      <c r="AX5" s="191">
        <f>'Functional Levels Drone Survey'!AX5-'Existing Levels Drone Survey'!AX5</f>
        <v>0</v>
      </c>
      <c r="AY5" s="191">
        <f>'Functional Levels Drone Survey'!AY5-'Existing Levels Drone Survey'!AY5</f>
        <v>0</v>
      </c>
      <c r="AZ5" s="191">
        <f>'Functional Levels Drone Survey'!AZ5-'Existing Levels Drone Survey'!AZ5</f>
        <v>0</v>
      </c>
      <c r="BA5" s="191">
        <f>'Functional Levels Drone Survey'!BA5-'Existing Levels Drone Survey'!BA5</f>
        <v>0</v>
      </c>
      <c r="BB5" s="191">
        <f>'Functional Levels Drone Survey'!BB5-'Existing Levels Drone Survey'!BB5</f>
        <v>0</v>
      </c>
      <c r="BC5" s="191">
        <f>'Functional Levels Drone Survey'!BC5-'Existing Levels Drone Survey'!BC5</f>
        <v>0</v>
      </c>
      <c r="BD5" s="191">
        <f>'Functional Levels Drone Survey'!BD5-'Existing Levels Drone Survey'!BD5</f>
        <v>0</v>
      </c>
      <c r="BE5" s="191">
        <f>'Functional Levels Drone Survey'!BE5-'Existing Levels Drone Survey'!BE5</f>
        <v>0</v>
      </c>
      <c r="BF5" s="191">
        <f>'Functional Levels Drone Survey'!BF5-'Existing Levels Drone Survey'!BF5</f>
        <v>0</v>
      </c>
      <c r="BG5" s="191">
        <f>'Functional Levels Drone Survey'!BG5-'Existing Levels Drone Survey'!BG5</f>
        <v>0</v>
      </c>
      <c r="BH5" s="191">
        <f>'Functional Levels Drone Survey'!BH5-'Existing Levels Drone Survey'!BH5</f>
        <v>0</v>
      </c>
      <c r="BI5" s="191">
        <f>'Functional Levels Drone Survey'!BI5-'Existing Levels Drone Survey'!BI5</f>
        <v>0</v>
      </c>
      <c r="BJ5" s="191">
        <f>'Functional Levels Drone Survey'!BJ5-'Existing Levels Drone Survey'!BJ5</f>
        <v>0</v>
      </c>
      <c r="BK5" s="191">
        <f>'Functional Levels Drone Survey'!BK5-'Existing Levels Drone Survey'!BK5</f>
        <v>0</v>
      </c>
      <c r="BL5" s="191">
        <f>'Functional Levels Drone Survey'!BL5-'Existing Levels Drone Survey'!BL5</f>
        <v>0</v>
      </c>
      <c r="BM5" s="191">
        <f>'Functional Levels Drone Survey'!BM5-'Existing Levels Drone Survey'!BM5</f>
        <v>0</v>
      </c>
      <c r="BN5" s="191">
        <f>'Functional Levels Drone Survey'!BN5-'Existing Levels Drone Survey'!BN5</f>
        <v>0</v>
      </c>
      <c r="BO5" s="191">
        <f>'Functional Levels Drone Survey'!BO5-'Existing Levels Drone Survey'!BO5</f>
        <v>0</v>
      </c>
      <c r="BP5" s="191">
        <f>'Functional Levels Drone Survey'!BP5-'Existing Levels Drone Survey'!BP5</f>
        <v>0</v>
      </c>
      <c r="BQ5" s="191">
        <f>'Functional Levels Drone Survey'!BQ5-'Existing Levels Drone Survey'!BQ5</f>
        <v>0</v>
      </c>
      <c r="BR5" s="191">
        <f>'Functional Levels Drone Survey'!BR5-'Existing Levels Drone Survey'!BR5</f>
        <v>0</v>
      </c>
      <c r="BS5" s="191">
        <f>'Functional Levels Drone Survey'!BS5-'Existing Levels Drone Survey'!BS5</f>
        <v>0</v>
      </c>
      <c r="BT5" s="191">
        <f>'Functional Levels Drone Survey'!BT5-'Existing Levels Drone Survey'!BT5</f>
        <v>0</v>
      </c>
      <c r="BU5" s="191">
        <f>'Functional Levels Drone Survey'!BU5-'Existing Levels Drone Survey'!BU5</f>
        <v>0</v>
      </c>
      <c r="BV5" s="191">
        <f>'Functional Levels Drone Survey'!BV5-'Existing Levels Drone Survey'!BV5</f>
        <v>0</v>
      </c>
      <c r="BW5" s="191">
        <f>'Functional Levels Drone Survey'!BW5-'Existing Levels Drone Survey'!BW5</f>
        <v>0</v>
      </c>
      <c r="BX5" s="191">
        <f>'Functional Levels Drone Survey'!BX5-'Existing Levels Drone Survey'!BX5</f>
        <v>0</v>
      </c>
      <c r="BY5" s="191">
        <f>'Functional Levels Drone Survey'!BY5-'Existing Levels Drone Survey'!BY5</f>
        <v>0</v>
      </c>
      <c r="BZ5" s="191">
        <f>'Functional Levels Drone Survey'!BZ5-'Existing Levels Drone Survey'!BZ5</f>
        <v>0</v>
      </c>
      <c r="CA5" s="191">
        <f>'Functional Levels Drone Survey'!CA5-'Existing Levels Drone Survey'!CA5</f>
        <v>0</v>
      </c>
      <c r="CB5" s="191">
        <f>'Functional Levels Drone Survey'!CB5-'Existing Levels Drone Survey'!CB5</f>
        <v>0</v>
      </c>
      <c r="CC5" s="191">
        <f>'Functional Levels Drone Survey'!CC5-'Existing Levels Drone Survey'!CC5</f>
        <v>0</v>
      </c>
      <c r="CD5" s="191">
        <f>'Functional Levels Drone Survey'!CD5-'Existing Levels Drone Survey'!CD5</f>
        <v>0</v>
      </c>
      <c r="CE5" s="191">
        <f>'Functional Levels Drone Survey'!CE5-'Existing Levels Drone Survey'!CE5</f>
        <v>0</v>
      </c>
      <c r="CF5" s="191">
        <f>'Functional Levels Drone Survey'!CF5-'Existing Levels Drone Survey'!CF5</f>
        <v>0</v>
      </c>
      <c r="CG5" s="191">
        <f>'Functional Levels Drone Survey'!CG5-'Existing Levels Drone Survey'!CG5</f>
        <v>0</v>
      </c>
      <c r="CH5" s="191">
        <f>'Functional Levels Drone Survey'!CH5-'Existing Levels Drone Survey'!CH5</f>
        <v>0</v>
      </c>
      <c r="CI5" s="191">
        <f>'Functional Levels Drone Survey'!CI5-'Existing Levels Drone Survey'!CI5</f>
        <v>0</v>
      </c>
      <c r="CJ5" s="191">
        <f>'Functional Levels Drone Survey'!CJ5-'Existing Levels Drone Survey'!CJ5</f>
        <v>0</v>
      </c>
      <c r="CK5" s="191">
        <f>'Functional Levels Drone Survey'!CK5-'Existing Levels Drone Survey'!CK5</f>
        <v>0</v>
      </c>
      <c r="CL5" s="191">
        <f>'Functional Levels Drone Survey'!CL5-'Existing Levels Drone Survey'!CL5</f>
        <v>0</v>
      </c>
      <c r="CM5" s="191">
        <f>'Functional Levels Drone Survey'!CM5-'Existing Levels Drone Survey'!CM5</f>
        <v>0</v>
      </c>
      <c r="CN5" s="191">
        <f>'Functional Levels Drone Survey'!CN5-'Existing Levels Drone Survey'!CN5</f>
        <v>0</v>
      </c>
      <c r="CO5" s="191">
        <f>'Functional Levels Drone Survey'!CO5-'Existing Levels Drone Survey'!CO5</f>
        <v>0</v>
      </c>
      <c r="CP5" s="191">
        <f>'Functional Levels Drone Survey'!CP5-'Existing Levels Drone Survey'!CP5</f>
        <v>0</v>
      </c>
      <c r="CQ5" s="191">
        <f>'Functional Levels Drone Survey'!CQ5-'Existing Levels Drone Survey'!CQ5</f>
        <v>0</v>
      </c>
      <c r="CR5" s="191">
        <f>'Functional Levels Drone Survey'!CR5-'Existing Levels Drone Survey'!CR5</f>
        <v>0</v>
      </c>
      <c r="CS5" s="191">
        <f>'Functional Levels Drone Survey'!CS5-'Existing Levels Drone Survey'!CS5</f>
        <v>0</v>
      </c>
      <c r="CT5" s="191">
        <f>'Functional Levels Drone Survey'!CT5-'Existing Levels Drone Survey'!CT5</f>
        <v>0</v>
      </c>
      <c r="CU5" s="191">
        <f>'Functional Levels Drone Survey'!CU5-'Existing Levels Drone Survey'!CU5</f>
        <v>0</v>
      </c>
      <c r="CV5" s="191">
        <f>'Functional Levels Drone Survey'!CV5-'Existing Levels Drone Survey'!CV5</f>
        <v>0</v>
      </c>
      <c r="CW5" s="191">
        <f>'Functional Levels Drone Survey'!CW5-'Existing Levels Drone Survey'!CW5</f>
        <v>0</v>
      </c>
      <c r="CX5" s="191">
        <f>'Functional Levels Drone Survey'!CX5-'Existing Levels Drone Survey'!CX5</f>
        <v>0</v>
      </c>
      <c r="CY5" s="191">
        <f>'Functional Levels Drone Survey'!CY5-'Existing Levels Drone Survey'!CY5</f>
        <v>0</v>
      </c>
      <c r="CZ5" s="191">
        <f>'Functional Levels Drone Survey'!CZ5-'Existing Levels Drone Survey'!CZ5</f>
        <v>0</v>
      </c>
      <c r="DA5" s="191">
        <f>'Functional Levels Drone Survey'!DA5-'Existing Levels Drone Survey'!DA5</f>
        <v>0</v>
      </c>
      <c r="DB5" s="191">
        <f>'Functional Levels Drone Survey'!DB5-'Existing Levels Drone Survey'!DB5</f>
        <v>0</v>
      </c>
      <c r="DC5" s="191">
        <f>'Functional Levels Drone Survey'!DC5-'Existing Levels Drone Survey'!DC5</f>
        <v>0</v>
      </c>
      <c r="DD5" s="191">
        <f>'Functional Levels Drone Survey'!DD5-'Existing Levels Drone Survey'!DD5</f>
        <v>0</v>
      </c>
      <c r="DE5" s="191">
        <f>'Functional Levels Drone Survey'!DE5-'Existing Levels Drone Survey'!DE5</f>
        <v>0</v>
      </c>
      <c r="DF5" s="191">
        <f>'Functional Levels Drone Survey'!DF5-'Existing Levels Drone Survey'!DF5</f>
        <v>0</v>
      </c>
      <c r="DG5" s="191">
        <f>'Functional Levels Drone Survey'!DG5-'Existing Levels Drone Survey'!DG5</f>
        <v>0</v>
      </c>
      <c r="DH5" s="191">
        <f>'Functional Levels Drone Survey'!DH5-'Existing Levels Drone Survey'!DH5</f>
        <v>0</v>
      </c>
      <c r="DI5" s="191">
        <f>'Functional Levels Drone Survey'!DI5-'Existing Levels Drone Survey'!DI5</f>
        <v>0</v>
      </c>
      <c r="DJ5" s="191">
        <f>'Functional Levels Drone Survey'!DJ5-'Existing Levels Drone Survey'!DJ5</f>
        <v>0</v>
      </c>
      <c r="DK5" s="191">
        <f>'Functional Levels Drone Survey'!DK5-'Existing Levels Drone Survey'!DK5</f>
        <v>0</v>
      </c>
      <c r="DL5" s="191">
        <f>'Functional Levels Drone Survey'!DL5-'Existing Levels Drone Survey'!DL5</f>
        <v>0</v>
      </c>
      <c r="DM5" s="191">
        <f>'Functional Levels Drone Survey'!DM5-'Existing Levels Drone Survey'!DM5</f>
        <v>0</v>
      </c>
      <c r="DN5" s="191">
        <f>'Functional Levels Drone Survey'!DN5-'Existing Levels Drone Survey'!DN5</f>
        <v>0</v>
      </c>
      <c r="DO5" s="191">
        <f>'Functional Levels Drone Survey'!DO5-'Existing Levels Drone Survey'!DO5</f>
        <v>0</v>
      </c>
      <c r="DP5" s="191">
        <f>'Functional Levels Drone Survey'!DP5-'Existing Levels Drone Survey'!DP5</f>
        <v>0</v>
      </c>
      <c r="DQ5" s="191">
        <f>'Functional Levels Drone Survey'!DQ5-'Existing Levels Drone Survey'!DQ5</f>
        <v>0</v>
      </c>
      <c r="DR5" s="191">
        <f>'Functional Levels Drone Survey'!DR5-'Existing Levels Drone Survey'!DR5</f>
        <v>0</v>
      </c>
      <c r="DS5" s="191">
        <f>'Functional Levels Drone Survey'!DS5-'Existing Levels Drone Survey'!DS5</f>
        <v>0</v>
      </c>
      <c r="DT5" s="191">
        <f>'Functional Levels Drone Survey'!DT5-'Existing Levels Drone Survey'!DT5</f>
        <v>0</v>
      </c>
      <c r="DU5" s="191">
        <f>'Functional Levels Drone Survey'!DU5-'Existing Levels Drone Survey'!DU5</f>
        <v>0</v>
      </c>
      <c r="DV5" s="191">
        <f>'Functional Levels Drone Survey'!DV5-'Existing Levels Drone Survey'!DV5</f>
        <v>0</v>
      </c>
      <c r="DW5" s="191">
        <f>'Functional Levels Drone Survey'!DW5-'Existing Levels Drone Survey'!DW5</f>
        <v>0</v>
      </c>
      <c r="DX5" s="191">
        <f>'Functional Levels Drone Survey'!DX5-'Existing Levels Drone Survey'!DX5</f>
        <v>0</v>
      </c>
      <c r="DY5" s="191">
        <f>'Functional Levels Drone Survey'!DY5-'Existing Levels Drone Survey'!DY5</f>
        <v>0</v>
      </c>
      <c r="DZ5" s="191">
        <f>'Functional Levels Drone Survey'!DZ5-'Existing Levels Drone Survey'!DZ5</f>
        <v>0</v>
      </c>
      <c r="EA5" s="191">
        <f>'Functional Levels Drone Survey'!EA5-'Existing Levels Drone Survey'!EA5</f>
        <v>0</v>
      </c>
      <c r="EB5" s="191">
        <f>'Functional Levels Drone Survey'!EB5-'Existing Levels Drone Survey'!EB5</f>
        <v>0</v>
      </c>
      <c r="EC5" s="191">
        <f>'Functional Levels Drone Survey'!EC5-'Existing Levels Drone Survey'!EC5</f>
        <v>0</v>
      </c>
      <c r="ED5" s="191">
        <f>'Functional Levels Drone Survey'!ED5-'Existing Levels Drone Survey'!ED5</f>
        <v>0</v>
      </c>
      <c r="EE5" s="191">
        <f>'Functional Levels Drone Survey'!EE5-'Existing Levels Drone Survey'!EE5</f>
        <v>0</v>
      </c>
      <c r="EF5" s="191">
        <f>'Functional Levels Drone Survey'!EF5-'Existing Levels Drone Survey'!EF5</f>
        <v>0</v>
      </c>
      <c r="EG5" s="191">
        <f>'Functional Levels Drone Survey'!EG5-'Existing Levels Drone Survey'!EG5</f>
        <v>0</v>
      </c>
      <c r="EH5" s="191">
        <f>'Functional Levels Drone Survey'!EH5-'Existing Levels Drone Survey'!EH5</f>
        <v>0</v>
      </c>
      <c r="EI5" s="191">
        <f>'Functional Levels Drone Survey'!EI5-'Existing Levels Drone Survey'!EI5</f>
        <v>0</v>
      </c>
      <c r="EJ5" s="191">
        <f>'Functional Levels Drone Survey'!EJ5-'Existing Levels Drone Survey'!EJ5</f>
        <v>0</v>
      </c>
      <c r="EK5" s="191">
        <f>'Functional Levels Drone Survey'!EK5-'Existing Levels Drone Survey'!EK5</f>
        <v>0</v>
      </c>
      <c r="EL5" s="191">
        <f>'Functional Levels Drone Survey'!EL5-'Existing Levels Drone Survey'!EL5</f>
        <v>0</v>
      </c>
      <c r="EM5" s="191">
        <f>'Functional Levels Drone Survey'!EM5-'Existing Levels Drone Survey'!EM5</f>
        <v>0</v>
      </c>
      <c r="EN5" s="191">
        <f>'Functional Levels Drone Survey'!EN5-'Existing Levels Drone Survey'!EN5</f>
        <v>0</v>
      </c>
      <c r="EO5" s="191">
        <f>'Functional Levels Drone Survey'!EO5-'Existing Levels Drone Survey'!EO5</f>
        <v>0</v>
      </c>
      <c r="EP5" s="191">
        <f>'Functional Levels Drone Survey'!EP5-'Existing Levels Drone Survey'!EP5</f>
        <v>0</v>
      </c>
      <c r="EQ5" s="191">
        <f>'Functional Levels Drone Survey'!EQ5-'Existing Levels Drone Survey'!EQ5</f>
        <v>0</v>
      </c>
      <c r="ER5" s="191">
        <f>'Functional Levels Drone Survey'!ER5-'Existing Levels Drone Survey'!ER5</f>
        <v>0</v>
      </c>
      <c r="ES5" s="191">
        <f>'Functional Levels Drone Survey'!ES5-'Existing Levels Drone Survey'!ES5</f>
        <v>0</v>
      </c>
      <c r="ET5" s="191">
        <f>'Functional Levels Drone Survey'!ET5-'Existing Levels Drone Survey'!ET5</f>
        <v>0</v>
      </c>
      <c r="EU5" s="191">
        <f>'Functional Levels Drone Survey'!EU5-'Existing Levels Drone Survey'!EU5</f>
        <v>0</v>
      </c>
      <c r="EV5" s="191">
        <f>'Functional Levels Drone Survey'!EV5-'Existing Levels Drone Survey'!EV5</f>
        <v>0</v>
      </c>
      <c r="EW5" s="191">
        <f>'Functional Levels Drone Survey'!EW5-'Existing Levels Drone Survey'!EW5</f>
        <v>0</v>
      </c>
      <c r="EX5" s="191">
        <f>'Functional Levels Drone Survey'!EX5-'Existing Levels Drone Survey'!EX5</f>
        <v>0</v>
      </c>
      <c r="EY5" s="191">
        <f>'Functional Levels Drone Survey'!EY5-'Existing Levels Drone Survey'!EY5</f>
        <v>0</v>
      </c>
    </row>
    <row r="6" spans="1:155" ht="45" customHeight="1" x14ac:dyDescent="0.45">
      <c r="A6" s="277">
        <v>25</v>
      </c>
      <c r="B6" s="191">
        <f>'Functional Levels Drone Survey'!B6-'Existing Levels Drone Survey'!B6</f>
        <v>0</v>
      </c>
      <c r="C6" s="191">
        <f>'Functional Levels Drone Survey'!C6-'Existing Levels Drone Survey'!C6</f>
        <v>0</v>
      </c>
      <c r="D6" s="191">
        <f>'Functional Levels Drone Survey'!D6-'Existing Levels Drone Survey'!D6</f>
        <v>0</v>
      </c>
      <c r="E6" s="191">
        <f>'Functional Levels Drone Survey'!E6-'Existing Levels Drone Survey'!E6</f>
        <v>0</v>
      </c>
      <c r="F6" s="191">
        <f>'Functional Levels Drone Survey'!F6-'Existing Levels Drone Survey'!F6</f>
        <v>0</v>
      </c>
      <c r="G6" s="191">
        <f>'Functional Levels Drone Survey'!G6-'Existing Levels Drone Survey'!G6</f>
        <v>0</v>
      </c>
      <c r="H6" s="191">
        <f>'Functional Levels Drone Survey'!H6-'Existing Levels Drone Survey'!H6</f>
        <v>0</v>
      </c>
      <c r="I6" s="191">
        <f>'Functional Levels Drone Survey'!I6-'Existing Levels Drone Survey'!I6</f>
        <v>0</v>
      </c>
      <c r="J6" s="191">
        <f>'Functional Levels Drone Survey'!J6-'Existing Levels Drone Survey'!J6</f>
        <v>0</v>
      </c>
      <c r="K6" s="191">
        <f>'Functional Levels Drone Survey'!K6-'Existing Levels Drone Survey'!K6</f>
        <v>0</v>
      </c>
      <c r="L6" s="191">
        <f>'Functional Levels Drone Survey'!L6-'Existing Levels Drone Survey'!L6</f>
        <v>0</v>
      </c>
      <c r="M6" s="191">
        <f>'Functional Levels Drone Survey'!M6-'Existing Levels Drone Survey'!M6</f>
        <v>0</v>
      </c>
      <c r="N6" s="191">
        <f>'Functional Levels Drone Survey'!N6-'Existing Levels Drone Survey'!N6</f>
        <v>0</v>
      </c>
      <c r="O6" s="191">
        <f>'Functional Levels Drone Survey'!O6-'Existing Levels Drone Survey'!O6</f>
        <v>0</v>
      </c>
      <c r="P6" s="191">
        <f>'Functional Levels Drone Survey'!P6-'Existing Levels Drone Survey'!P6</f>
        <v>0</v>
      </c>
      <c r="Q6" s="191">
        <f>'Functional Levels Drone Survey'!Q6-'Existing Levels Drone Survey'!Q6</f>
        <v>0</v>
      </c>
      <c r="R6" s="191">
        <f>'Functional Levels Drone Survey'!R6-'Existing Levels Drone Survey'!R6</f>
        <v>0</v>
      </c>
      <c r="S6" s="191">
        <f>'Functional Levels Drone Survey'!S6-'Existing Levels Drone Survey'!S6</f>
        <v>0</v>
      </c>
      <c r="T6" s="191">
        <f>'Functional Levels Drone Survey'!T6-'Existing Levels Drone Survey'!T6</f>
        <v>0</v>
      </c>
      <c r="U6" s="191">
        <f>'Functional Levels Drone Survey'!U6-'Existing Levels Drone Survey'!U6</f>
        <v>0</v>
      </c>
      <c r="V6" s="191">
        <f>'Functional Levels Drone Survey'!V6-'Existing Levels Drone Survey'!V6</f>
        <v>0</v>
      </c>
      <c r="W6" s="191">
        <f>'Functional Levels Drone Survey'!W6-'Existing Levels Drone Survey'!W6</f>
        <v>0</v>
      </c>
      <c r="X6" s="191">
        <f>'Functional Levels Drone Survey'!X6-'Existing Levels Drone Survey'!X6</f>
        <v>0</v>
      </c>
      <c r="Y6" s="191">
        <f>'Functional Levels Drone Survey'!Y6-'Existing Levels Drone Survey'!Y6</f>
        <v>0</v>
      </c>
      <c r="Z6" s="191">
        <f>'Functional Levels Drone Survey'!Z6-'Existing Levels Drone Survey'!Z6</f>
        <v>0</v>
      </c>
      <c r="AA6" s="191">
        <f>'Functional Levels Drone Survey'!AA6-'Existing Levels Drone Survey'!AA6</f>
        <v>0</v>
      </c>
      <c r="AB6" s="191">
        <f>'Functional Levels Drone Survey'!AB6-'Existing Levels Drone Survey'!AB6</f>
        <v>0</v>
      </c>
      <c r="AC6" s="191">
        <f>'Functional Levels Drone Survey'!AC6-'Existing Levels Drone Survey'!AC6</f>
        <v>0</v>
      </c>
      <c r="AD6" s="191">
        <f>'Functional Levels Drone Survey'!AD6-'Existing Levels Drone Survey'!AD6</f>
        <v>0</v>
      </c>
      <c r="AE6" s="191">
        <f>'Functional Levels Drone Survey'!AE6-'Existing Levels Drone Survey'!AE6</f>
        <v>0</v>
      </c>
      <c r="AF6" s="191">
        <f>'Functional Levels Drone Survey'!AF6-'Existing Levels Drone Survey'!AF6</f>
        <v>0</v>
      </c>
      <c r="AG6" s="191">
        <f>'Functional Levels Drone Survey'!AG6-'Existing Levels Drone Survey'!AG6</f>
        <v>0</v>
      </c>
      <c r="AH6" s="191">
        <f>'Functional Levels Drone Survey'!AH6-'Existing Levels Drone Survey'!AH6</f>
        <v>0</v>
      </c>
      <c r="AI6" s="191">
        <f>'Functional Levels Drone Survey'!AI6-'Existing Levels Drone Survey'!AI6</f>
        <v>0</v>
      </c>
      <c r="AJ6" s="191">
        <f>'Functional Levels Drone Survey'!AJ6-'Existing Levels Drone Survey'!AJ6</f>
        <v>0</v>
      </c>
      <c r="AK6" s="191">
        <f>'Functional Levels Drone Survey'!AK6-'Existing Levels Drone Survey'!AK6</f>
        <v>0</v>
      </c>
      <c r="AL6" s="191">
        <f>'Functional Levels Drone Survey'!AL6-'Existing Levels Drone Survey'!AL6</f>
        <v>0</v>
      </c>
      <c r="AM6" s="191">
        <f>'Functional Levels Drone Survey'!AM6-'Existing Levels Drone Survey'!AM6</f>
        <v>0</v>
      </c>
      <c r="AN6" s="191">
        <f>'Functional Levels Drone Survey'!AN6-'Existing Levels Drone Survey'!AN6</f>
        <v>0</v>
      </c>
      <c r="AO6" s="191">
        <f>'Functional Levels Drone Survey'!AO6-'Existing Levels Drone Survey'!AO6</f>
        <v>0</v>
      </c>
      <c r="AP6" s="191">
        <f>'Functional Levels Drone Survey'!AP6-'Existing Levels Drone Survey'!AP6</f>
        <v>0</v>
      </c>
      <c r="AQ6" s="191">
        <f>'Functional Levels Drone Survey'!AQ6-'Existing Levels Drone Survey'!AQ6</f>
        <v>0</v>
      </c>
      <c r="AR6" s="191">
        <f>'Functional Levels Drone Survey'!AR6-'Existing Levels Drone Survey'!AR6</f>
        <v>0</v>
      </c>
      <c r="AS6" s="191">
        <f>'Functional Levels Drone Survey'!AS6-'Existing Levels Drone Survey'!AS6</f>
        <v>0</v>
      </c>
      <c r="AT6" s="191">
        <f>'Functional Levels Drone Survey'!AT6-'Existing Levels Drone Survey'!AT6</f>
        <v>0</v>
      </c>
      <c r="AU6" s="191">
        <f>'Functional Levels Drone Survey'!AU6-'Existing Levels Drone Survey'!AU6</f>
        <v>0</v>
      </c>
      <c r="AV6" s="191">
        <f>'Functional Levels Drone Survey'!AV6-'Existing Levels Drone Survey'!AV6</f>
        <v>0</v>
      </c>
      <c r="AW6" s="191">
        <f>'Functional Levels Drone Survey'!AW6-'Existing Levels Drone Survey'!AW6</f>
        <v>0</v>
      </c>
      <c r="AX6" s="191">
        <f>'Functional Levels Drone Survey'!AX6-'Existing Levels Drone Survey'!AX6</f>
        <v>0</v>
      </c>
      <c r="AY6" s="191">
        <f>'Functional Levels Drone Survey'!AY6-'Existing Levels Drone Survey'!AY6</f>
        <v>0</v>
      </c>
      <c r="AZ6" s="191">
        <f>'Functional Levels Drone Survey'!AZ6-'Existing Levels Drone Survey'!AZ6</f>
        <v>0</v>
      </c>
      <c r="BA6" s="191">
        <f>'Functional Levels Drone Survey'!BA6-'Existing Levels Drone Survey'!BA6</f>
        <v>0</v>
      </c>
      <c r="BB6" s="191">
        <f>'Functional Levels Drone Survey'!BB6-'Existing Levels Drone Survey'!BB6</f>
        <v>0</v>
      </c>
      <c r="BC6" s="191">
        <f>'Functional Levels Drone Survey'!BC6-'Existing Levels Drone Survey'!BC6</f>
        <v>0</v>
      </c>
      <c r="BD6" s="191">
        <f>'Functional Levels Drone Survey'!BD6-'Existing Levels Drone Survey'!BD6</f>
        <v>0</v>
      </c>
      <c r="BE6" s="191">
        <f>'Functional Levels Drone Survey'!BE6-'Existing Levels Drone Survey'!BE6</f>
        <v>0</v>
      </c>
      <c r="BF6" s="191">
        <f>'Functional Levels Drone Survey'!BF6-'Existing Levels Drone Survey'!BF6</f>
        <v>0</v>
      </c>
      <c r="BG6" s="191">
        <f>'Functional Levels Drone Survey'!BG6-'Existing Levels Drone Survey'!BG6</f>
        <v>0</v>
      </c>
      <c r="BH6" s="191">
        <f>'Functional Levels Drone Survey'!BH6-'Existing Levels Drone Survey'!BH6</f>
        <v>0</v>
      </c>
      <c r="BI6" s="191">
        <f>'Functional Levels Drone Survey'!BI6-'Existing Levels Drone Survey'!BI6</f>
        <v>0</v>
      </c>
      <c r="BJ6" s="191">
        <f>'Functional Levels Drone Survey'!BJ6-'Existing Levels Drone Survey'!BJ6</f>
        <v>0</v>
      </c>
      <c r="BK6" s="191">
        <f>'Functional Levels Drone Survey'!BK6-'Existing Levels Drone Survey'!BK6</f>
        <v>0</v>
      </c>
      <c r="BL6" s="191">
        <f>'Functional Levels Drone Survey'!BL6-'Existing Levels Drone Survey'!BL6</f>
        <v>0</v>
      </c>
      <c r="BM6" s="191">
        <f>'Functional Levels Drone Survey'!BM6-'Existing Levels Drone Survey'!BM6</f>
        <v>0</v>
      </c>
      <c r="BN6" s="191">
        <f>'Functional Levels Drone Survey'!BN6-'Existing Levels Drone Survey'!BN6</f>
        <v>0</v>
      </c>
      <c r="BO6" s="191">
        <f>'Functional Levels Drone Survey'!BO6-'Existing Levels Drone Survey'!BO6</f>
        <v>0</v>
      </c>
      <c r="BP6" s="191">
        <f>'Functional Levels Drone Survey'!BP6-'Existing Levels Drone Survey'!BP6</f>
        <v>0</v>
      </c>
      <c r="BQ6" s="191">
        <f>'Functional Levels Drone Survey'!BQ6-'Existing Levels Drone Survey'!BQ6</f>
        <v>0</v>
      </c>
      <c r="BR6" s="191">
        <f>'Functional Levels Drone Survey'!BR6-'Existing Levels Drone Survey'!BR6</f>
        <v>0</v>
      </c>
      <c r="BS6" s="191">
        <f>'Functional Levels Drone Survey'!BS6-'Existing Levels Drone Survey'!BS6</f>
        <v>0</v>
      </c>
      <c r="BT6" s="191">
        <f>'Functional Levels Drone Survey'!BT6-'Existing Levels Drone Survey'!BT6</f>
        <v>0</v>
      </c>
      <c r="BU6" s="191">
        <f>'Functional Levels Drone Survey'!BU6-'Existing Levels Drone Survey'!BU6</f>
        <v>0</v>
      </c>
      <c r="BV6" s="191">
        <f>'Functional Levels Drone Survey'!BV6-'Existing Levels Drone Survey'!BV6</f>
        <v>0</v>
      </c>
      <c r="BW6" s="191">
        <f>'Functional Levels Drone Survey'!BW6-'Existing Levels Drone Survey'!BW6</f>
        <v>0</v>
      </c>
      <c r="BX6" s="191">
        <f>'Functional Levels Drone Survey'!BX6-'Existing Levels Drone Survey'!BX6</f>
        <v>0</v>
      </c>
      <c r="BY6" s="191">
        <f>'Functional Levels Drone Survey'!BY6-'Existing Levels Drone Survey'!BY6</f>
        <v>0</v>
      </c>
      <c r="BZ6" s="191">
        <f>'Functional Levels Drone Survey'!BZ6-'Existing Levels Drone Survey'!BZ6</f>
        <v>0</v>
      </c>
      <c r="CA6" s="191">
        <f>'Functional Levels Drone Survey'!CA6-'Existing Levels Drone Survey'!CA6</f>
        <v>0</v>
      </c>
      <c r="CB6" s="191">
        <f>'Functional Levels Drone Survey'!CB6-'Existing Levels Drone Survey'!CB6</f>
        <v>0</v>
      </c>
      <c r="CC6" s="191">
        <f>'Functional Levels Drone Survey'!CC6-'Existing Levels Drone Survey'!CC6</f>
        <v>0</v>
      </c>
      <c r="CD6" s="191">
        <f>'Functional Levels Drone Survey'!CD6-'Existing Levels Drone Survey'!CD6</f>
        <v>0</v>
      </c>
      <c r="CE6" s="191">
        <f>'Functional Levels Drone Survey'!CE6-'Existing Levels Drone Survey'!CE6</f>
        <v>0</v>
      </c>
      <c r="CF6" s="191">
        <f>'Functional Levels Drone Survey'!CF6-'Existing Levels Drone Survey'!CF6</f>
        <v>0</v>
      </c>
      <c r="CG6" s="191">
        <f>'Functional Levels Drone Survey'!CG6-'Existing Levels Drone Survey'!CG6</f>
        <v>0</v>
      </c>
      <c r="CH6" s="191">
        <f>'Functional Levels Drone Survey'!CH6-'Existing Levels Drone Survey'!CH6</f>
        <v>0</v>
      </c>
      <c r="CI6" s="191">
        <f>'Functional Levels Drone Survey'!CI6-'Existing Levels Drone Survey'!CI6</f>
        <v>0</v>
      </c>
      <c r="CJ6" s="191">
        <f>'Functional Levels Drone Survey'!CJ6-'Existing Levels Drone Survey'!CJ6</f>
        <v>0</v>
      </c>
      <c r="CK6" s="191">
        <f>'Functional Levels Drone Survey'!CK6-'Existing Levels Drone Survey'!CK6</f>
        <v>0</v>
      </c>
      <c r="CL6" s="191">
        <f>'Functional Levels Drone Survey'!CL6-'Existing Levels Drone Survey'!CL6</f>
        <v>0</v>
      </c>
      <c r="CM6" s="191">
        <f>'Functional Levels Drone Survey'!CM6-'Existing Levels Drone Survey'!CM6</f>
        <v>0</v>
      </c>
      <c r="CN6" s="191">
        <f>'Functional Levels Drone Survey'!CN6-'Existing Levels Drone Survey'!CN6</f>
        <v>0</v>
      </c>
      <c r="CO6" s="191">
        <f>'Functional Levels Drone Survey'!CO6-'Existing Levels Drone Survey'!CO6</f>
        <v>0</v>
      </c>
      <c r="CP6" s="191">
        <f>'Functional Levels Drone Survey'!CP6-'Existing Levels Drone Survey'!CP6</f>
        <v>0</v>
      </c>
      <c r="CQ6" s="191">
        <f>'Functional Levels Drone Survey'!CQ6-'Existing Levels Drone Survey'!CQ6</f>
        <v>0</v>
      </c>
      <c r="CR6" s="191">
        <f>'Functional Levels Drone Survey'!CR6-'Existing Levels Drone Survey'!CR6</f>
        <v>0</v>
      </c>
      <c r="CS6" s="191">
        <f>'Functional Levels Drone Survey'!CS6-'Existing Levels Drone Survey'!CS6</f>
        <v>0</v>
      </c>
      <c r="CT6" s="191">
        <f>'Functional Levels Drone Survey'!CT6-'Existing Levels Drone Survey'!CT6</f>
        <v>0</v>
      </c>
      <c r="CU6" s="191">
        <f>'Functional Levels Drone Survey'!CU6-'Existing Levels Drone Survey'!CU6</f>
        <v>0</v>
      </c>
      <c r="CV6" s="191">
        <f>'Functional Levels Drone Survey'!CV6-'Existing Levels Drone Survey'!CV6</f>
        <v>0</v>
      </c>
      <c r="CW6" s="191">
        <f>'Functional Levels Drone Survey'!CW6-'Existing Levels Drone Survey'!CW6</f>
        <v>0</v>
      </c>
      <c r="CX6" s="191">
        <f>'Functional Levels Drone Survey'!CX6-'Existing Levels Drone Survey'!CX6</f>
        <v>0</v>
      </c>
      <c r="CY6" s="191">
        <f>'Functional Levels Drone Survey'!CY6-'Existing Levels Drone Survey'!CY6</f>
        <v>0</v>
      </c>
      <c r="CZ6" s="191">
        <f>'Functional Levels Drone Survey'!CZ6-'Existing Levels Drone Survey'!CZ6</f>
        <v>0</v>
      </c>
      <c r="DA6" s="191">
        <f>'Functional Levels Drone Survey'!DA6-'Existing Levels Drone Survey'!DA6</f>
        <v>0</v>
      </c>
      <c r="DB6" s="191">
        <f>'Functional Levels Drone Survey'!DB6-'Existing Levels Drone Survey'!DB6</f>
        <v>0</v>
      </c>
      <c r="DC6" s="191">
        <f>'Functional Levels Drone Survey'!DC6-'Existing Levels Drone Survey'!DC6</f>
        <v>0</v>
      </c>
      <c r="DD6" s="191">
        <f>'Functional Levels Drone Survey'!DD6-'Existing Levels Drone Survey'!DD6</f>
        <v>0</v>
      </c>
      <c r="DE6" s="191">
        <f>'Functional Levels Drone Survey'!DE6-'Existing Levels Drone Survey'!DE6</f>
        <v>0</v>
      </c>
      <c r="DF6" s="191">
        <f>'Functional Levels Drone Survey'!DF6-'Existing Levels Drone Survey'!DF6</f>
        <v>0</v>
      </c>
      <c r="DG6" s="191">
        <f>'Functional Levels Drone Survey'!DG6-'Existing Levels Drone Survey'!DG6</f>
        <v>0</v>
      </c>
      <c r="DH6" s="191">
        <f>'Functional Levels Drone Survey'!DH6-'Existing Levels Drone Survey'!DH6</f>
        <v>0</v>
      </c>
      <c r="DI6" s="191">
        <f>'Functional Levels Drone Survey'!DI6-'Existing Levels Drone Survey'!DI6</f>
        <v>0</v>
      </c>
      <c r="DJ6" s="191">
        <f>'Functional Levels Drone Survey'!DJ6-'Existing Levels Drone Survey'!DJ6</f>
        <v>0</v>
      </c>
      <c r="DK6" s="191">
        <f>'Functional Levels Drone Survey'!DK6-'Existing Levels Drone Survey'!DK6</f>
        <v>0</v>
      </c>
      <c r="DL6" s="191">
        <f>'Functional Levels Drone Survey'!DL6-'Existing Levels Drone Survey'!DL6</f>
        <v>0</v>
      </c>
      <c r="DM6" s="191">
        <f>'Functional Levels Drone Survey'!DM6-'Existing Levels Drone Survey'!DM6</f>
        <v>0</v>
      </c>
      <c r="DN6" s="191">
        <f>'Functional Levels Drone Survey'!DN6-'Existing Levels Drone Survey'!DN6</f>
        <v>0</v>
      </c>
      <c r="DO6" s="191">
        <f>'Functional Levels Drone Survey'!DO6-'Existing Levels Drone Survey'!DO6</f>
        <v>0</v>
      </c>
      <c r="DP6" s="191">
        <f>'Functional Levels Drone Survey'!DP6-'Existing Levels Drone Survey'!DP6</f>
        <v>0</v>
      </c>
      <c r="DQ6" s="191">
        <f>'Functional Levels Drone Survey'!DQ6-'Existing Levels Drone Survey'!DQ6</f>
        <v>0</v>
      </c>
      <c r="DR6" s="191">
        <f>'Functional Levels Drone Survey'!DR6-'Existing Levels Drone Survey'!DR6</f>
        <v>0</v>
      </c>
      <c r="DS6" s="191">
        <f>'Functional Levels Drone Survey'!DS6-'Existing Levels Drone Survey'!DS6</f>
        <v>0</v>
      </c>
      <c r="DT6" s="191">
        <f>'Functional Levels Drone Survey'!DT6-'Existing Levels Drone Survey'!DT6</f>
        <v>0</v>
      </c>
      <c r="DU6" s="191">
        <f>'Functional Levels Drone Survey'!DU6-'Existing Levels Drone Survey'!DU6</f>
        <v>0</v>
      </c>
      <c r="DV6" s="191">
        <f>'Functional Levels Drone Survey'!DV6-'Existing Levels Drone Survey'!DV6</f>
        <v>0</v>
      </c>
      <c r="DW6" s="191">
        <f>'Functional Levels Drone Survey'!DW6-'Existing Levels Drone Survey'!DW6</f>
        <v>0</v>
      </c>
      <c r="DX6" s="191">
        <f>'Functional Levels Drone Survey'!DX6-'Existing Levels Drone Survey'!DX6</f>
        <v>0</v>
      </c>
      <c r="DY6" s="191">
        <f>'Functional Levels Drone Survey'!DY6-'Existing Levels Drone Survey'!DY6</f>
        <v>0</v>
      </c>
      <c r="DZ6" s="191">
        <f>'Functional Levels Drone Survey'!DZ6-'Existing Levels Drone Survey'!DZ6</f>
        <v>0</v>
      </c>
      <c r="EA6" s="191">
        <f>'Functional Levels Drone Survey'!EA6-'Existing Levels Drone Survey'!EA6</f>
        <v>0</v>
      </c>
      <c r="EB6" s="191">
        <f>'Functional Levels Drone Survey'!EB6-'Existing Levels Drone Survey'!EB6</f>
        <v>0</v>
      </c>
      <c r="EC6" s="191">
        <f>'Functional Levels Drone Survey'!EC6-'Existing Levels Drone Survey'!EC6</f>
        <v>0</v>
      </c>
      <c r="ED6" s="191">
        <f>'Functional Levels Drone Survey'!ED6-'Existing Levels Drone Survey'!ED6</f>
        <v>0</v>
      </c>
      <c r="EE6" s="191">
        <f>'Functional Levels Drone Survey'!EE6-'Existing Levels Drone Survey'!EE6</f>
        <v>0</v>
      </c>
      <c r="EF6" s="191">
        <f>'Functional Levels Drone Survey'!EF6-'Existing Levels Drone Survey'!EF6</f>
        <v>0</v>
      </c>
      <c r="EG6" s="191">
        <f>'Functional Levels Drone Survey'!EG6-'Existing Levels Drone Survey'!EG6</f>
        <v>0</v>
      </c>
      <c r="EH6" s="191">
        <f>'Functional Levels Drone Survey'!EH6-'Existing Levels Drone Survey'!EH6</f>
        <v>0</v>
      </c>
      <c r="EI6" s="191">
        <f>'Functional Levels Drone Survey'!EI6-'Existing Levels Drone Survey'!EI6</f>
        <v>0</v>
      </c>
      <c r="EJ6" s="191">
        <f>'Functional Levels Drone Survey'!EJ6-'Existing Levels Drone Survey'!EJ6</f>
        <v>0</v>
      </c>
      <c r="EK6" s="191">
        <f>'Functional Levels Drone Survey'!EK6-'Existing Levels Drone Survey'!EK6</f>
        <v>0</v>
      </c>
      <c r="EL6" s="191">
        <f>'Functional Levels Drone Survey'!EL6-'Existing Levels Drone Survey'!EL6</f>
        <v>0</v>
      </c>
      <c r="EM6" s="191">
        <f>'Functional Levels Drone Survey'!EM6-'Existing Levels Drone Survey'!EM6</f>
        <v>0</v>
      </c>
      <c r="EN6" s="191">
        <f>'Functional Levels Drone Survey'!EN6-'Existing Levels Drone Survey'!EN6</f>
        <v>0</v>
      </c>
      <c r="EO6" s="191">
        <f>'Functional Levels Drone Survey'!EO6-'Existing Levels Drone Survey'!EO6</f>
        <v>0</v>
      </c>
      <c r="EP6" s="191">
        <f>'Functional Levels Drone Survey'!EP6-'Existing Levels Drone Survey'!EP6</f>
        <v>0</v>
      </c>
      <c r="EQ6" s="191">
        <f>'Functional Levels Drone Survey'!EQ6-'Existing Levels Drone Survey'!EQ6</f>
        <v>0</v>
      </c>
      <c r="ER6" s="191">
        <f>'Functional Levels Drone Survey'!ER6-'Existing Levels Drone Survey'!ER6</f>
        <v>0</v>
      </c>
      <c r="ES6" s="191">
        <f>'Functional Levels Drone Survey'!ES6-'Existing Levels Drone Survey'!ES6</f>
        <v>0</v>
      </c>
      <c r="ET6" s="191">
        <f>'Functional Levels Drone Survey'!ET6-'Existing Levels Drone Survey'!ET6</f>
        <v>0</v>
      </c>
      <c r="EU6" s="191">
        <f>'Functional Levels Drone Survey'!EU6-'Existing Levels Drone Survey'!EU6</f>
        <v>0</v>
      </c>
      <c r="EV6" s="191">
        <f>'Functional Levels Drone Survey'!EV6-'Existing Levels Drone Survey'!EV6</f>
        <v>0</v>
      </c>
      <c r="EW6" s="191">
        <f>'Functional Levels Drone Survey'!EW6-'Existing Levels Drone Survey'!EW6</f>
        <v>0</v>
      </c>
      <c r="EX6" s="191">
        <f>'Functional Levels Drone Survey'!EX6-'Existing Levels Drone Survey'!EX6</f>
        <v>0</v>
      </c>
      <c r="EY6" s="191">
        <f>'Functional Levels Drone Survey'!EY6-'Existing Levels Drone Survey'!EY6</f>
        <v>0</v>
      </c>
    </row>
    <row r="7" spans="1:155" ht="45" customHeight="1" x14ac:dyDescent="0.45">
      <c r="A7" s="277">
        <v>30</v>
      </c>
      <c r="B7" s="191">
        <f>'Functional Levels Drone Survey'!B7-'Existing Levels Drone Survey'!B7</f>
        <v>0</v>
      </c>
      <c r="C7" s="191">
        <f>'Functional Levels Drone Survey'!C7-'Existing Levels Drone Survey'!C7</f>
        <v>0</v>
      </c>
      <c r="D7" s="191">
        <f>'Functional Levels Drone Survey'!D7-'Existing Levels Drone Survey'!D7</f>
        <v>0</v>
      </c>
      <c r="E7" s="191">
        <f>'Functional Levels Drone Survey'!E7-'Existing Levels Drone Survey'!E7</f>
        <v>0</v>
      </c>
      <c r="F7" s="191">
        <f>'Functional Levels Drone Survey'!F7-'Existing Levels Drone Survey'!F7</f>
        <v>0</v>
      </c>
      <c r="G7" s="191">
        <f>'Functional Levels Drone Survey'!G7-'Existing Levels Drone Survey'!G7</f>
        <v>0</v>
      </c>
      <c r="H7" s="191">
        <f>'Functional Levels Drone Survey'!H7-'Existing Levels Drone Survey'!H7</f>
        <v>0</v>
      </c>
      <c r="I7" s="191">
        <f>'Functional Levels Drone Survey'!I7-'Existing Levels Drone Survey'!I7</f>
        <v>0</v>
      </c>
      <c r="J7" s="191">
        <f>'Functional Levels Drone Survey'!J7-'Existing Levels Drone Survey'!J7</f>
        <v>0</v>
      </c>
      <c r="K7" s="191">
        <f>'Functional Levels Drone Survey'!K7-'Existing Levels Drone Survey'!K7</f>
        <v>0</v>
      </c>
      <c r="L7" s="191">
        <f>'Functional Levels Drone Survey'!L7-'Existing Levels Drone Survey'!L7</f>
        <v>0</v>
      </c>
      <c r="M7" s="191">
        <f>'Functional Levels Drone Survey'!M7-'Existing Levels Drone Survey'!M7</f>
        <v>0</v>
      </c>
      <c r="N7" s="191">
        <f>'Functional Levels Drone Survey'!N7-'Existing Levels Drone Survey'!N7</f>
        <v>0</v>
      </c>
      <c r="O7" s="191">
        <f>'Functional Levels Drone Survey'!O7-'Existing Levels Drone Survey'!O7</f>
        <v>0</v>
      </c>
      <c r="P7" s="191">
        <f>'Functional Levels Drone Survey'!P7-'Existing Levels Drone Survey'!P7</f>
        <v>0</v>
      </c>
      <c r="Q7" s="191">
        <f>'Functional Levels Drone Survey'!Q7-'Existing Levels Drone Survey'!Q7</f>
        <v>0</v>
      </c>
      <c r="R7" s="191">
        <f>'Functional Levels Drone Survey'!R7-'Existing Levels Drone Survey'!R7</f>
        <v>0</v>
      </c>
      <c r="S7" s="191">
        <f>'Functional Levels Drone Survey'!S7-'Existing Levels Drone Survey'!S7</f>
        <v>0</v>
      </c>
      <c r="T7" s="191">
        <f>'Functional Levels Drone Survey'!T7-'Existing Levels Drone Survey'!T7</f>
        <v>0</v>
      </c>
      <c r="U7" s="191">
        <f>'Functional Levels Drone Survey'!U7-'Existing Levels Drone Survey'!U7</f>
        <v>0</v>
      </c>
      <c r="V7" s="191">
        <f>'Functional Levels Drone Survey'!V7-'Existing Levels Drone Survey'!V7</f>
        <v>0</v>
      </c>
      <c r="W7" s="191">
        <f>'Functional Levels Drone Survey'!W7-'Existing Levels Drone Survey'!W7</f>
        <v>0</v>
      </c>
      <c r="X7" s="191">
        <f>'Functional Levels Drone Survey'!X7-'Existing Levels Drone Survey'!X7</f>
        <v>0</v>
      </c>
      <c r="Y7" s="191">
        <f>'Functional Levels Drone Survey'!Y7-'Existing Levels Drone Survey'!Y7</f>
        <v>0</v>
      </c>
      <c r="Z7" s="191">
        <f>'Functional Levels Drone Survey'!Z7-'Existing Levels Drone Survey'!Z7</f>
        <v>0</v>
      </c>
      <c r="AA7" s="191">
        <f>'Functional Levels Drone Survey'!AA7-'Existing Levels Drone Survey'!AA7</f>
        <v>0</v>
      </c>
      <c r="AB7" s="191">
        <f>'Functional Levels Drone Survey'!AB7-'Existing Levels Drone Survey'!AB7</f>
        <v>0</v>
      </c>
      <c r="AC7" s="191">
        <f>'Functional Levels Drone Survey'!AC7-'Existing Levels Drone Survey'!AC7</f>
        <v>0</v>
      </c>
      <c r="AD7" s="191">
        <f>'Functional Levels Drone Survey'!AD7-'Existing Levels Drone Survey'!AD7</f>
        <v>0</v>
      </c>
      <c r="AE7" s="191">
        <f>'Functional Levels Drone Survey'!AE7-'Existing Levels Drone Survey'!AE7</f>
        <v>0</v>
      </c>
      <c r="AF7" s="191">
        <f>'Functional Levels Drone Survey'!AF7-'Existing Levels Drone Survey'!AF7</f>
        <v>0</v>
      </c>
      <c r="AG7" s="191">
        <f>'Functional Levels Drone Survey'!AG7-'Existing Levels Drone Survey'!AG7</f>
        <v>0</v>
      </c>
      <c r="AH7" s="191">
        <f>'Functional Levels Drone Survey'!AH7-'Existing Levels Drone Survey'!AH7</f>
        <v>0</v>
      </c>
      <c r="AI7" s="191">
        <f>'Functional Levels Drone Survey'!AI7-'Existing Levels Drone Survey'!AI7</f>
        <v>0</v>
      </c>
      <c r="AJ7" s="191">
        <f>'Functional Levels Drone Survey'!AJ7-'Existing Levels Drone Survey'!AJ7</f>
        <v>0</v>
      </c>
      <c r="AK7" s="191">
        <f>'Functional Levels Drone Survey'!AK7-'Existing Levels Drone Survey'!AK7</f>
        <v>0</v>
      </c>
      <c r="AL7" s="191">
        <f>'Functional Levels Drone Survey'!AL7-'Existing Levels Drone Survey'!AL7</f>
        <v>0</v>
      </c>
      <c r="AM7" s="191">
        <f>'Functional Levels Drone Survey'!AM7-'Existing Levels Drone Survey'!AM7</f>
        <v>0</v>
      </c>
      <c r="AN7" s="191">
        <f>'Functional Levels Drone Survey'!AN7-'Existing Levels Drone Survey'!AN7</f>
        <v>0</v>
      </c>
      <c r="AO7" s="191">
        <f>'Functional Levels Drone Survey'!AO7-'Existing Levels Drone Survey'!AO7</f>
        <v>0</v>
      </c>
      <c r="AP7" s="191">
        <f>'Functional Levels Drone Survey'!AP7-'Existing Levels Drone Survey'!AP7</f>
        <v>0</v>
      </c>
      <c r="AQ7" s="191">
        <f>'Functional Levels Drone Survey'!AQ7-'Existing Levels Drone Survey'!AQ7</f>
        <v>0</v>
      </c>
      <c r="AR7" s="191">
        <f>'Functional Levels Drone Survey'!AR7-'Existing Levels Drone Survey'!AR7</f>
        <v>0</v>
      </c>
      <c r="AS7" s="191">
        <f>'Functional Levels Drone Survey'!AS7-'Existing Levels Drone Survey'!AS7</f>
        <v>0</v>
      </c>
      <c r="AT7" s="191">
        <f>'Functional Levels Drone Survey'!AT7-'Existing Levels Drone Survey'!AT7</f>
        <v>0</v>
      </c>
      <c r="AU7" s="191">
        <f>'Functional Levels Drone Survey'!AU7-'Existing Levels Drone Survey'!AU7</f>
        <v>0</v>
      </c>
      <c r="AV7" s="191">
        <f>'Functional Levels Drone Survey'!AV7-'Existing Levels Drone Survey'!AV7</f>
        <v>0</v>
      </c>
      <c r="AW7" s="191">
        <f>'Functional Levels Drone Survey'!AW7-'Existing Levels Drone Survey'!AW7</f>
        <v>0</v>
      </c>
      <c r="AX7" s="191">
        <f>'Functional Levels Drone Survey'!AX7-'Existing Levels Drone Survey'!AX7</f>
        <v>0</v>
      </c>
      <c r="AY7" s="191">
        <f>'Functional Levels Drone Survey'!AY7-'Existing Levels Drone Survey'!AY7</f>
        <v>0</v>
      </c>
      <c r="AZ7" s="191">
        <f>'Functional Levels Drone Survey'!AZ7-'Existing Levels Drone Survey'!AZ7</f>
        <v>0</v>
      </c>
      <c r="BA7" s="191">
        <f>'Functional Levels Drone Survey'!BA7-'Existing Levels Drone Survey'!BA7</f>
        <v>0</v>
      </c>
      <c r="BB7" s="191">
        <f>'Functional Levels Drone Survey'!BB7-'Existing Levels Drone Survey'!BB7</f>
        <v>0</v>
      </c>
      <c r="BC7" s="191">
        <f>'Functional Levels Drone Survey'!BC7-'Existing Levels Drone Survey'!BC7</f>
        <v>0</v>
      </c>
      <c r="BD7" s="191">
        <f>'Functional Levels Drone Survey'!BD7-'Existing Levels Drone Survey'!BD7</f>
        <v>0</v>
      </c>
      <c r="BE7" s="191">
        <f>'Functional Levels Drone Survey'!BE7-'Existing Levels Drone Survey'!BE7</f>
        <v>0</v>
      </c>
      <c r="BF7" s="191">
        <f>'Functional Levels Drone Survey'!BF7-'Existing Levels Drone Survey'!BF7</f>
        <v>0</v>
      </c>
      <c r="BG7" s="191">
        <f>'Functional Levels Drone Survey'!BG7-'Existing Levels Drone Survey'!BG7</f>
        <v>0</v>
      </c>
      <c r="BH7" s="191">
        <f>'Functional Levels Drone Survey'!BH7-'Existing Levels Drone Survey'!BH7</f>
        <v>0</v>
      </c>
      <c r="BI7" s="191">
        <f>'Functional Levels Drone Survey'!BI7-'Existing Levels Drone Survey'!BI7</f>
        <v>0</v>
      </c>
      <c r="BJ7" s="191">
        <f>'Functional Levels Drone Survey'!BJ7-'Existing Levels Drone Survey'!BJ7</f>
        <v>0</v>
      </c>
      <c r="BK7" s="191">
        <f>'Functional Levels Drone Survey'!BK7-'Existing Levels Drone Survey'!BK7</f>
        <v>0</v>
      </c>
      <c r="BL7" s="191">
        <f>'Functional Levels Drone Survey'!BL7-'Existing Levels Drone Survey'!BL7</f>
        <v>0</v>
      </c>
      <c r="BM7" s="191">
        <f>'Functional Levels Drone Survey'!BM7-'Existing Levels Drone Survey'!BM7</f>
        <v>0</v>
      </c>
      <c r="BN7" s="191">
        <f>'Functional Levels Drone Survey'!BN7-'Existing Levels Drone Survey'!BN7</f>
        <v>0</v>
      </c>
      <c r="BO7" s="191">
        <f>'Functional Levels Drone Survey'!BO7-'Existing Levels Drone Survey'!BO7</f>
        <v>0</v>
      </c>
      <c r="BP7" s="191">
        <f>'Functional Levels Drone Survey'!BP7-'Existing Levels Drone Survey'!BP7</f>
        <v>0</v>
      </c>
      <c r="BQ7" s="191">
        <f>'Functional Levels Drone Survey'!BQ7-'Existing Levels Drone Survey'!BQ7</f>
        <v>0</v>
      </c>
      <c r="BR7" s="191">
        <f>'Functional Levels Drone Survey'!BR7-'Existing Levels Drone Survey'!BR7</f>
        <v>0</v>
      </c>
      <c r="BS7" s="191">
        <f>'Functional Levels Drone Survey'!BS7-'Existing Levels Drone Survey'!BS7</f>
        <v>0</v>
      </c>
      <c r="BT7" s="191">
        <f>'Functional Levels Drone Survey'!BT7-'Existing Levels Drone Survey'!BT7</f>
        <v>0</v>
      </c>
      <c r="BU7" s="191">
        <f>'Functional Levels Drone Survey'!BU7-'Existing Levels Drone Survey'!BU7</f>
        <v>0</v>
      </c>
      <c r="BV7" s="191">
        <f>'Functional Levels Drone Survey'!BV7-'Existing Levels Drone Survey'!BV7</f>
        <v>0</v>
      </c>
      <c r="BW7" s="191">
        <f>'Functional Levels Drone Survey'!BW7-'Existing Levels Drone Survey'!BW7</f>
        <v>0</v>
      </c>
      <c r="BX7" s="191">
        <f>'Functional Levels Drone Survey'!BX7-'Existing Levels Drone Survey'!BX7</f>
        <v>0</v>
      </c>
      <c r="BY7" s="191">
        <f>'Functional Levels Drone Survey'!BY7-'Existing Levels Drone Survey'!BY7</f>
        <v>0</v>
      </c>
      <c r="BZ7" s="191">
        <f>'Functional Levels Drone Survey'!BZ7-'Existing Levels Drone Survey'!BZ7</f>
        <v>0</v>
      </c>
      <c r="CA7" s="191">
        <f>'Functional Levels Drone Survey'!CA7-'Existing Levels Drone Survey'!CA7</f>
        <v>0</v>
      </c>
      <c r="CB7" s="191">
        <f>'Functional Levels Drone Survey'!CB7-'Existing Levels Drone Survey'!CB7</f>
        <v>0</v>
      </c>
      <c r="CC7" s="191">
        <f>'Functional Levels Drone Survey'!CC7-'Existing Levels Drone Survey'!CC7</f>
        <v>0</v>
      </c>
      <c r="CD7" s="191">
        <f>'Functional Levels Drone Survey'!CD7-'Existing Levels Drone Survey'!CD7</f>
        <v>0</v>
      </c>
      <c r="CE7" s="191">
        <f>'Functional Levels Drone Survey'!CE7-'Existing Levels Drone Survey'!CE7</f>
        <v>0</v>
      </c>
      <c r="CF7" s="191">
        <f>'Functional Levels Drone Survey'!CF7-'Existing Levels Drone Survey'!CF7</f>
        <v>0</v>
      </c>
      <c r="CG7" s="191">
        <f>'Functional Levels Drone Survey'!CG7-'Existing Levels Drone Survey'!CG7</f>
        <v>0</v>
      </c>
      <c r="CH7" s="191">
        <f>'Functional Levels Drone Survey'!CH7-'Existing Levels Drone Survey'!CH7</f>
        <v>0</v>
      </c>
      <c r="CI7" s="191">
        <f>'Functional Levels Drone Survey'!CI7-'Existing Levels Drone Survey'!CI7</f>
        <v>0</v>
      </c>
      <c r="CJ7" s="191">
        <f>'Functional Levels Drone Survey'!CJ7-'Existing Levels Drone Survey'!CJ7</f>
        <v>0</v>
      </c>
      <c r="CK7" s="191">
        <f>'Functional Levels Drone Survey'!CK7-'Existing Levels Drone Survey'!CK7</f>
        <v>0</v>
      </c>
      <c r="CL7" s="191">
        <f>'Functional Levels Drone Survey'!CL7-'Existing Levels Drone Survey'!CL7</f>
        <v>0</v>
      </c>
      <c r="CM7" s="191">
        <f>'Functional Levels Drone Survey'!CM7-'Existing Levels Drone Survey'!CM7</f>
        <v>0</v>
      </c>
      <c r="CN7" s="191">
        <f>'Functional Levels Drone Survey'!CN7-'Existing Levels Drone Survey'!CN7</f>
        <v>0</v>
      </c>
      <c r="CO7" s="191">
        <f>'Functional Levels Drone Survey'!CO7-'Existing Levels Drone Survey'!CO7</f>
        <v>0</v>
      </c>
      <c r="CP7" s="191">
        <f>'Functional Levels Drone Survey'!CP7-'Existing Levels Drone Survey'!CP7</f>
        <v>0</v>
      </c>
      <c r="CQ7" s="191">
        <f>'Functional Levels Drone Survey'!CQ7-'Existing Levels Drone Survey'!CQ7</f>
        <v>0</v>
      </c>
      <c r="CR7" s="191">
        <f>'Functional Levels Drone Survey'!CR7-'Existing Levels Drone Survey'!CR7</f>
        <v>0</v>
      </c>
      <c r="CS7" s="191">
        <f>'Functional Levels Drone Survey'!CS7-'Existing Levels Drone Survey'!CS7</f>
        <v>0</v>
      </c>
      <c r="CT7" s="191">
        <f>'Functional Levels Drone Survey'!CT7-'Existing Levels Drone Survey'!CT7</f>
        <v>0</v>
      </c>
      <c r="CU7" s="191">
        <f>'Functional Levels Drone Survey'!CU7-'Existing Levels Drone Survey'!CU7</f>
        <v>0</v>
      </c>
      <c r="CV7" s="191">
        <f>'Functional Levels Drone Survey'!CV7-'Existing Levels Drone Survey'!CV7</f>
        <v>0</v>
      </c>
      <c r="CW7" s="191">
        <f>'Functional Levels Drone Survey'!CW7-'Existing Levels Drone Survey'!CW7</f>
        <v>0</v>
      </c>
      <c r="CX7" s="191">
        <f>'Functional Levels Drone Survey'!CX7-'Existing Levels Drone Survey'!CX7</f>
        <v>0</v>
      </c>
      <c r="CY7" s="191">
        <f>'Functional Levels Drone Survey'!CY7-'Existing Levels Drone Survey'!CY7</f>
        <v>0</v>
      </c>
      <c r="CZ7" s="191">
        <f>'Functional Levels Drone Survey'!CZ7-'Existing Levels Drone Survey'!CZ7</f>
        <v>0</v>
      </c>
      <c r="DA7" s="191">
        <f>'Functional Levels Drone Survey'!DA7-'Existing Levels Drone Survey'!DA7</f>
        <v>0</v>
      </c>
      <c r="DB7" s="191">
        <f>'Functional Levels Drone Survey'!DB7-'Existing Levels Drone Survey'!DB7</f>
        <v>0</v>
      </c>
      <c r="DC7" s="191">
        <f>'Functional Levels Drone Survey'!DC7-'Existing Levels Drone Survey'!DC7</f>
        <v>0</v>
      </c>
      <c r="DD7" s="191">
        <f>'Functional Levels Drone Survey'!DD7-'Existing Levels Drone Survey'!DD7</f>
        <v>0</v>
      </c>
      <c r="DE7" s="191">
        <f>'Functional Levels Drone Survey'!DE7-'Existing Levels Drone Survey'!DE7</f>
        <v>0</v>
      </c>
      <c r="DF7" s="191">
        <f>'Functional Levels Drone Survey'!DF7-'Existing Levels Drone Survey'!DF7</f>
        <v>0</v>
      </c>
      <c r="DG7" s="191">
        <f>'Functional Levels Drone Survey'!DG7-'Existing Levels Drone Survey'!DG7</f>
        <v>0</v>
      </c>
      <c r="DH7" s="191">
        <f>'Functional Levels Drone Survey'!DH7-'Existing Levels Drone Survey'!DH7</f>
        <v>0</v>
      </c>
      <c r="DI7" s="191">
        <f>'Functional Levels Drone Survey'!DI7-'Existing Levels Drone Survey'!DI7</f>
        <v>0</v>
      </c>
      <c r="DJ7" s="191">
        <f>'Functional Levels Drone Survey'!DJ7-'Existing Levels Drone Survey'!DJ7</f>
        <v>0</v>
      </c>
      <c r="DK7" s="191">
        <f>'Functional Levels Drone Survey'!DK7-'Existing Levels Drone Survey'!DK7</f>
        <v>0</v>
      </c>
      <c r="DL7" s="191">
        <f>'Functional Levels Drone Survey'!DL7-'Existing Levels Drone Survey'!DL7</f>
        <v>0</v>
      </c>
      <c r="DM7" s="191">
        <f>'Functional Levels Drone Survey'!DM7-'Existing Levels Drone Survey'!DM7</f>
        <v>0</v>
      </c>
      <c r="DN7" s="191">
        <f>'Functional Levels Drone Survey'!DN7-'Existing Levels Drone Survey'!DN7</f>
        <v>0</v>
      </c>
      <c r="DO7" s="191">
        <f>'Functional Levels Drone Survey'!DO7-'Existing Levels Drone Survey'!DO7</f>
        <v>0</v>
      </c>
      <c r="DP7" s="191">
        <f>'Functional Levels Drone Survey'!DP7-'Existing Levels Drone Survey'!DP7</f>
        <v>0</v>
      </c>
      <c r="DQ7" s="191">
        <f>'Functional Levels Drone Survey'!DQ7-'Existing Levels Drone Survey'!DQ7</f>
        <v>0</v>
      </c>
      <c r="DR7" s="191">
        <f>'Functional Levels Drone Survey'!DR7-'Existing Levels Drone Survey'!DR7</f>
        <v>0</v>
      </c>
      <c r="DS7" s="191">
        <f>'Functional Levels Drone Survey'!DS7-'Existing Levels Drone Survey'!DS7</f>
        <v>0</v>
      </c>
      <c r="DT7" s="191">
        <f>'Functional Levels Drone Survey'!DT7-'Existing Levels Drone Survey'!DT7</f>
        <v>0</v>
      </c>
      <c r="DU7" s="191">
        <f>'Functional Levels Drone Survey'!DU7-'Existing Levels Drone Survey'!DU7</f>
        <v>0</v>
      </c>
      <c r="DV7" s="191">
        <f>'Functional Levels Drone Survey'!DV7-'Existing Levels Drone Survey'!DV7</f>
        <v>0</v>
      </c>
      <c r="DW7" s="191">
        <f>'Functional Levels Drone Survey'!DW7-'Existing Levels Drone Survey'!DW7</f>
        <v>0</v>
      </c>
      <c r="DX7" s="278">
        <f>'Functional Levels Drone Survey'!DX7-'Existing Levels Drone Survey'!DX7</f>
        <v>-0.84040000000004511</v>
      </c>
      <c r="DY7" s="278">
        <f>'Functional Levels Drone Survey'!DY7-'Existing Levels Drone Survey'!DY7</f>
        <v>0.27219999999994116</v>
      </c>
      <c r="DZ7" s="278">
        <f>'Functional Levels Drone Survey'!DZ7-'Existing Levels Drone Survey'!DZ7</f>
        <v>-0.31440000000003465</v>
      </c>
      <c r="EA7" s="278">
        <f>'Functional Levels Drone Survey'!EA7-'Existing Levels Drone Survey'!EA7</f>
        <v>0.22529999999994743</v>
      </c>
      <c r="EB7" s="278">
        <f>'Functional Levels Drone Survey'!EB7-'Existing Levels Drone Survey'!EB7</f>
        <v>0.18069999999994479</v>
      </c>
      <c r="EC7" s="278">
        <f>'Functional Levels Drone Survey'!EC7-'Existing Levels Drone Survey'!EC7</f>
        <v>0.64249999999998408</v>
      </c>
      <c r="ED7" s="278">
        <f>'Functional Levels Drone Survey'!ED7-'Existing Levels Drone Survey'!ED7</f>
        <v>0.12729999999999109</v>
      </c>
      <c r="EE7" s="278">
        <f>'Functional Levels Drone Survey'!EE7-'Existing Levels Drone Survey'!EE7</f>
        <v>-0.29910000000000991</v>
      </c>
      <c r="EF7" s="278">
        <f>'Functional Levels Drone Survey'!EF7-'Existing Levels Drone Survey'!EF7</f>
        <v>-0.43790000000001328</v>
      </c>
      <c r="EG7" s="191">
        <f>'Functional Levels Drone Survey'!EG7-'Existing Levels Drone Survey'!EG7</f>
        <v>0</v>
      </c>
      <c r="EH7" s="191">
        <f>'Functional Levels Drone Survey'!EH7-'Existing Levels Drone Survey'!EH7</f>
        <v>0</v>
      </c>
      <c r="EI7" s="191">
        <f>'Functional Levels Drone Survey'!EI7-'Existing Levels Drone Survey'!EI7</f>
        <v>0</v>
      </c>
      <c r="EJ7" s="191">
        <f>'Functional Levels Drone Survey'!EJ7-'Existing Levels Drone Survey'!EJ7</f>
        <v>0</v>
      </c>
      <c r="EK7" s="191">
        <f>'Functional Levels Drone Survey'!EK7-'Existing Levels Drone Survey'!EK7</f>
        <v>0</v>
      </c>
      <c r="EL7" s="191">
        <f>'Functional Levels Drone Survey'!EL7-'Existing Levels Drone Survey'!EL7</f>
        <v>0</v>
      </c>
      <c r="EM7" s="191">
        <f>'Functional Levels Drone Survey'!EM7-'Existing Levels Drone Survey'!EM7</f>
        <v>0</v>
      </c>
      <c r="EN7" s="191">
        <f>'Functional Levels Drone Survey'!EN7-'Existing Levels Drone Survey'!EN7</f>
        <v>0</v>
      </c>
      <c r="EO7" s="191">
        <f>'Functional Levels Drone Survey'!EO7-'Existing Levels Drone Survey'!EO7</f>
        <v>0</v>
      </c>
      <c r="EP7" s="191">
        <f>'Functional Levels Drone Survey'!EP7-'Existing Levels Drone Survey'!EP7</f>
        <v>0</v>
      </c>
      <c r="EQ7" s="191">
        <f>'Functional Levels Drone Survey'!EQ7-'Existing Levels Drone Survey'!EQ7</f>
        <v>0</v>
      </c>
      <c r="ER7" s="191">
        <f>'Functional Levels Drone Survey'!ER7-'Existing Levels Drone Survey'!ER7</f>
        <v>0</v>
      </c>
      <c r="ES7" s="191">
        <f>'Functional Levels Drone Survey'!ES7-'Existing Levels Drone Survey'!ES7</f>
        <v>0</v>
      </c>
      <c r="ET7" s="191">
        <f>'Functional Levels Drone Survey'!ET7-'Existing Levels Drone Survey'!ET7</f>
        <v>0</v>
      </c>
      <c r="EU7" s="191">
        <f>'Functional Levels Drone Survey'!EU7-'Existing Levels Drone Survey'!EU7</f>
        <v>0</v>
      </c>
      <c r="EV7" s="191">
        <f>'Functional Levels Drone Survey'!EV7-'Existing Levels Drone Survey'!EV7</f>
        <v>0</v>
      </c>
      <c r="EW7" s="191">
        <f>'Functional Levels Drone Survey'!EW7-'Existing Levels Drone Survey'!EW7</f>
        <v>0</v>
      </c>
      <c r="EX7" s="191">
        <f>'Functional Levels Drone Survey'!EX7-'Existing Levels Drone Survey'!EX7</f>
        <v>0</v>
      </c>
      <c r="EY7" s="191">
        <f>'Functional Levels Drone Survey'!EY7-'Existing Levels Drone Survey'!EY7</f>
        <v>0</v>
      </c>
    </row>
    <row r="8" spans="1:155" ht="45" customHeight="1" x14ac:dyDescent="0.45">
      <c r="A8" s="277">
        <v>35</v>
      </c>
      <c r="B8" s="191">
        <f>'Functional Levels Drone Survey'!B8-'Existing Levels Drone Survey'!B8</f>
        <v>0</v>
      </c>
      <c r="C8" s="191">
        <f>'Functional Levels Drone Survey'!C8-'Existing Levels Drone Survey'!C8</f>
        <v>0</v>
      </c>
      <c r="D8" s="191">
        <f>'Functional Levels Drone Survey'!D8-'Existing Levels Drone Survey'!D8</f>
        <v>0</v>
      </c>
      <c r="E8" s="191">
        <f>'Functional Levels Drone Survey'!E8-'Existing Levels Drone Survey'!E8</f>
        <v>0</v>
      </c>
      <c r="F8" s="191">
        <f>'Functional Levels Drone Survey'!F8-'Existing Levels Drone Survey'!F8</f>
        <v>0</v>
      </c>
      <c r="G8" s="191">
        <f>'Functional Levels Drone Survey'!G8-'Existing Levels Drone Survey'!G8</f>
        <v>0</v>
      </c>
      <c r="H8" s="191">
        <f>'Functional Levels Drone Survey'!H8-'Existing Levels Drone Survey'!H8</f>
        <v>0</v>
      </c>
      <c r="I8" s="191">
        <f>'Functional Levels Drone Survey'!I8-'Existing Levels Drone Survey'!I8</f>
        <v>0</v>
      </c>
      <c r="J8" s="191">
        <f>'Functional Levels Drone Survey'!J8-'Existing Levels Drone Survey'!J8</f>
        <v>0</v>
      </c>
      <c r="K8" s="191">
        <f>'Functional Levels Drone Survey'!K8-'Existing Levels Drone Survey'!K8</f>
        <v>0</v>
      </c>
      <c r="L8" s="191">
        <f>'Functional Levels Drone Survey'!L8-'Existing Levels Drone Survey'!L8</f>
        <v>0</v>
      </c>
      <c r="M8" s="191">
        <f>'Functional Levels Drone Survey'!M8-'Existing Levels Drone Survey'!M8</f>
        <v>0</v>
      </c>
      <c r="N8" s="191">
        <f>'Functional Levels Drone Survey'!N8-'Existing Levels Drone Survey'!N8</f>
        <v>0</v>
      </c>
      <c r="O8" s="191">
        <f>'Functional Levels Drone Survey'!O8-'Existing Levels Drone Survey'!O8</f>
        <v>0</v>
      </c>
      <c r="P8" s="191">
        <f>'Functional Levels Drone Survey'!P8-'Existing Levels Drone Survey'!P8</f>
        <v>0</v>
      </c>
      <c r="Q8" s="191">
        <f>'Functional Levels Drone Survey'!Q8-'Existing Levels Drone Survey'!Q8</f>
        <v>0</v>
      </c>
      <c r="R8" s="191">
        <f>'Functional Levels Drone Survey'!R8-'Existing Levels Drone Survey'!R8</f>
        <v>0</v>
      </c>
      <c r="S8" s="191">
        <f>'Functional Levels Drone Survey'!S8-'Existing Levels Drone Survey'!S8</f>
        <v>0</v>
      </c>
      <c r="T8" s="191">
        <f>'Functional Levels Drone Survey'!T8-'Existing Levels Drone Survey'!T8</f>
        <v>0</v>
      </c>
      <c r="U8" s="191">
        <f>'Functional Levels Drone Survey'!U8-'Existing Levels Drone Survey'!U8</f>
        <v>0</v>
      </c>
      <c r="V8" s="191">
        <f>'Functional Levels Drone Survey'!V8-'Existing Levels Drone Survey'!V8</f>
        <v>0</v>
      </c>
      <c r="W8" s="191">
        <f>'Functional Levels Drone Survey'!W8-'Existing Levels Drone Survey'!W8</f>
        <v>0</v>
      </c>
      <c r="X8" s="191">
        <f>'Functional Levels Drone Survey'!X8-'Existing Levels Drone Survey'!X8</f>
        <v>0</v>
      </c>
      <c r="Y8" s="191">
        <f>'Functional Levels Drone Survey'!Y8-'Existing Levels Drone Survey'!Y8</f>
        <v>0</v>
      </c>
      <c r="Z8" s="191">
        <f>'Functional Levels Drone Survey'!Z8-'Existing Levels Drone Survey'!Z8</f>
        <v>0</v>
      </c>
      <c r="AA8" s="191">
        <f>'Functional Levels Drone Survey'!AA8-'Existing Levels Drone Survey'!AA8</f>
        <v>0</v>
      </c>
      <c r="AB8" s="191">
        <f>'Functional Levels Drone Survey'!AB8-'Existing Levels Drone Survey'!AB8</f>
        <v>0</v>
      </c>
      <c r="AC8" s="191">
        <f>'Functional Levels Drone Survey'!AC8-'Existing Levels Drone Survey'!AC8</f>
        <v>0</v>
      </c>
      <c r="AD8" s="191">
        <f>'Functional Levels Drone Survey'!AD8-'Existing Levels Drone Survey'!AD8</f>
        <v>0</v>
      </c>
      <c r="AE8" s="191">
        <f>'Functional Levels Drone Survey'!AE8-'Existing Levels Drone Survey'!AE8</f>
        <v>0</v>
      </c>
      <c r="AF8" s="191">
        <f>'Functional Levels Drone Survey'!AF8-'Existing Levels Drone Survey'!AF8</f>
        <v>0</v>
      </c>
      <c r="AG8" s="191">
        <f>'Functional Levels Drone Survey'!AG8-'Existing Levels Drone Survey'!AG8</f>
        <v>0</v>
      </c>
      <c r="AH8" s="191">
        <f>'Functional Levels Drone Survey'!AH8-'Existing Levels Drone Survey'!AH8</f>
        <v>0</v>
      </c>
      <c r="AI8" s="191">
        <f>'Functional Levels Drone Survey'!AI8-'Existing Levels Drone Survey'!AI8</f>
        <v>0</v>
      </c>
      <c r="AJ8" s="191">
        <f>'Functional Levels Drone Survey'!AJ8-'Existing Levels Drone Survey'!AJ8</f>
        <v>0</v>
      </c>
      <c r="AK8" s="191">
        <f>'Functional Levels Drone Survey'!AK8-'Existing Levels Drone Survey'!AK8</f>
        <v>0</v>
      </c>
      <c r="AL8" s="191">
        <f>'Functional Levels Drone Survey'!AL8-'Existing Levels Drone Survey'!AL8</f>
        <v>0</v>
      </c>
      <c r="AM8" s="191">
        <f>'Functional Levels Drone Survey'!AM8-'Existing Levels Drone Survey'!AM8</f>
        <v>0</v>
      </c>
      <c r="AN8" s="191">
        <f>'Functional Levels Drone Survey'!AN8-'Existing Levels Drone Survey'!AN8</f>
        <v>0</v>
      </c>
      <c r="AO8" s="191">
        <f>'Functional Levels Drone Survey'!AO8-'Existing Levels Drone Survey'!AO8</f>
        <v>0</v>
      </c>
      <c r="AP8" s="191">
        <f>'Functional Levels Drone Survey'!AP8-'Existing Levels Drone Survey'!AP8</f>
        <v>0</v>
      </c>
      <c r="AQ8" s="191">
        <f>'Functional Levels Drone Survey'!AQ8-'Existing Levels Drone Survey'!AQ8</f>
        <v>0</v>
      </c>
      <c r="AR8" s="191">
        <f>'Functional Levels Drone Survey'!AR8-'Existing Levels Drone Survey'!AR8</f>
        <v>0</v>
      </c>
      <c r="AS8" s="191">
        <f>'Functional Levels Drone Survey'!AS8-'Existing Levels Drone Survey'!AS8</f>
        <v>0</v>
      </c>
      <c r="AT8" s="191">
        <f>'Functional Levels Drone Survey'!AT8-'Existing Levels Drone Survey'!AT8</f>
        <v>0</v>
      </c>
      <c r="AU8" s="191">
        <f>'Functional Levels Drone Survey'!AU8-'Existing Levels Drone Survey'!AU8</f>
        <v>0</v>
      </c>
      <c r="AV8" s="191">
        <f>'Functional Levels Drone Survey'!AV8-'Existing Levels Drone Survey'!AV8</f>
        <v>0</v>
      </c>
      <c r="AW8" s="191">
        <f>'Functional Levels Drone Survey'!AW8-'Existing Levels Drone Survey'!AW8</f>
        <v>0</v>
      </c>
      <c r="AX8" s="191">
        <f>'Functional Levels Drone Survey'!AX8-'Existing Levels Drone Survey'!AX8</f>
        <v>0</v>
      </c>
      <c r="AY8" s="191">
        <f>'Functional Levels Drone Survey'!AY8-'Existing Levels Drone Survey'!AY8</f>
        <v>0</v>
      </c>
      <c r="AZ8" s="191">
        <f>'Functional Levels Drone Survey'!AZ8-'Existing Levels Drone Survey'!AZ8</f>
        <v>0</v>
      </c>
      <c r="BA8" s="191">
        <f>'Functional Levels Drone Survey'!BA8-'Existing Levels Drone Survey'!BA8</f>
        <v>0</v>
      </c>
      <c r="BB8" s="191">
        <f>'Functional Levels Drone Survey'!BB8-'Existing Levels Drone Survey'!BB8</f>
        <v>0</v>
      </c>
      <c r="BC8" s="191">
        <f>'Functional Levels Drone Survey'!BC8-'Existing Levels Drone Survey'!BC8</f>
        <v>0</v>
      </c>
      <c r="BD8" s="191">
        <f>'Functional Levels Drone Survey'!BD8-'Existing Levels Drone Survey'!BD8</f>
        <v>0</v>
      </c>
      <c r="BE8" s="191">
        <f>'Functional Levels Drone Survey'!BE8-'Existing Levels Drone Survey'!BE8</f>
        <v>0</v>
      </c>
      <c r="BF8" s="191">
        <f>'Functional Levels Drone Survey'!BF8-'Existing Levels Drone Survey'!BF8</f>
        <v>0</v>
      </c>
      <c r="BG8" s="191">
        <f>'Functional Levels Drone Survey'!BG8-'Existing Levels Drone Survey'!BG8</f>
        <v>0</v>
      </c>
      <c r="BH8" s="191">
        <f>'Functional Levels Drone Survey'!BH8-'Existing Levels Drone Survey'!BH8</f>
        <v>0</v>
      </c>
      <c r="BI8" s="191">
        <f>'Functional Levels Drone Survey'!BI8-'Existing Levels Drone Survey'!BI8</f>
        <v>0</v>
      </c>
      <c r="BJ8" s="191">
        <f>'Functional Levels Drone Survey'!BJ8-'Existing Levels Drone Survey'!BJ8</f>
        <v>0</v>
      </c>
      <c r="BK8" s="191">
        <f>'Functional Levels Drone Survey'!BK8-'Existing Levels Drone Survey'!BK8</f>
        <v>0</v>
      </c>
      <c r="BL8" s="191">
        <f>'Functional Levels Drone Survey'!BL8-'Existing Levels Drone Survey'!BL8</f>
        <v>0</v>
      </c>
      <c r="BM8" s="191">
        <f>'Functional Levels Drone Survey'!BM8-'Existing Levels Drone Survey'!BM8</f>
        <v>0</v>
      </c>
      <c r="BN8" s="191">
        <f>'Functional Levels Drone Survey'!BN8-'Existing Levels Drone Survey'!BN8</f>
        <v>0</v>
      </c>
      <c r="BO8" s="191">
        <f>'Functional Levels Drone Survey'!BO8-'Existing Levels Drone Survey'!BO8</f>
        <v>0</v>
      </c>
      <c r="BP8" s="191">
        <f>'Functional Levels Drone Survey'!BP8-'Existing Levels Drone Survey'!BP8</f>
        <v>0</v>
      </c>
      <c r="BQ8" s="191">
        <f>'Functional Levels Drone Survey'!BQ8-'Existing Levels Drone Survey'!BQ8</f>
        <v>0</v>
      </c>
      <c r="BR8" s="191">
        <f>'Functional Levels Drone Survey'!BR8-'Existing Levels Drone Survey'!BR8</f>
        <v>0</v>
      </c>
      <c r="BS8" s="191">
        <f>'Functional Levels Drone Survey'!BS8-'Existing Levels Drone Survey'!BS8</f>
        <v>0</v>
      </c>
      <c r="BT8" s="191">
        <f>'Functional Levels Drone Survey'!BT8-'Existing Levels Drone Survey'!BT8</f>
        <v>0</v>
      </c>
      <c r="BU8" s="191">
        <f>'Functional Levels Drone Survey'!BU8-'Existing Levels Drone Survey'!BU8</f>
        <v>0</v>
      </c>
      <c r="BV8" s="191">
        <f>'Functional Levels Drone Survey'!BV8-'Existing Levels Drone Survey'!BV8</f>
        <v>0</v>
      </c>
      <c r="BW8" s="191">
        <f>'Functional Levels Drone Survey'!BW8-'Existing Levels Drone Survey'!BW8</f>
        <v>0</v>
      </c>
      <c r="BX8" s="191">
        <f>'Functional Levels Drone Survey'!BX8-'Existing Levels Drone Survey'!BX8</f>
        <v>0</v>
      </c>
      <c r="BY8" s="191">
        <f>'Functional Levels Drone Survey'!BY8-'Existing Levels Drone Survey'!BY8</f>
        <v>0</v>
      </c>
      <c r="BZ8" s="191">
        <f>'Functional Levels Drone Survey'!BZ8-'Existing Levels Drone Survey'!BZ8</f>
        <v>0</v>
      </c>
      <c r="CA8" s="191">
        <f>'Functional Levels Drone Survey'!CA8-'Existing Levels Drone Survey'!CA8</f>
        <v>0</v>
      </c>
      <c r="CB8" s="191">
        <f>'Functional Levels Drone Survey'!CB8-'Existing Levels Drone Survey'!CB8</f>
        <v>0</v>
      </c>
      <c r="CC8" s="191">
        <f>'Functional Levels Drone Survey'!CC8-'Existing Levels Drone Survey'!CC8</f>
        <v>0</v>
      </c>
      <c r="CD8" s="191">
        <f>'Functional Levels Drone Survey'!CD8-'Existing Levels Drone Survey'!CD8</f>
        <v>0</v>
      </c>
      <c r="CE8" s="191">
        <f>'Functional Levels Drone Survey'!CE8-'Existing Levels Drone Survey'!CE8</f>
        <v>0</v>
      </c>
      <c r="CF8" s="191">
        <f>'Functional Levels Drone Survey'!CF8-'Existing Levels Drone Survey'!CF8</f>
        <v>0</v>
      </c>
      <c r="CG8" s="191">
        <f>'Functional Levels Drone Survey'!CG8-'Existing Levels Drone Survey'!CG8</f>
        <v>0</v>
      </c>
      <c r="CH8" s="191">
        <f>'Functional Levels Drone Survey'!CH8-'Existing Levels Drone Survey'!CH8</f>
        <v>0</v>
      </c>
      <c r="CI8" s="191">
        <f>'Functional Levels Drone Survey'!CI8-'Existing Levels Drone Survey'!CI8</f>
        <v>0</v>
      </c>
      <c r="CJ8" s="191">
        <f>'Functional Levels Drone Survey'!CJ8-'Existing Levels Drone Survey'!CJ8</f>
        <v>0</v>
      </c>
      <c r="CK8" s="191">
        <f>'Functional Levels Drone Survey'!CK8-'Existing Levels Drone Survey'!CK8</f>
        <v>0</v>
      </c>
      <c r="CL8" s="191">
        <f>'Functional Levels Drone Survey'!CL8-'Existing Levels Drone Survey'!CL8</f>
        <v>0</v>
      </c>
      <c r="CM8" s="191">
        <f>'Functional Levels Drone Survey'!CM8-'Existing Levels Drone Survey'!CM8</f>
        <v>0</v>
      </c>
      <c r="CN8" s="191">
        <f>'Functional Levels Drone Survey'!CN8-'Existing Levels Drone Survey'!CN8</f>
        <v>0</v>
      </c>
      <c r="CO8" s="191">
        <f>'Functional Levels Drone Survey'!CO8-'Existing Levels Drone Survey'!CO8</f>
        <v>0</v>
      </c>
      <c r="CP8" s="191">
        <f>'Functional Levels Drone Survey'!CP8-'Existing Levels Drone Survey'!CP8</f>
        <v>0</v>
      </c>
      <c r="CQ8" s="191">
        <f>'Functional Levels Drone Survey'!CQ8-'Existing Levels Drone Survey'!CQ8</f>
        <v>0</v>
      </c>
      <c r="CR8" s="191">
        <f>'Functional Levels Drone Survey'!CR8-'Existing Levels Drone Survey'!CR8</f>
        <v>0</v>
      </c>
      <c r="CS8" s="191">
        <f>'Functional Levels Drone Survey'!CS8-'Existing Levels Drone Survey'!CS8</f>
        <v>0</v>
      </c>
      <c r="CT8" s="191">
        <f>'Functional Levels Drone Survey'!CT8-'Existing Levels Drone Survey'!CT8</f>
        <v>0</v>
      </c>
      <c r="CU8" s="191">
        <f>'Functional Levels Drone Survey'!CU8-'Existing Levels Drone Survey'!CU8</f>
        <v>0</v>
      </c>
      <c r="CV8" s="191">
        <f>'Functional Levels Drone Survey'!CV8-'Existing Levels Drone Survey'!CV8</f>
        <v>0</v>
      </c>
      <c r="CW8" s="191">
        <f>'Functional Levels Drone Survey'!CW8-'Existing Levels Drone Survey'!CW8</f>
        <v>0</v>
      </c>
      <c r="CX8" s="191">
        <f>'Functional Levels Drone Survey'!CX8-'Existing Levels Drone Survey'!CX8</f>
        <v>0</v>
      </c>
      <c r="CY8" s="191">
        <f>'Functional Levels Drone Survey'!CY8-'Existing Levels Drone Survey'!CY8</f>
        <v>0</v>
      </c>
      <c r="CZ8" s="191">
        <f>'Functional Levels Drone Survey'!CZ8-'Existing Levels Drone Survey'!CZ8</f>
        <v>0</v>
      </c>
      <c r="DA8" s="191">
        <f>'Functional Levels Drone Survey'!DA8-'Existing Levels Drone Survey'!DA8</f>
        <v>0</v>
      </c>
      <c r="DB8" s="191">
        <f>'Functional Levels Drone Survey'!DB8-'Existing Levels Drone Survey'!DB8</f>
        <v>0</v>
      </c>
      <c r="DC8" s="191">
        <f>'Functional Levels Drone Survey'!DC8-'Existing Levels Drone Survey'!DC8</f>
        <v>0</v>
      </c>
      <c r="DD8" s="191">
        <f>'Functional Levels Drone Survey'!DD8-'Existing Levels Drone Survey'!DD8</f>
        <v>0</v>
      </c>
      <c r="DE8" s="191">
        <f>'Functional Levels Drone Survey'!DE8-'Existing Levels Drone Survey'!DE8</f>
        <v>0</v>
      </c>
      <c r="DF8" s="191">
        <f>'Functional Levels Drone Survey'!DF8-'Existing Levels Drone Survey'!DF8</f>
        <v>0</v>
      </c>
      <c r="DG8" s="191">
        <f>'Functional Levels Drone Survey'!DG8-'Existing Levels Drone Survey'!DG8</f>
        <v>0</v>
      </c>
      <c r="DH8" s="191">
        <f>'Functional Levels Drone Survey'!DH8-'Existing Levels Drone Survey'!DH8</f>
        <v>0</v>
      </c>
      <c r="DI8" s="191">
        <f>'Functional Levels Drone Survey'!DI8-'Existing Levels Drone Survey'!DI8</f>
        <v>0</v>
      </c>
      <c r="DJ8" s="191">
        <f>'Functional Levels Drone Survey'!DJ8-'Existing Levels Drone Survey'!DJ8</f>
        <v>0</v>
      </c>
      <c r="DK8" s="191">
        <f>'Functional Levels Drone Survey'!DK8-'Existing Levels Drone Survey'!DK8</f>
        <v>0</v>
      </c>
      <c r="DL8" s="191">
        <f>'Functional Levels Drone Survey'!DL8-'Existing Levels Drone Survey'!DL8</f>
        <v>0</v>
      </c>
      <c r="DM8" s="191">
        <f>'Functional Levels Drone Survey'!DM8-'Existing Levels Drone Survey'!DM8</f>
        <v>0</v>
      </c>
      <c r="DN8" s="191">
        <f>'Functional Levels Drone Survey'!DN8-'Existing Levels Drone Survey'!DN8</f>
        <v>0</v>
      </c>
      <c r="DO8" s="191">
        <f>'Functional Levels Drone Survey'!DO8-'Existing Levels Drone Survey'!DO8</f>
        <v>0</v>
      </c>
      <c r="DP8" s="191">
        <f>'Functional Levels Drone Survey'!DP8-'Existing Levels Drone Survey'!DP8</f>
        <v>0</v>
      </c>
      <c r="DQ8" s="191">
        <f>'Functional Levels Drone Survey'!DQ8-'Existing Levels Drone Survey'!DQ8</f>
        <v>0</v>
      </c>
      <c r="DR8" s="191">
        <f>'Functional Levels Drone Survey'!DR8-'Existing Levels Drone Survey'!DR8</f>
        <v>0</v>
      </c>
      <c r="DS8" s="191">
        <f>'Functional Levels Drone Survey'!DS8-'Existing Levels Drone Survey'!DS8</f>
        <v>0</v>
      </c>
      <c r="DT8" s="191">
        <f>'Functional Levels Drone Survey'!DT8-'Existing Levels Drone Survey'!DT8</f>
        <v>0</v>
      </c>
      <c r="DU8" s="191">
        <f>'Functional Levels Drone Survey'!DU8-'Existing Levels Drone Survey'!DU8</f>
        <v>0</v>
      </c>
      <c r="DV8" s="278">
        <f>'Functional Levels Drone Survey'!DV8-'Existing Levels Drone Survey'!DV8</f>
        <v>-0.65800000000001546</v>
      </c>
      <c r="DW8" s="278">
        <f>'Functional Levels Drone Survey'!DW8-'Existing Levels Drone Survey'!DW8</f>
        <v>0.19109999999994898</v>
      </c>
      <c r="DX8" s="191">
        <f>'Functional Levels Drone Survey'!DX8-'Existing Levels Drone Survey'!DX8</f>
        <v>-0.23630000000002838</v>
      </c>
      <c r="DY8" s="191">
        <f>'Functional Levels Drone Survey'!DY8-'Existing Levels Drone Survey'!DY8</f>
        <v>-1.0581000000000245</v>
      </c>
      <c r="DZ8" s="191">
        <f>'Functional Levels Drone Survey'!DZ8-'Existing Levels Drone Survey'!DZ8</f>
        <v>-0.66840000000001965</v>
      </c>
      <c r="EA8" s="191">
        <f>'Functional Levels Drone Survey'!EA8-'Existing Levels Drone Survey'!EA8</f>
        <v>-0.49320000000005848</v>
      </c>
      <c r="EB8" s="191">
        <f>'Functional Levels Drone Survey'!EB8-'Existing Levels Drone Survey'!EB8</f>
        <v>-0.42400000000003502</v>
      </c>
      <c r="EC8" s="191">
        <f>'Functional Levels Drone Survey'!EC8-'Existing Levels Drone Survey'!EC8</f>
        <v>-0.41320000000001755</v>
      </c>
      <c r="ED8" s="191">
        <f>'Functional Levels Drone Survey'!ED8-'Existing Levels Drone Survey'!ED8</f>
        <v>-0.54750000000001364</v>
      </c>
      <c r="EE8" s="191">
        <f>'Functional Levels Drone Survey'!EE8-'Existing Levels Drone Survey'!EE8</f>
        <v>-0.43340000000006285</v>
      </c>
      <c r="EF8" s="191">
        <f>'Functional Levels Drone Survey'!EF8-'Existing Levels Drone Survey'!EF8</f>
        <v>-0.70510000000001583</v>
      </c>
      <c r="EG8" s="278">
        <f>'Functional Levels Drone Survey'!EG8-'Existing Levels Drone Survey'!EG8</f>
        <v>-1.0209000000000401</v>
      </c>
      <c r="EH8" s="278">
        <f>'Functional Levels Drone Survey'!EH8-'Existing Levels Drone Survey'!EH8</f>
        <v>-0.80450000000001864</v>
      </c>
      <c r="EI8" s="278">
        <f>'Functional Levels Drone Survey'!EI8-'Existing Levels Drone Survey'!EI8</f>
        <v>0.45629999999982829</v>
      </c>
      <c r="EJ8" s="191">
        <f>'Functional Levels Drone Survey'!EJ8-'Existing Levels Drone Survey'!EJ8</f>
        <v>0</v>
      </c>
      <c r="EK8" s="191">
        <f>'Functional Levels Drone Survey'!EK8-'Existing Levels Drone Survey'!EK8</f>
        <v>0</v>
      </c>
      <c r="EL8" s="191">
        <f>'Functional Levels Drone Survey'!EL8-'Existing Levels Drone Survey'!EL8</f>
        <v>0</v>
      </c>
      <c r="EM8" s="191">
        <f>'Functional Levels Drone Survey'!EM8-'Existing Levels Drone Survey'!EM8</f>
        <v>0</v>
      </c>
      <c r="EN8" s="191">
        <f>'Functional Levels Drone Survey'!EN8-'Existing Levels Drone Survey'!EN8</f>
        <v>0</v>
      </c>
      <c r="EO8" s="191">
        <f>'Functional Levels Drone Survey'!EO8-'Existing Levels Drone Survey'!EO8</f>
        <v>0</v>
      </c>
      <c r="EP8" s="191">
        <f>'Functional Levels Drone Survey'!EP8-'Existing Levels Drone Survey'!EP8</f>
        <v>0</v>
      </c>
      <c r="EQ8" s="191">
        <f>'Functional Levels Drone Survey'!EQ8-'Existing Levels Drone Survey'!EQ8</f>
        <v>0</v>
      </c>
      <c r="ER8" s="191">
        <f>'Functional Levels Drone Survey'!ER8-'Existing Levels Drone Survey'!ER8</f>
        <v>0</v>
      </c>
      <c r="ES8" s="191">
        <f>'Functional Levels Drone Survey'!ES8-'Existing Levels Drone Survey'!ES8</f>
        <v>0</v>
      </c>
      <c r="ET8" s="191">
        <f>'Functional Levels Drone Survey'!ET8-'Existing Levels Drone Survey'!ET8</f>
        <v>0</v>
      </c>
      <c r="EU8" s="191">
        <f>'Functional Levels Drone Survey'!EU8-'Existing Levels Drone Survey'!EU8</f>
        <v>0</v>
      </c>
      <c r="EV8" s="191">
        <f>'Functional Levels Drone Survey'!EV8-'Existing Levels Drone Survey'!EV8</f>
        <v>0</v>
      </c>
      <c r="EW8" s="191">
        <f>'Functional Levels Drone Survey'!EW8-'Existing Levels Drone Survey'!EW8</f>
        <v>0</v>
      </c>
      <c r="EX8" s="191">
        <f>'Functional Levels Drone Survey'!EX8-'Existing Levels Drone Survey'!EX8</f>
        <v>0</v>
      </c>
      <c r="EY8" s="191">
        <f>'Functional Levels Drone Survey'!EY8-'Existing Levels Drone Survey'!EY8</f>
        <v>0</v>
      </c>
    </row>
    <row r="9" spans="1:155" ht="45" customHeight="1" x14ac:dyDescent="0.45">
      <c r="A9" s="277">
        <v>40</v>
      </c>
      <c r="B9" s="191">
        <f>'Functional Levels Drone Survey'!B9-'Existing Levels Drone Survey'!B9</f>
        <v>0</v>
      </c>
      <c r="C9" s="191">
        <f>'Functional Levels Drone Survey'!C9-'Existing Levels Drone Survey'!C9</f>
        <v>0</v>
      </c>
      <c r="D9" s="191">
        <f>'Functional Levels Drone Survey'!D9-'Existing Levels Drone Survey'!D9</f>
        <v>0</v>
      </c>
      <c r="E9" s="191">
        <f>'Functional Levels Drone Survey'!E9-'Existing Levels Drone Survey'!E9</f>
        <v>0</v>
      </c>
      <c r="F9" s="191">
        <f>'Functional Levels Drone Survey'!F9-'Existing Levels Drone Survey'!F9</f>
        <v>0</v>
      </c>
      <c r="G9" s="191">
        <f>'Functional Levels Drone Survey'!G9-'Existing Levels Drone Survey'!G9</f>
        <v>0</v>
      </c>
      <c r="H9" s="191">
        <f>'Functional Levels Drone Survey'!H9-'Existing Levels Drone Survey'!H9</f>
        <v>0</v>
      </c>
      <c r="I9" s="191">
        <f>'Functional Levels Drone Survey'!I9-'Existing Levels Drone Survey'!I9</f>
        <v>0</v>
      </c>
      <c r="J9" s="191">
        <f>'Functional Levels Drone Survey'!J9-'Existing Levels Drone Survey'!J9</f>
        <v>0</v>
      </c>
      <c r="K9" s="191">
        <f>'Functional Levels Drone Survey'!K9-'Existing Levels Drone Survey'!K9</f>
        <v>0</v>
      </c>
      <c r="L9" s="191">
        <f>'Functional Levels Drone Survey'!L9-'Existing Levels Drone Survey'!L9</f>
        <v>0</v>
      </c>
      <c r="M9" s="191">
        <f>'Functional Levels Drone Survey'!M9-'Existing Levels Drone Survey'!M9</f>
        <v>0</v>
      </c>
      <c r="N9" s="191">
        <f>'Functional Levels Drone Survey'!N9-'Existing Levels Drone Survey'!N9</f>
        <v>0</v>
      </c>
      <c r="O9" s="191">
        <f>'Functional Levels Drone Survey'!O9-'Existing Levels Drone Survey'!O9</f>
        <v>0</v>
      </c>
      <c r="P9" s="191">
        <f>'Functional Levels Drone Survey'!P9-'Existing Levels Drone Survey'!P9</f>
        <v>0</v>
      </c>
      <c r="Q9" s="191">
        <f>'Functional Levels Drone Survey'!Q9-'Existing Levels Drone Survey'!Q9</f>
        <v>0</v>
      </c>
      <c r="R9" s="191">
        <f>'Functional Levels Drone Survey'!R9-'Existing Levels Drone Survey'!R9</f>
        <v>0</v>
      </c>
      <c r="S9" s="191">
        <f>'Functional Levels Drone Survey'!S9-'Existing Levels Drone Survey'!S9</f>
        <v>0</v>
      </c>
      <c r="T9" s="191">
        <f>'Functional Levels Drone Survey'!T9-'Existing Levels Drone Survey'!T9</f>
        <v>0</v>
      </c>
      <c r="U9" s="191">
        <f>'Functional Levels Drone Survey'!U9-'Existing Levels Drone Survey'!U9</f>
        <v>0</v>
      </c>
      <c r="V9" s="191">
        <f>'Functional Levels Drone Survey'!V9-'Existing Levels Drone Survey'!V9</f>
        <v>0</v>
      </c>
      <c r="W9" s="191">
        <f>'Functional Levels Drone Survey'!W9-'Existing Levels Drone Survey'!W9</f>
        <v>0</v>
      </c>
      <c r="X9" s="191">
        <f>'Functional Levels Drone Survey'!X9-'Existing Levels Drone Survey'!X9</f>
        <v>0</v>
      </c>
      <c r="Y9" s="191">
        <f>'Functional Levels Drone Survey'!Y9-'Existing Levels Drone Survey'!Y9</f>
        <v>0</v>
      </c>
      <c r="Z9" s="191">
        <f>'Functional Levels Drone Survey'!Z9-'Existing Levels Drone Survey'!Z9</f>
        <v>0</v>
      </c>
      <c r="AA9" s="191">
        <f>'Functional Levels Drone Survey'!AA9-'Existing Levels Drone Survey'!AA9</f>
        <v>0</v>
      </c>
      <c r="AB9" s="191">
        <f>'Functional Levels Drone Survey'!AB9-'Existing Levels Drone Survey'!AB9</f>
        <v>0</v>
      </c>
      <c r="AC9" s="191">
        <f>'Functional Levels Drone Survey'!AC9-'Existing Levels Drone Survey'!AC9</f>
        <v>0</v>
      </c>
      <c r="AD9" s="191">
        <f>'Functional Levels Drone Survey'!AD9-'Existing Levels Drone Survey'!AD9</f>
        <v>0</v>
      </c>
      <c r="AE9" s="191">
        <f>'Functional Levels Drone Survey'!AE9-'Existing Levels Drone Survey'!AE9</f>
        <v>0</v>
      </c>
      <c r="AF9" s="191">
        <f>'Functional Levels Drone Survey'!AF9-'Existing Levels Drone Survey'!AF9</f>
        <v>0</v>
      </c>
      <c r="AG9" s="191">
        <f>'Functional Levels Drone Survey'!AG9-'Existing Levels Drone Survey'!AG9</f>
        <v>0</v>
      </c>
      <c r="AH9" s="191">
        <f>'Functional Levels Drone Survey'!AH9-'Existing Levels Drone Survey'!AH9</f>
        <v>0</v>
      </c>
      <c r="AI9" s="191">
        <f>'Functional Levels Drone Survey'!AI9-'Existing Levels Drone Survey'!AI9</f>
        <v>0</v>
      </c>
      <c r="AJ9" s="191">
        <f>'Functional Levels Drone Survey'!AJ9-'Existing Levels Drone Survey'!AJ9</f>
        <v>0</v>
      </c>
      <c r="AK9" s="191">
        <f>'Functional Levels Drone Survey'!AK9-'Existing Levels Drone Survey'!AK9</f>
        <v>0</v>
      </c>
      <c r="AL9" s="191">
        <f>'Functional Levels Drone Survey'!AL9-'Existing Levels Drone Survey'!AL9</f>
        <v>0</v>
      </c>
      <c r="AM9" s="191">
        <f>'Functional Levels Drone Survey'!AM9-'Existing Levels Drone Survey'!AM9</f>
        <v>0</v>
      </c>
      <c r="AN9" s="191">
        <f>'Functional Levels Drone Survey'!AN9-'Existing Levels Drone Survey'!AN9</f>
        <v>0</v>
      </c>
      <c r="AO9" s="191">
        <f>'Functional Levels Drone Survey'!AO9-'Existing Levels Drone Survey'!AO9</f>
        <v>0</v>
      </c>
      <c r="AP9" s="191">
        <f>'Functional Levels Drone Survey'!AP9-'Existing Levels Drone Survey'!AP9</f>
        <v>0</v>
      </c>
      <c r="AQ9" s="191">
        <f>'Functional Levels Drone Survey'!AQ9-'Existing Levels Drone Survey'!AQ9</f>
        <v>0</v>
      </c>
      <c r="AR9" s="191">
        <f>'Functional Levels Drone Survey'!AR9-'Existing Levels Drone Survey'!AR9</f>
        <v>0</v>
      </c>
      <c r="AS9" s="191">
        <f>'Functional Levels Drone Survey'!AS9-'Existing Levels Drone Survey'!AS9</f>
        <v>0</v>
      </c>
      <c r="AT9" s="191">
        <f>'Functional Levels Drone Survey'!AT9-'Existing Levels Drone Survey'!AT9</f>
        <v>0</v>
      </c>
      <c r="AU9" s="191">
        <f>'Functional Levels Drone Survey'!AU9-'Existing Levels Drone Survey'!AU9</f>
        <v>0</v>
      </c>
      <c r="AV9" s="191">
        <f>'Functional Levels Drone Survey'!AV9-'Existing Levels Drone Survey'!AV9</f>
        <v>0</v>
      </c>
      <c r="AW9" s="191">
        <f>'Functional Levels Drone Survey'!AW9-'Existing Levels Drone Survey'!AW9</f>
        <v>0</v>
      </c>
      <c r="AX9" s="191">
        <f>'Functional Levels Drone Survey'!AX9-'Existing Levels Drone Survey'!AX9</f>
        <v>0</v>
      </c>
      <c r="AY9" s="191">
        <f>'Functional Levels Drone Survey'!AY9-'Existing Levels Drone Survey'!AY9</f>
        <v>0</v>
      </c>
      <c r="AZ9" s="191">
        <f>'Functional Levels Drone Survey'!AZ9-'Existing Levels Drone Survey'!AZ9</f>
        <v>0</v>
      </c>
      <c r="BA9" s="191">
        <f>'Functional Levels Drone Survey'!BA9-'Existing Levels Drone Survey'!BA9</f>
        <v>0</v>
      </c>
      <c r="BB9" s="191">
        <f>'Functional Levels Drone Survey'!BB9-'Existing Levels Drone Survey'!BB9</f>
        <v>0</v>
      </c>
      <c r="BC9" s="191">
        <f>'Functional Levels Drone Survey'!BC9-'Existing Levels Drone Survey'!BC9</f>
        <v>0</v>
      </c>
      <c r="BD9" s="191">
        <f>'Functional Levels Drone Survey'!BD9-'Existing Levels Drone Survey'!BD9</f>
        <v>0</v>
      </c>
      <c r="BE9" s="191">
        <f>'Functional Levels Drone Survey'!BE9-'Existing Levels Drone Survey'!BE9</f>
        <v>0</v>
      </c>
      <c r="BF9" s="191">
        <f>'Functional Levels Drone Survey'!BF9-'Existing Levels Drone Survey'!BF9</f>
        <v>0</v>
      </c>
      <c r="BG9" s="191">
        <f>'Functional Levels Drone Survey'!BG9-'Existing Levels Drone Survey'!BG9</f>
        <v>0</v>
      </c>
      <c r="BH9" s="191">
        <f>'Functional Levels Drone Survey'!BH9-'Existing Levels Drone Survey'!BH9</f>
        <v>0</v>
      </c>
      <c r="BI9" s="191">
        <f>'Functional Levels Drone Survey'!BI9-'Existing Levels Drone Survey'!BI9</f>
        <v>0</v>
      </c>
      <c r="BJ9" s="191">
        <f>'Functional Levels Drone Survey'!BJ9-'Existing Levels Drone Survey'!BJ9</f>
        <v>0</v>
      </c>
      <c r="BK9" s="191">
        <f>'Functional Levels Drone Survey'!BK9-'Existing Levels Drone Survey'!BK9</f>
        <v>0</v>
      </c>
      <c r="BL9" s="191">
        <f>'Functional Levels Drone Survey'!BL9-'Existing Levels Drone Survey'!BL9</f>
        <v>0</v>
      </c>
      <c r="BM9" s="191">
        <f>'Functional Levels Drone Survey'!BM9-'Existing Levels Drone Survey'!BM9</f>
        <v>0</v>
      </c>
      <c r="BN9" s="191">
        <f>'Functional Levels Drone Survey'!BN9-'Existing Levels Drone Survey'!BN9</f>
        <v>0</v>
      </c>
      <c r="BO9" s="191">
        <f>'Functional Levels Drone Survey'!BO9-'Existing Levels Drone Survey'!BO9</f>
        <v>0</v>
      </c>
      <c r="BP9" s="191">
        <f>'Functional Levels Drone Survey'!BP9-'Existing Levels Drone Survey'!BP9</f>
        <v>0</v>
      </c>
      <c r="BQ9" s="191">
        <f>'Functional Levels Drone Survey'!BQ9-'Existing Levels Drone Survey'!BQ9</f>
        <v>0</v>
      </c>
      <c r="BR9" s="191">
        <f>'Functional Levels Drone Survey'!BR9-'Existing Levels Drone Survey'!BR9</f>
        <v>0</v>
      </c>
      <c r="BS9" s="191">
        <f>'Functional Levels Drone Survey'!BS9-'Existing Levels Drone Survey'!BS9</f>
        <v>0</v>
      </c>
      <c r="BT9" s="191">
        <f>'Functional Levels Drone Survey'!BT9-'Existing Levels Drone Survey'!BT9</f>
        <v>0</v>
      </c>
      <c r="BU9" s="191">
        <f>'Functional Levels Drone Survey'!BU9-'Existing Levels Drone Survey'!BU9</f>
        <v>0</v>
      </c>
      <c r="BV9" s="191">
        <f>'Functional Levels Drone Survey'!BV9-'Existing Levels Drone Survey'!BV9</f>
        <v>0</v>
      </c>
      <c r="BW9" s="191">
        <f>'Functional Levels Drone Survey'!BW9-'Existing Levels Drone Survey'!BW9</f>
        <v>0</v>
      </c>
      <c r="BX9" s="191">
        <f>'Functional Levels Drone Survey'!BX9-'Existing Levels Drone Survey'!BX9</f>
        <v>0</v>
      </c>
      <c r="BY9" s="191">
        <f>'Functional Levels Drone Survey'!BY9-'Existing Levels Drone Survey'!BY9</f>
        <v>0</v>
      </c>
      <c r="BZ9" s="191">
        <f>'Functional Levels Drone Survey'!BZ9-'Existing Levels Drone Survey'!BZ9</f>
        <v>0</v>
      </c>
      <c r="CA9" s="191">
        <f>'Functional Levels Drone Survey'!CA9-'Existing Levels Drone Survey'!CA9</f>
        <v>0</v>
      </c>
      <c r="CB9" s="191">
        <f>'Functional Levels Drone Survey'!CB9-'Existing Levels Drone Survey'!CB9</f>
        <v>0</v>
      </c>
      <c r="CC9" s="191">
        <f>'Functional Levels Drone Survey'!CC9-'Existing Levels Drone Survey'!CC9</f>
        <v>0</v>
      </c>
      <c r="CD9" s="191">
        <f>'Functional Levels Drone Survey'!CD9-'Existing Levels Drone Survey'!CD9</f>
        <v>0</v>
      </c>
      <c r="CE9" s="191">
        <f>'Functional Levels Drone Survey'!CE9-'Existing Levels Drone Survey'!CE9</f>
        <v>0</v>
      </c>
      <c r="CF9" s="191">
        <f>'Functional Levels Drone Survey'!CF9-'Existing Levels Drone Survey'!CF9</f>
        <v>0</v>
      </c>
      <c r="CG9" s="191">
        <f>'Functional Levels Drone Survey'!CG9-'Existing Levels Drone Survey'!CG9</f>
        <v>0</v>
      </c>
      <c r="CH9" s="191">
        <f>'Functional Levels Drone Survey'!CH9-'Existing Levels Drone Survey'!CH9</f>
        <v>0</v>
      </c>
      <c r="CI9" s="191">
        <f>'Functional Levels Drone Survey'!CI9-'Existing Levels Drone Survey'!CI9</f>
        <v>0</v>
      </c>
      <c r="CJ9" s="191">
        <f>'Functional Levels Drone Survey'!CJ9-'Existing Levels Drone Survey'!CJ9</f>
        <v>0</v>
      </c>
      <c r="CK9" s="191">
        <f>'Functional Levels Drone Survey'!CK9-'Existing Levels Drone Survey'!CK9</f>
        <v>0</v>
      </c>
      <c r="CL9" s="191">
        <f>'Functional Levels Drone Survey'!CL9-'Existing Levels Drone Survey'!CL9</f>
        <v>0</v>
      </c>
      <c r="CM9" s="191">
        <f>'Functional Levels Drone Survey'!CM9-'Existing Levels Drone Survey'!CM9</f>
        <v>0</v>
      </c>
      <c r="CN9" s="191">
        <f>'Functional Levels Drone Survey'!CN9-'Existing Levels Drone Survey'!CN9</f>
        <v>0</v>
      </c>
      <c r="CO9" s="191">
        <f>'Functional Levels Drone Survey'!CO9-'Existing Levels Drone Survey'!CO9</f>
        <v>0</v>
      </c>
      <c r="CP9" s="191">
        <f>'Functional Levels Drone Survey'!CP9-'Existing Levels Drone Survey'!CP9</f>
        <v>0</v>
      </c>
      <c r="CQ9" s="191">
        <f>'Functional Levels Drone Survey'!CQ9-'Existing Levels Drone Survey'!CQ9</f>
        <v>0</v>
      </c>
      <c r="CR9" s="191">
        <f>'Functional Levels Drone Survey'!CR9-'Existing Levels Drone Survey'!CR9</f>
        <v>0</v>
      </c>
      <c r="CS9" s="191">
        <f>'Functional Levels Drone Survey'!CS9-'Existing Levels Drone Survey'!CS9</f>
        <v>0</v>
      </c>
      <c r="CT9" s="191">
        <f>'Functional Levels Drone Survey'!CT9-'Existing Levels Drone Survey'!CT9</f>
        <v>0</v>
      </c>
      <c r="CU9" s="191">
        <f>'Functional Levels Drone Survey'!CU9-'Existing Levels Drone Survey'!CU9</f>
        <v>0</v>
      </c>
      <c r="CV9" s="191">
        <f>'Functional Levels Drone Survey'!CV9-'Existing Levels Drone Survey'!CV9</f>
        <v>0</v>
      </c>
      <c r="CW9" s="191">
        <f>'Functional Levels Drone Survey'!CW9-'Existing Levels Drone Survey'!CW9</f>
        <v>0</v>
      </c>
      <c r="CX9" s="191">
        <f>'Functional Levels Drone Survey'!CX9-'Existing Levels Drone Survey'!CX9</f>
        <v>0</v>
      </c>
      <c r="CY9" s="191">
        <f>'Functional Levels Drone Survey'!CY9-'Existing Levels Drone Survey'!CY9</f>
        <v>0</v>
      </c>
      <c r="CZ9" s="191">
        <f>'Functional Levels Drone Survey'!CZ9-'Existing Levels Drone Survey'!CZ9</f>
        <v>0</v>
      </c>
      <c r="DA9" s="191">
        <f>'Functional Levels Drone Survey'!DA9-'Existing Levels Drone Survey'!DA9</f>
        <v>0</v>
      </c>
      <c r="DB9" s="191">
        <f>'Functional Levels Drone Survey'!DB9-'Existing Levels Drone Survey'!DB9</f>
        <v>0</v>
      </c>
      <c r="DC9" s="191">
        <f>'Functional Levels Drone Survey'!DC9-'Existing Levels Drone Survey'!DC9</f>
        <v>0</v>
      </c>
      <c r="DD9" s="191">
        <f>'Functional Levels Drone Survey'!DD9-'Existing Levels Drone Survey'!DD9</f>
        <v>0</v>
      </c>
      <c r="DE9" s="191">
        <f>'Functional Levels Drone Survey'!DE9-'Existing Levels Drone Survey'!DE9</f>
        <v>0</v>
      </c>
      <c r="DF9" s="191">
        <f>'Functional Levels Drone Survey'!DF9-'Existing Levels Drone Survey'!DF9</f>
        <v>0</v>
      </c>
      <c r="DG9" s="191">
        <f>'Functional Levels Drone Survey'!DG9-'Existing Levels Drone Survey'!DG9</f>
        <v>0</v>
      </c>
      <c r="DH9" s="191">
        <f>'Functional Levels Drone Survey'!DH9-'Existing Levels Drone Survey'!DH9</f>
        <v>0</v>
      </c>
      <c r="DI9" s="191">
        <f>'Functional Levels Drone Survey'!DI9-'Existing Levels Drone Survey'!DI9</f>
        <v>0</v>
      </c>
      <c r="DJ9" s="191">
        <f>'Functional Levels Drone Survey'!DJ9-'Existing Levels Drone Survey'!DJ9</f>
        <v>0</v>
      </c>
      <c r="DK9" s="191">
        <f>'Functional Levels Drone Survey'!DK9-'Existing Levels Drone Survey'!DK9</f>
        <v>0</v>
      </c>
      <c r="DL9" s="191">
        <f>'Functional Levels Drone Survey'!DL9-'Existing Levels Drone Survey'!DL9</f>
        <v>0</v>
      </c>
      <c r="DM9" s="191">
        <f>'Functional Levels Drone Survey'!DM9-'Existing Levels Drone Survey'!DM9</f>
        <v>0</v>
      </c>
      <c r="DN9" s="191">
        <f>'Functional Levels Drone Survey'!DN9-'Existing Levels Drone Survey'!DN9</f>
        <v>0</v>
      </c>
      <c r="DO9" s="191">
        <f>'Functional Levels Drone Survey'!DO9-'Existing Levels Drone Survey'!DO9</f>
        <v>0</v>
      </c>
      <c r="DP9" s="191">
        <f>'Functional Levels Drone Survey'!DP9-'Existing Levels Drone Survey'!DP9</f>
        <v>0</v>
      </c>
      <c r="DQ9" s="191">
        <f>'Functional Levels Drone Survey'!DQ9-'Existing Levels Drone Survey'!DQ9</f>
        <v>0</v>
      </c>
      <c r="DR9" s="191">
        <f>'Functional Levels Drone Survey'!DR9-'Existing Levels Drone Survey'!DR9</f>
        <v>0</v>
      </c>
      <c r="DS9" s="191">
        <f>'Functional Levels Drone Survey'!DS9-'Existing Levels Drone Survey'!DS9</f>
        <v>0</v>
      </c>
      <c r="DT9" s="191">
        <f>'Functional Levels Drone Survey'!DT9-'Existing Levels Drone Survey'!DT9</f>
        <v>0</v>
      </c>
      <c r="DU9" s="191">
        <f>'Functional Levels Drone Survey'!DU9-'Existing Levels Drone Survey'!DU9</f>
        <v>0</v>
      </c>
      <c r="DV9" s="278">
        <f>'Functional Levels Drone Survey'!DV9-'Existing Levels Drone Survey'!DV9</f>
        <v>-0.19340000000005375</v>
      </c>
      <c r="DW9" s="191">
        <f>'Functional Levels Drone Survey'!DW9-'Existing Levels Drone Survey'!DW9</f>
        <v>-0.85140000000001237</v>
      </c>
      <c r="DX9" s="191">
        <f>'Functional Levels Drone Survey'!DX9-'Existing Levels Drone Survey'!DX9</f>
        <v>-0.49340000000000828</v>
      </c>
      <c r="DY9" s="191">
        <f>'Functional Levels Drone Survey'!DY9-'Existing Levels Drone Survey'!DY9</f>
        <v>-0.36770000000001346</v>
      </c>
      <c r="DZ9" s="191">
        <f>'Functional Levels Drone Survey'!DZ9-'Existing Levels Drone Survey'!DZ9</f>
        <v>-0.25140000000004648</v>
      </c>
      <c r="EA9" s="191">
        <f>'Functional Levels Drone Survey'!EA9-'Existing Levels Drone Survey'!EA9</f>
        <v>-0.32110000000005812</v>
      </c>
      <c r="EB9" s="191">
        <f>'Functional Levels Drone Survey'!EB9-'Existing Levels Drone Survey'!EB9</f>
        <v>-0.21240000000005921</v>
      </c>
      <c r="EC9" s="191">
        <f>'Functional Levels Drone Survey'!EC9-'Existing Levels Drone Survey'!EC9</f>
        <v>-0.23700000000002319</v>
      </c>
      <c r="ED9" s="191">
        <f>'Functional Levels Drone Survey'!ED9-'Existing Levels Drone Survey'!ED9</f>
        <v>5.2299999999945612E-2</v>
      </c>
      <c r="EE9" s="191">
        <f>'Functional Levels Drone Survey'!EE9-'Existing Levels Drone Survey'!EE9</f>
        <v>5.3999999999518877E-3</v>
      </c>
      <c r="EF9" s="191">
        <f>'Functional Levels Drone Survey'!EF9-'Existing Levels Drone Survey'!EF9</f>
        <v>-4.0100000000052205E-2</v>
      </c>
      <c r="EG9" s="191">
        <f>'Functional Levels Drone Survey'!EG9-'Existing Levels Drone Survey'!EG9</f>
        <v>-0.14910000000003265</v>
      </c>
      <c r="EH9" s="191">
        <f>'Functional Levels Drone Survey'!EH9-'Existing Levels Drone Survey'!EH9</f>
        <v>-0.28560000000004493</v>
      </c>
      <c r="EI9" s="191">
        <f>'Functional Levels Drone Survey'!EI9-'Existing Levels Drone Survey'!EI9</f>
        <v>-1.2815000000001646</v>
      </c>
      <c r="EJ9" s="278">
        <f>'Functional Levels Drone Survey'!EJ9-'Existing Levels Drone Survey'!EJ9</f>
        <v>2.229999999985921E-2</v>
      </c>
      <c r="EK9" s="191">
        <f>'Functional Levels Drone Survey'!EK9-'Existing Levels Drone Survey'!EK9</f>
        <v>0</v>
      </c>
      <c r="EL9" s="191">
        <f>'Functional Levels Drone Survey'!EL9-'Existing Levels Drone Survey'!EL9</f>
        <v>0</v>
      </c>
      <c r="EM9" s="191">
        <f>'Functional Levels Drone Survey'!EM9-'Existing Levels Drone Survey'!EM9</f>
        <v>0</v>
      </c>
      <c r="EN9" s="191">
        <f>'Functional Levels Drone Survey'!EN9-'Existing Levels Drone Survey'!EN9</f>
        <v>0</v>
      </c>
      <c r="EO9" s="191">
        <f>'Functional Levels Drone Survey'!EO9-'Existing Levels Drone Survey'!EO9</f>
        <v>0</v>
      </c>
      <c r="EP9" s="191">
        <f>'Functional Levels Drone Survey'!EP9-'Existing Levels Drone Survey'!EP9</f>
        <v>0</v>
      </c>
      <c r="EQ9" s="191">
        <f>'Functional Levels Drone Survey'!EQ9-'Existing Levels Drone Survey'!EQ9</f>
        <v>0</v>
      </c>
      <c r="ER9" s="191">
        <f>'Functional Levels Drone Survey'!ER9-'Existing Levels Drone Survey'!ER9</f>
        <v>0</v>
      </c>
      <c r="ES9" s="191">
        <f>'Functional Levels Drone Survey'!ES9-'Existing Levels Drone Survey'!ES9</f>
        <v>0</v>
      </c>
      <c r="ET9" s="191">
        <f>'Functional Levels Drone Survey'!ET9-'Existing Levels Drone Survey'!ET9</f>
        <v>0</v>
      </c>
      <c r="EU9" s="191">
        <f>'Functional Levels Drone Survey'!EU9-'Existing Levels Drone Survey'!EU9</f>
        <v>0</v>
      </c>
      <c r="EV9" s="191">
        <f>'Functional Levels Drone Survey'!EV9-'Existing Levels Drone Survey'!EV9</f>
        <v>0</v>
      </c>
      <c r="EW9" s="191">
        <f>'Functional Levels Drone Survey'!EW9-'Existing Levels Drone Survey'!EW9</f>
        <v>0</v>
      </c>
      <c r="EX9" s="191">
        <f>'Functional Levels Drone Survey'!EX9-'Existing Levels Drone Survey'!EX9</f>
        <v>0</v>
      </c>
      <c r="EY9" s="191">
        <f>'Functional Levels Drone Survey'!EY9-'Existing Levels Drone Survey'!EY9</f>
        <v>0</v>
      </c>
    </row>
    <row r="10" spans="1:155" ht="45" customHeight="1" x14ac:dyDescent="0.45">
      <c r="A10" s="277">
        <v>45</v>
      </c>
      <c r="B10" s="191">
        <f>'Functional Levels Drone Survey'!B10-'Existing Levels Drone Survey'!B10</f>
        <v>0</v>
      </c>
      <c r="C10" s="191">
        <f>'Functional Levels Drone Survey'!C10-'Existing Levels Drone Survey'!C10</f>
        <v>0</v>
      </c>
      <c r="D10" s="191">
        <f>'Functional Levels Drone Survey'!D10-'Existing Levels Drone Survey'!D10</f>
        <v>0</v>
      </c>
      <c r="E10" s="191">
        <f>'Functional Levels Drone Survey'!E10-'Existing Levels Drone Survey'!E10</f>
        <v>0</v>
      </c>
      <c r="F10" s="191">
        <f>'Functional Levels Drone Survey'!F10-'Existing Levels Drone Survey'!F10</f>
        <v>0</v>
      </c>
      <c r="G10" s="191">
        <f>'Functional Levels Drone Survey'!G10-'Existing Levels Drone Survey'!G10</f>
        <v>0</v>
      </c>
      <c r="H10" s="191">
        <f>'Functional Levels Drone Survey'!H10-'Existing Levels Drone Survey'!H10</f>
        <v>0</v>
      </c>
      <c r="I10" s="191">
        <f>'Functional Levels Drone Survey'!I10-'Existing Levels Drone Survey'!I10</f>
        <v>0</v>
      </c>
      <c r="J10" s="191">
        <f>'Functional Levels Drone Survey'!J10-'Existing Levels Drone Survey'!J10</f>
        <v>0</v>
      </c>
      <c r="K10" s="191">
        <f>'Functional Levels Drone Survey'!K10-'Existing Levels Drone Survey'!K10</f>
        <v>0</v>
      </c>
      <c r="L10" s="191">
        <f>'Functional Levels Drone Survey'!L10-'Existing Levels Drone Survey'!L10</f>
        <v>0</v>
      </c>
      <c r="M10" s="191">
        <f>'Functional Levels Drone Survey'!M10-'Existing Levels Drone Survey'!M10</f>
        <v>0</v>
      </c>
      <c r="N10" s="191">
        <f>'Functional Levels Drone Survey'!N10-'Existing Levels Drone Survey'!N10</f>
        <v>0</v>
      </c>
      <c r="O10" s="191">
        <f>'Functional Levels Drone Survey'!O10-'Existing Levels Drone Survey'!O10</f>
        <v>0</v>
      </c>
      <c r="P10" s="191">
        <f>'Functional Levels Drone Survey'!P10-'Existing Levels Drone Survey'!P10</f>
        <v>0</v>
      </c>
      <c r="Q10" s="191">
        <f>'Functional Levels Drone Survey'!Q10-'Existing Levels Drone Survey'!Q10</f>
        <v>0</v>
      </c>
      <c r="R10" s="191">
        <f>'Functional Levels Drone Survey'!R10-'Existing Levels Drone Survey'!R10</f>
        <v>0</v>
      </c>
      <c r="S10" s="191">
        <f>'Functional Levels Drone Survey'!S10-'Existing Levels Drone Survey'!S10</f>
        <v>0</v>
      </c>
      <c r="T10" s="191">
        <f>'Functional Levels Drone Survey'!T10-'Existing Levels Drone Survey'!T10</f>
        <v>0</v>
      </c>
      <c r="U10" s="191">
        <f>'Functional Levels Drone Survey'!U10-'Existing Levels Drone Survey'!U10</f>
        <v>0</v>
      </c>
      <c r="V10" s="191">
        <f>'Functional Levels Drone Survey'!V10-'Existing Levels Drone Survey'!V10</f>
        <v>0</v>
      </c>
      <c r="W10" s="191">
        <f>'Functional Levels Drone Survey'!W10-'Existing Levels Drone Survey'!W10</f>
        <v>0</v>
      </c>
      <c r="X10" s="191">
        <f>'Functional Levels Drone Survey'!X10-'Existing Levels Drone Survey'!X10</f>
        <v>0</v>
      </c>
      <c r="Y10" s="191">
        <f>'Functional Levels Drone Survey'!Y10-'Existing Levels Drone Survey'!Y10</f>
        <v>0</v>
      </c>
      <c r="Z10" s="191">
        <f>'Functional Levels Drone Survey'!Z10-'Existing Levels Drone Survey'!Z10</f>
        <v>0</v>
      </c>
      <c r="AA10" s="191">
        <f>'Functional Levels Drone Survey'!AA10-'Existing Levels Drone Survey'!AA10</f>
        <v>0</v>
      </c>
      <c r="AB10" s="191">
        <f>'Functional Levels Drone Survey'!AB10-'Existing Levels Drone Survey'!AB10</f>
        <v>0</v>
      </c>
      <c r="AC10" s="191">
        <f>'Functional Levels Drone Survey'!AC10-'Existing Levels Drone Survey'!AC10</f>
        <v>0</v>
      </c>
      <c r="AD10" s="191">
        <f>'Functional Levels Drone Survey'!AD10-'Existing Levels Drone Survey'!AD10</f>
        <v>0</v>
      </c>
      <c r="AE10" s="191">
        <f>'Functional Levels Drone Survey'!AE10-'Existing Levels Drone Survey'!AE10</f>
        <v>0</v>
      </c>
      <c r="AF10" s="191">
        <f>'Functional Levels Drone Survey'!AF10-'Existing Levels Drone Survey'!AF10</f>
        <v>0</v>
      </c>
      <c r="AG10" s="191">
        <f>'Functional Levels Drone Survey'!AG10-'Existing Levels Drone Survey'!AG10</f>
        <v>0</v>
      </c>
      <c r="AH10" s="191">
        <f>'Functional Levels Drone Survey'!AH10-'Existing Levels Drone Survey'!AH10</f>
        <v>0</v>
      </c>
      <c r="AI10" s="191">
        <f>'Functional Levels Drone Survey'!AI10-'Existing Levels Drone Survey'!AI10</f>
        <v>0</v>
      </c>
      <c r="AJ10" s="191">
        <f>'Functional Levels Drone Survey'!AJ10-'Existing Levels Drone Survey'!AJ10</f>
        <v>0</v>
      </c>
      <c r="AK10" s="191">
        <f>'Functional Levels Drone Survey'!AK10-'Existing Levels Drone Survey'!AK10</f>
        <v>0</v>
      </c>
      <c r="AL10" s="191">
        <f>'Functional Levels Drone Survey'!AL10-'Existing Levels Drone Survey'!AL10</f>
        <v>0</v>
      </c>
      <c r="AM10" s="191">
        <f>'Functional Levels Drone Survey'!AM10-'Existing Levels Drone Survey'!AM10</f>
        <v>0</v>
      </c>
      <c r="AN10" s="191">
        <f>'Functional Levels Drone Survey'!AN10-'Existing Levels Drone Survey'!AN10</f>
        <v>0</v>
      </c>
      <c r="AO10" s="191">
        <f>'Functional Levels Drone Survey'!AO10-'Existing Levels Drone Survey'!AO10</f>
        <v>0</v>
      </c>
      <c r="AP10" s="191">
        <f>'Functional Levels Drone Survey'!AP10-'Existing Levels Drone Survey'!AP10</f>
        <v>0</v>
      </c>
      <c r="AQ10" s="191">
        <f>'Functional Levels Drone Survey'!AQ10-'Existing Levels Drone Survey'!AQ10</f>
        <v>0</v>
      </c>
      <c r="AR10" s="191">
        <f>'Functional Levels Drone Survey'!AR10-'Existing Levels Drone Survey'!AR10</f>
        <v>0</v>
      </c>
      <c r="AS10" s="191">
        <f>'Functional Levels Drone Survey'!AS10-'Existing Levels Drone Survey'!AS10</f>
        <v>0</v>
      </c>
      <c r="AT10" s="191">
        <f>'Functional Levels Drone Survey'!AT10-'Existing Levels Drone Survey'!AT10</f>
        <v>0</v>
      </c>
      <c r="AU10" s="191">
        <f>'Functional Levels Drone Survey'!AU10-'Existing Levels Drone Survey'!AU10</f>
        <v>0</v>
      </c>
      <c r="AV10" s="191">
        <f>'Functional Levels Drone Survey'!AV10-'Existing Levels Drone Survey'!AV10</f>
        <v>0</v>
      </c>
      <c r="AW10" s="191">
        <f>'Functional Levels Drone Survey'!AW10-'Existing Levels Drone Survey'!AW10</f>
        <v>0</v>
      </c>
      <c r="AX10" s="191">
        <f>'Functional Levels Drone Survey'!AX10-'Existing Levels Drone Survey'!AX10</f>
        <v>0</v>
      </c>
      <c r="AY10" s="191">
        <f>'Functional Levels Drone Survey'!AY10-'Existing Levels Drone Survey'!AY10</f>
        <v>0</v>
      </c>
      <c r="AZ10" s="191">
        <f>'Functional Levels Drone Survey'!AZ10-'Existing Levels Drone Survey'!AZ10</f>
        <v>0</v>
      </c>
      <c r="BA10" s="191">
        <f>'Functional Levels Drone Survey'!BA10-'Existing Levels Drone Survey'!BA10</f>
        <v>0</v>
      </c>
      <c r="BB10" s="191">
        <f>'Functional Levels Drone Survey'!BB10-'Existing Levels Drone Survey'!BB10</f>
        <v>0</v>
      </c>
      <c r="BC10" s="191">
        <f>'Functional Levels Drone Survey'!BC10-'Existing Levels Drone Survey'!BC10</f>
        <v>0</v>
      </c>
      <c r="BD10" s="191">
        <f>'Functional Levels Drone Survey'!BD10-'Existing Levels Drone Survey'!BD10</f>
        <v>0</v>
      </c>
      <c r="BE10" s="191">
        <f>'Functional Levels Drone Survey'!BE10-'Existing Levels Drone Survey'!BE10</f>
        <v>0</v>
      </c>
      <c r="BF10" s="191">
        <f>'Functional Levels Drone Survey'!BF10-'Existing Levels Drone Survey'!BF10</f>
        <v>0</v>
      </c>
      <c r="BG10" s="191">
        <f>'Functional Levels Drone Survey'!BG10-'Existing Levels Drone Survey'!BG10</f>
        <v>0</v>
      </c>
      <c r="BH10" s="191">
        <f>'Functional Levels Drone Survey'!BH10-'Existing Levels Drone Survey'!BH10</f>
        <v>0</v>
      </c>
      <c r="BI10" s="191">
        <f>'Functional Levels Drone Survey'!BI10-'Existing Levels Drone Survey'!BI10</f>
        <v>0</v>
      </c>
      <c r="BJ10" s="191">
        <f>'Functional Levels Drone Survey'!BJ10-'Existing Levels Drone Survey'!BJ10</f>
        <v>0</v>
      </c>
      <c r="BK10" s="191">
        <f>'Functional Levels Drone Survey'!BK10-'Existing Levels Drone Survey'!BK10</f>
        <v>0</v>
      </c>
      <c r="BL10" s="191">
        <f>'Functional Levels Drone Survey'!BL10-'Existing Levels Drone Survey'!BL10</f>
        <v>0</v>
      </c>
      <c r="BM10" s="191">
        <f>'Functional Levels Drone Survey'!BM10-'Existing Levels Drone Survey'!BM10</f>
        <v>0</v>
      </c>
      <c r="BN10" s="191">
        <f>'Functional Levels Drone Survey'!BN10-'Existing Levels Drone Survey'!BN10</f>
        <v>0</v>
      </c>
      <c r="BO10" s="191">
        <f>'Functional Levels Drone Survey'!BO10-'Existing Levels Drone Survey'!BO10</f>
        <v>0</v>
      </c>
      <c r="BP10" s="191">
        <f>'Functional Levels Drone Survey'!BP10-'Existing Levels Drone Survey'!BP10</f>
        <v>0</v>
      </c>
      <c r="BQ10" s="191">
        <f>'Functional Levels Drone Survey'!BQ10-'Existing Levels Drone Survey'!BQ10</f>
        <v>0</v>
      </c>
      <c r="BR10" s="191">
        <f>'Functional Levels Drone Survey'!BR10-'Existing Levels Drone Survey'!BR10</f>
        <v>0</v>
      </c>
      <c r="BS10" s="191">
        <f>'Functional Levels Drone Survey'!BS10-'Existing Levels Drone Survey'!BS10</f>
        <v>0</v>
      </c>
      <c r="BT10" s="191">
        <f>'Functional Levels Drone Survey'!BT10-'Existing Levels Drone Survey'!BT10</f>
        <v>0</v>
      </c>
      <c r="BU10" s="191">
        <f>'Functional Levels Drone Survey'!BU10-'Existing Levels Drone Survey'!BU10</f>
        <v>0</v>
      </c>
      <c r="BV10" s="191">
        <f>'Functional Levels Drone Survey'!BV10-'Existing Levels Drone Survey'!BV10</f>
        <v>0</v>
      </c>
      <c r="BW10" s="191">
        <f>'Functional Levels Drone Survey'!BW10-'Existing Levels Drone Survey'!BW10</f>
        <v>0</v>
      </c>
      <c r="BX10" s="191">
        <f>'Functional Levels Drone Survey'!BX10-'Existing Levels Drone Survey'!BX10</f>
        <v>0</v>
      </c>
      <c r="BY10" s="191">
        <f>'Functional Levels Drone Survey'!BY10-'Existing Levels Drone Survey'!BY10</f>
        <v>0</v>
      </c>
      <c r="BZ10" s="191">
        <f>'Functional Levels Drone Survey'!BZ10-'Existing Levels Drone Survey'!BZ10</f>
        <v>0</v>
      </c>
      <c r="CA10" s="191">
        <f>'Functional Levels Drone Survey'!CA10-'Existing Levels Drone Survey'!CA10</f>
        <v>0</v>
      </c>
      <c r="CB10" s="191">
        <f>'Functional Levels Drone Survey'!CB10-'Existing Levels Drone Survey'!CB10</f>
        <v>0</v>
      </c>
      <c r="CC10" s="191">
        <f>'Functional Levels Drone Survey'!CC10-'Existing Levels Drone Survey'!CC10</f>
        <v>0</v>
      </c>
      <c r="CD10" s="191">
        <f>'Functional Levels Drone Survey'!CD10-'Existing Levels Drone Survey'!CD10</f>
        <v>0</v>
      </c>
      <c r="CE10" s="191">
        <f>'Functional Levels Drone Survey'!CE10-'Existing Levels Drone Survey'!CE10</f>
        <v>0</v>
      </c>
      <c r="CF10" s="191">
        <f>'Functional Levels Drone Survey'!CF10-'Existing Levels Drone Survey'!CF10</f>
        <v>0</v>
      </c>
      <c r="CG10" s="191">
        <f>'Functional Levels Drone Survey'!CG10-'Existing Levels Drone Survey'!CG10</f>
        <v>0</v>
      </c>
      <c r="CH10" s="191">
        <f>'Functional Levels Drone Survey'!CH10-'Existing Levels Drone Survey'!CH10</f>
        <v>0</v>
      </c>
      <c r="CI10" s="191">
        <f>'Functional Levels Drone Survey'!CI10-'Existing Levels Drone Survey'!CI10</f>
        <v>0</v>
      </c>
      <c r="CJ10" s="191">
        <f>'Functional Levels Drone Survey'!CJ10-'Existing Levels Drone Survey'!CJ10</f>
        <v>0</v>
      </c>
      <c r="CK10" s="191">
        <f>'Functional Levels Drone Survey'!CK10-'Existing Levels Drone Survey'!CK10</f>
        <v>0</v>
      </c>
      <c r="CL10" s="191">
        <f>'Functional Levels Drone Survey'!CL10-'Existing Levels Drone Survey'!CL10</f>
        <v>0</v>
      </c>
      <c r="CM10" s="191">
        <f>'Functional Levels Drone Survey'!CM10-'Existing Levels Drone Survey'!CM10</f>
        <v>0</v>
      </c>
      <c r="CN10" s="191">
        <f>'Functional Levels Drone Survey'!CN10-'Existing Levels Drone Survey'!CN10</f>
        <v>0</v>
      </c>
      <c r="CO10" s="191">
        <f>'Functional Levels Drone Survey'!CO10-'Existing Levels Drone Survey'!CO10</f>
        <v>0</v>
      </c>
      <c r="CP10" s="191">
        <f>'Functional Levels Drone Survey'!CP10-'Existing Levels Drone Survey'!CP10</f>
        <v>0</v>
      </c>
      <c r="CQ10" s="191">
        <f>'Functional Levels Drone Survey'!CQ10-'Existing Levels Drone Survey'!CQ10</f>
        <v>0</v>
      </c>
      <c r="CR10" s="191">
        <f>'Functional Levels Drone Survey'!CR10-'Existing Levels Drone Survey'!CR10</f>
        <v>0</v>
      </c>
      <c r="CS10" s="191">
        <f>'Functional Levels Drone Survey'!CS10-'Existing Levels Drone Survey'!CS10</f>
        <v>0</v>
      </c>
      <c r="CT10" s="191">
        <f>'Functional Levels Drone Survey'!CT10-'Existing Levels Drone Survey'!CT10</f>
        <v>0</v>
      </c>
      <c r="CU10" s="191">
        <f>'Functional Levels Drone Survey'!CU10-'Existing Levels Drone Survey'!CU10</f>
        <v>0</v>
      </c>
      <c r="CV10" s="191">
        <f>'Functional Levels Drone Survey'!CV10-'Existing Levels Drone Survey'!CV10</f>
        <v>0</v>
      </c>
      <c r="CW10" s="191">
        <f>'Functional Levels Drone Survey'!CW10-'Existing Levels Drone Survey'!CW10</f>
        <v>0</v>
      </c>
      <c r="CX10" s="191">
        <f>'Functional Levels Drone Survey'!CX10-'Existing Levels Drone Survey'!CX10</f>
        <v>0</v>
      </c>
      <c r="CY10" s="191">
        <f>'Functional Levels Drone Survey'!CY10-'Existing Levels Drone Survey'!CY10</f>
        <v>0</v>
      </c>
      <c r="CZ10" s="191">
        <f>'Functional Levels Drone Survey'!CZ10-'Existing Levels Drone Survey'!CZ10</f>
        <v>0</v>
      </c>
      <c r="DA10" s="191">
        <f>'Functional Levels Drone Survey'!DA10-'Existing Levels Drone Survey'!DA10</f>
        <v>0</v>
      </c>
      <c r="DB10" s="191">
        <f>'Functional Levels Drone Survey'!DB10-'Existing Levels Drone Survey'!DB10</f>
        <v>0</v>
      </c>
      <c r="DC10" s="191">
        <f>'Functional Levels Drone Survey'!DC10-'Existing Levels Drone Survey'!DC10</f>
        <v>0</v>
      </c>
      <c r="DD10" s="191">
        <f>'Functional Levels Drone Survey'!DD10-'Existing Levels Drone Survey'!DD10</f>
        <v>0</v>
      </c>
      <c r="DE10" s="191">
        <f>'Functional Levels Drone Survey'!DE10-'Existing Levels Drone Survey'!DE10</f>
        <v>0</v>
      </c>
      <c r="DF10" s="191">
        <f>'Functional Levels Drone Survey'!DF10-'Existing Levels Drone Survey'!DF10</f>
        <v>0</v>
      </c>
      <c r="DG10" s="191">
        <f>'Functional Levels Drone Survey'!DG10-'Existing Levels Drone Survey'!DG10</f>
        <v>0</v>
      </c>
      <c r="DH10" s="191">
        <f>'Functional Levels Drone Survey'!DH10-'Existing Levels Drone Survey'!DH10</f>
        <v>0</v>
      </c>
      <c r="DI10" s="191">
        <f>'Functional Levels Drone Survey'!DI10-'Existing Levels Drone Survey'!DI10</f>
        <v>0</v>
      </c>
      <c r="DJ10" s="191">
        <f>'Functional Levels Drone Survey'!DJ10-'Existing Levels Drone Survey'!DJ10</f>
        <v>0</v>
      </c>
      <c r="DK10" s="191">
        <f>'Functional Levels Drone Survey'!DK10-'Existing Levels Drone Survey'!DK10</f>
        <v>0</v>
      </c>
      <c r="DL10" s="191">
        <f>'Functional Levels Drone Survey'!DL10-'Existing Levels Drone Survey'!DL10</f>
        <v>0</v>
      </c>
      <c r="DM10" s="191">
        <f>'Functional Levels Drone Survey'!DM10-'Existing Levels Drone Survey'!DM10</f>
        <v>0</v>
      </c>
      <c r="DN10" s="191">
        <f>'Functional Levels Drone Survey'!DN10-'Existing Levels Drone Survey'!DN10</f>
        <v>0</v>
      </c>
      <c r="DO10" s="191">
        <f>'Functional Levels Drone Survey'!DO10-'Existing Levels Drone Survey'!DO10</f>
        <v>0</v>
      </c>
      <c r="DP10" s="191">
        <f>'Functional Levels Drone Survey'!DP10-'Existing Levels Drone Survey'!DP10</f>
        <v>0</v>
      </c>
      <c r="DQ10" s="191">
        <f>'Functional Levels Drone Survey'!DQ10-'Existing Levels Drone Survey'!DQ10</f>
        <v>0</v>
      </c>
      <c r="DR10" s="191">
        <f>'Functional Levels Drone Survey'!DR10-'Existing Levels Drone Survey'!DR10</f>
        <v>0</v>
      </c>
      <c r="DS10" s="191">
        <f>'Functional Levels Drone Survey'!DS10-'Existing Levels Drone Survey'!DS10</f>
        <v>0</v>
      </c>
      <c r="DT10" s="191">
        <f>'Functional Levels Drone Survey'!DT10-'Existing Levels Drone Survey'!DT10</f>
        <v>0</v>
      </c>
      <c r="DU10" s="191">
        <f>'Functional Levels Drone Survey'!DU10-'Existing Levels Drone Survey'!DU10</f>
        <v>0</v>
      </c>
      <c r="DV10" s="278">
        <f>'Functional Levels Drone Survey'!DV10-'Existing Levels Drone Survey'!DV10</f>
        <v>-0.53830000000004929</v>
      </c>
      <c r="DW10" s="279">
        <f>'Functional Levels Drone Survey'!DW10-'Existing Levels Drone Survey'!DW10</f>
        <v>-0.16730000000001155</v>
      </c>
      <c r="DX10" s="279">
        <f>'Functional Levels Drone Survey'!DX10-'Existing Levels Drone Survey'!DX10</f>
        <v>-0.21829999999999927</v>
      </c>
      <c r="DY10" s="279">
        <f>'Functional Levels Drone Survey'!DY10-'Existing Levels Drone Survey'!DY10</f>
        <v>-0.28759999999999764</v>
      </c>
      <c r="DZ10" s="279">
        <f>'Functional Levels Drone Survey'!DZ10-'Existing Levels Drone Survey'!DZ10</f>
        <v>-0.19370000000003529</v>
      </c>
      <c r="EA10" s="279">
        <f>'Functional Levels Drone Survey'!EA10-'Existing Levels Drone Survey'!EA10</f>
        <v>-8.5800000000006094E-2</v>
      </c>
      <c r="EB10" s="279">
        <f>'Functional Levels Drone Survey'!EB10-'Existing Levels Drone Survey'!EB10</f>
        <v>-3.3600000000035379E-2</v>
      </c>
      <c r="EC10" s="279">
        <f>'Functional Levels Drone Survey'!EC10-'Existing Levels Drone Survey'!EC10</f>
        <v>1.3299999999958345E-2</v>
      </c>
      <c r="ED10" s="279">
        <f>'Functional Levels Drone Survey'!ED10-'Existing Levels Drone Survey'!ED10</f>
        <v>-0.33750000000003411</v>
      </c>
      <c r="EE10" s="279">
        <f>'Functional Levels Drone Survey'!EE10-'Existing Levels Drone Survey'!EE10</f>
        <v>-0.33030000000002246</v>
      </c>
      <c r="EF10" s="279">
        <f>'Functional Levels Drone Survey'!EF10-'Existing Levels Drone Survey'!EF10</f>
        <v>-0.31740000000002055</v>
      </c>
      <c r="EG10" s="279">
        <f>'Functional Levels Drone Survey'!EG10-'Existing Levels Drone Survey'!EG10</f>
        <v>-0.33000000000004093</v>
      </c>
      <c r="EH10" s="279">
        <f>'Functional Levels Drone Survey'!EH10-'Existing Levels Drone Survey'!EH10</f>
        <v>0.18819999999999482</v>
      </c>
      <c r="EI10" s="191">
        <f>'Functional Levels Drone Survey'!EI10-'Existing Levels Drone Survey'!EI10</f>
        <v>-0.19780000000014297</v>
      </c>
      <c r="EJ10" s="278">
        <f>'Functional Levels Drone Survey'!EJ10-'Existing Levels Drone Survey'!EJ10</f>
        <v>-1.037800000000118</v>
      </c>
      <c r="EK10" s="191">
        <f>'Functional Levels Drone Survey'!EK10-'Existing Levels Drone Survey'!EK10</f>
        <v>0</v>
      </c>
      <c r="EL10" s="191">
        <f>'Functional Levels Drone Survey'!EL10-'Existing Levels Drone Survey'!EL10</f>
        <v>0</v>
      </c>
      <c r="EM10" s="191">
        <f>'Functional Levels Drone Survey'!EM10-'Existing Levels Drone Survey'!EM10</f>
        <v>0</v>
      </c>
      <c r="EN10" s="191">
        <f>'Functional Levels Drone Survey'!EN10-'Existing Levels Drone Survey'!EN10</f>
        <v>0</v>
      </c>
      <c r="EO10" s="191">
        <f>'Functional Levels Drone Survey'!EO10-'Existing Levels Drone Survey'!EO10</f>
        <v>0</v>
      </c>
      <c r="EP10" s="191">
        <f>'Functional Levels Drone Survey'!EP10-'Existing Levels Drone Survey'!EP10</f>
        <v>0</v>
      </c>
      <c r="EQ10" s="191">
        <f>'Functional Levels Drone Survey'!EQ10-'Existing Levels Drone Survey'!EQ10</f>
        <v>0</v>
      </c>
      <c r="ER10" s="191">
        <f>'Functional Levels Drone Survey'!ER10-'Existing Levels Drone Survey'!ER10</f>
        <v>0</v>
      </c>
      <c r="ES10" s="191">
        <f>'Functional Levels Drone Survey'!ES10-'Existing Levels Drone Survey'!ES10</f>
        <v>0</v>
      </c>
      <c r="ET10" s="191">
        <f>'Functional Levels Drone Survey'!ET10-'Existing Levels Drone Survey'!ET10</f>
        <v>0</v>
      </c>
      <c r="EU10" s="191">
        <f>'Functional Levels Drone Survey'!EU10-'Existing Levels Drone Survey'!EU10</f>
        <v>0</v>
      </c>
      <c r="EV10" s="191">
        <f>'Functional Levels Drone Survey'!EV10-'Existing Levels Drone Survey'!EV10</f>
        <v>0</v>
      </c>
      <c r="EW10" s="191">
        <f>'Functional Levels Drone Survey'!EW10-'Existing Levels Drone Survey'!EW10</f>
        <v>0</v>
      </c>
      <c r="EX10" s="191">
        <f>'Functional Levels Drone Survey'!EX10-'Existing Levels Drone Survey'!EX10</f>
        <v>0</v>
      </c>
      <c r="EY10" s="191">
        <f>'Functional Levels Drone Survey'!EY10-'Existing Levels Drone Survey'!EY10</f>
        <v>0</v>
      </c>
    </row>
    <row r="11" spans="1:155" ht="45" customHeight="1" x14ac:dyDescent="0.45">
      <c r="A11" s="277">
        <v>50</v>
      </c>
      <c r="B11" s="191">
        <f>'Functional Levels Drone Survey'!B11-'Existing Levels Drone Survey'!B11</f>
        <v>0</v>
      </c>
      <c r="C11" s="191">
        <f>'Functional Levels Drone Survey'!C11-'Existing Levels Drone Survey'!C11</f>
        <v>0</v>
      </c>
      <c r="D11" s="191">
        <f>'Functional Levels Drone Survey'!D11-'Existing Levels Drone Survey'!D11</f>
        <v>0</v>
      </c>
      <c r="E11" s="191">
        <f>'Functional Levels Drone Survey'!E11-'Existing Levels Drone Survey'!E11</f>
        <v>0</v>
      </c>
      <c r="F11" s="191">
        <f>'Functional Levels Drone Survey'!F11-'Existing Levels Drone Survey'!F11</f>
        <v>0</v>
      </c>
      <c r="G11" s="191">
        <f>'Functional Levels Drone Survey'!G11-'Existing Levels Drone Survey'!G11</f>
        <v>0</v>
      </c>
      <c r="H11" s="191">
        <f>'Functional Levels Drone Survey'!H11-'Existing Levels Drone Survey'!H11</f>
        <v>0</v>
      </c>
      <c r="I11" s="191">
        <f>'Functional Levels Drone Survey'!I11-'Existing Levels Drone Survey'!I11</f>
        <v>0</v>
      </c>
      <c r="J11" s="191">
        <f>'Functional Levels Drone Survey'!J11-'Existing Levels Drone Survey'!J11</f>
        <v>0</v>
      </c>
      <c r="K11" s="191">
        <f>'Functional Levels Drone Survey'!K11-'Existing Levels Drone Survey'!K11</f>
        <v>0</v>
      </c>
      <c r="L11" s="191">
        <f>'Functional Levels Drone Survey'!L11-'Existing Levels Drone Survey'!L11</f>
        <v>0</v>
      </c>
      <c r="M11" s="191">
        <f>'Functional Levels Drone Survey'!M11-'Existing Levels Drone Survey'!M11</f>
        <v>0</v>
      </c>
      <c r="N11" s="191">
        <f>'Functional Levels Drone Survey'!N11-'Existing Levels Drone Survey'!N11</f>
        <v>0</v>
      </c>
      <c r="O11" s="191">
        <f>'Functional Levels Drone Survey'!O11-'Existing Levels Drone Survey'!O11</f>
        <v>0</v>
      </c>
      <c r="P11" s="191">
        <f>'Functional Levels Drone Survey'!P11-'Existing Levels Drone Survey'!P11</f>
        <v>0</v>
      </c>
      <c r="Q11" s="191">
        <f>'Functional Levels Drone Survey'!Q11-'Existing Levels Drone Survey'!Q11</f>
        <v>0</v>
      </c>
      <c r="R11" s="191">
        <f>'Functional Levels Drone Survey'!R11-'Existing Levels Drone Survey'!R11</f>
        <v>0</v>
      </c>
      <c r="S11" s="191">
        <f>'Functional Levels Drone Survey'!S11-'Existing Levels Drone Survey'!S11</f>
        <v>0</v>
      </c>
      <c r="T11" s="191">
        <f>'Functional Levels Drone Survey'!T11-'Existing Levels Drone Survey'!T11</f>
        <v>0</v>
      </c>
      <c r="U11" s="191">
        <f>'Functional Levels Drone Survey'!U11-'Existing Levels Drone Survey'!U11</f>
        <v>0</v>
      </c>
      <c r="V11" s="191">
        <f>'Functional Levels Drone Survey'!V11-'Existing Levels Drone Survey'!V11</f>
        <v>0</v>
      </c>
      <c r="W11" s="191">
        <f>'Functional Levels Drone Survey'!W11-'Existing Levels Drone Survey'!W11</f>
        <v>0</v>
      </c>
      <c r="X11" s="191">
        <f>'Functional Levels Drone Survey'!X11-'Existing Levels Drone Survey'!X11</f>
        <v>0</v>
      </c>
      <c r="Y11" s="191">
        <f>'Functional Levels Drone Survey'!Y11-'Existing Levels Drone Survey'!Y11</f>
        <v>0</v>
      </c>
      <c r="Z11" s="191">
        <f>'Functional Levels Drone Survey'!Z11-'Existing Levels Drone Survey'!Z11</f>
        <v>0</v>
      </c>
      <c r="AA11" s="191">
        <f>'Functional Levels Drone Survey'!AA11-'Existing Levels Drone Survey'!AA11</f>
        <v>0</v>
      </c>
      <c r="AB11" s="191">
        <f>'Functional Levels Drone Survey'!AB11-'Existing Levels Drone Survey'!AB11</f>
        <v>0</v>
      </c>
      <c r="AC11" s="191">
        <f>'Functional Levels Drone Survey'!AC11-'Existing Levels Drone Survey'!AC11</f>
        <v>0</v>
      </c>
      <c r="AD11" s="191">
        <f>'Functional Levels Drone Survey'!AD11-'Existing Levels Drone Survey'!AD11</f>
        <v>0</v>
      </c>
      <c r="AE11" s="191">
        <f>'Functional Levels Drone Survey'!AE11-'Existing Levels Drone Survey'!AE11</f>
        <v>0</v>
      </c>
      <c r="AF11" s="191">
        <f>'Functional Levels Drone Survey'!AF11-'Existing Levels Drone Survey'!AF11</f>
        <v>0</v>
      </c>
      <c r="AG11" s="191">
        <f>'Functional Levels Drone Survey'!AG11-'Existing Levels Drone Survey'!AG11</f>
        <v>0</v>
      </c>
      <c r="AH11" s="191">
        <f>'Functional Levels Drone Survey'!AH11-'Existing Levels Drone Survey'!AH11</f>
        <v>0</v>
      </c>
      <c r="AI11" s="191">
        <f>'Functional Levels Drone Survey'!AI11-'Existing Levels Drone Survey'!AI11</f>
        <v>0</v>
      </c>
      <c r="AJ11" s="191">
        <f>'Functional Levels Drone Survey'!AJ11-'Existing Levels Drone Survey'!AJ11</f>
        <v>0</v>
      </c>
      <c r="AK11" s="191">
        <f>'Functional Levels Drone Survey'!AK11-'Existing Levels Drone Survey'!AK11</f>
        <v>0</v>
      </c>
      <c r="AL11" s="191">
        <f>'Functional Levels Drone Survey'!AL11-'Existing Levels Drone Survey'!AL11</f>
        <v>0</v>
      </c>
      <c r="AM11" s="191">
        <f>'Functional Levels Drone Survey'!AM11-'Existing Levels Drone Survey'!AM11</f>
        <v>0</v>
      </c>
      <c r="AN11" s="191">
        <f>'Functional Levels Drone Survey'!AN11-'Existing Levels Drone Survey'!AN11</f>
        <v>0</v>
      </c>
      <c r="AO11" s="191">
        <f>'Functional Levels Drone Survey'!AO11-'Existing Levels Drone Survey'!AO11</f>
        <v>0</v>
      </c>
      <c r="AP11" s="191">
        <f>'Functional Levels Drone Survey'!AP11-'Existing Levels Drone Survey'!AP11</f>
        <v>0</v>
      </c>
      <c r="AQ11" s="191">
        <f>'Functional Levels Drone Survey'!AQ11-'Existing Levels Drone Survey'!AQ11</f>
        <v>0</v>
      </c>
      <c r="AR11" s="191">
        <f>'Functional Levels Drone Survey'!AR11-'Existing Levels Drone Survey'!AR11</f>
        <v>0</v>
      </c>
      <c r="AS11" s="191">
        <f>'Functional Levels Drone Survey'!AS11-'Existing Levels Drone Survey'!AS11</f>
        <v>0</v>
      </c>
      <c r="AT11" s="191">
        <f>'Functional Levels Drone Survey'!AT11-'Existing Levels Drone Survey'!AT11</f>
        <v>0</v>
      </c>
      <c r="AU11" s="191">
        <f>'Functional Levels Drone Survey'!AU11-'Existing Levels Drone Survey'!AU11</f>
        <v>0</v>
      </c>
      <c r="AV11" s="191">
        <f>'Functional Levels Drone Survey'!AV11-'Existing Levels Drone Survey'!AV11</f>
        <v>0</v>
      </c>
      <c r="AW11" s="191">
        <f>'Functional Levels Drone Survey'!AW11-'Existing Levels Drone Survey'!AW11</f>
        <v>0</v>
      </c>
      <c r="AX11" s="191">
        <f>'Functional Levels Drone Survey'!AX11-'Existing Levels Drone Survey'!AX11</f>
        <v>0</v>
      </c>
      <c r="AY11" s="191">
        <f>'Functional Levels Drone Survey'!AY11-'Existing Levels Drone Survey'!AY11</f>
        <v>0</v>
      </c>
      <c r="AZ11" s="191">
        <f>'Functional Levels Drone Survey'!AZ11-'Existing Levels Drone Survey'!AZ11</f>
        <v>0</v>
      </c>
      <c r="BA11" s="191">
        <f>'Functional Levels Drone Survey'!BA11-'Existing Levels Drone Survey'!BA11</f>
        <v>0</v>
      </c>
      <c r="BB11" s="191">
        <f>'Functional Levels Drone Survey'!BB11-'Existing Levels Drone Survey'!BB11</f>
        <v>0</v>
      </c>
      <c r="BC11" s="191">
        <f>'Functional Levels Drone Survey'!BC11-'Existing Levels Drone Survey'!BC11</f>
        <v>0</v>
      </c>
      <c r="BD11" s="191">
        <f>'Functional Levels Drone Survey'!BD11-'Existing Levels Drone Survey'!BD11</f>
        <v>0</v>
      </c>
      <c r="BE11" s="191">
        <f>'Functional Levels Drone Survey'!BE11-'Existing Levels Drone Survey'!BE11</f>
        <v>0</v>
      </c>
      <c r="BF11" s="191">
        <f>'Functional Levels Drone Survey'!BF11-'Existing Levels Drone Survey'!BF11</f>
        <v>0</v>
      </c>
      <c r="BG11" s="191">
        <f>'Functional Levels Drone Survey'!BG11-'Existing Levels Drone Survey'!BG11</f>
        <v>0</v>
      </c>
      <c r="BH11" s="191">
        <f>'Functional Levels Drone Survey'!BH11-'Existing Levels Drone Survey'!BH11</f>
        <v>0</v>
      </c>
      <c r="BI11" s="191">
        <f>'Functional Levels Drone Survey'!BI11-'Existing Levels Drone Survey'!BI11</f>
        <v>0</v>
      </c>
      <c r="BJ11" s="191">
        <f>'Functional Levels Drone Survey'!BJ11-'Existing Levels Drone Survey'!BJ11</f>
        <v>0</v>
      </c>
      <c r="BK11" s="191">
        <f>'Functional Levels Drone Survey'!BK11-'Existing Levels Drone Survey'!BK11</f>
        <v>0</v>
      </c>
      <c r="BL11" s="191">
        <f>'Functional Levels Drone Survey'!BL11-'Existing Levels Drone Survey'!BL11</f>
        <v>0</v>
      </c>
      <c r="BM11" s="191">
        <f>'Functional Levels Drone Survey'!BM11-'Existing Levels Drone Survey'!BM11</f>
        <v>0</v>
      </c>
      <c r="BN11" s="191">
        <f>'Functional Levels Drone Survey'!BN11-'Existing Levels Drone Survey'!BN11</f>
        <v>0</v>
      </c>
      <c r="BO11" s="191">
        <f>'Functional Levels Drone Survey'!BO11-'Existing Levels Drone Survey'!BO11</f>
        <v>0</v>
      </c>
      <c r="BP11" s="191">
        <f>'Functional Levels Drone Survey'!BP11-'Existing Levels Drone Survey'!BP11</f>
        <v>0</v>
      </c>
      <c r="BQ11" s="191">
        <f>'Functional Levels Drone Survey'!BQ11-'Existing Levels Drone Survey'!BQ11</f>
        <v>0</v>
      </c>
      <c r="BR11" s="191">
        <f>'Functional Levels Drone Survey'!BR11-'Existing Levels Drone Survey'!BR11</f>
        <v>0</v>
      </c>
      <c r="BS11" s="191">
        <f>'Functional Levels Drone Survey'!BS11-'Existing Levels Drone Survey'!BS11</f>
        <v>0</v>
      </c>
      <c r="BT11" s="191">
        <f>'Functional Levels Drone Survey'!BT11-'Existing Levels Drone Survey'!BT11</f>
        <v>0</v>
      </c>
      <c r="BU11" s="191">
        <f>'Functional Levels Drone Survey'!BU11-'Existing Levels Drone Survey'!BU11</f>
        <v>0</v>
      </c>
      <c r="BV11" s="191">
        <f>'Functional Levels Drone Survey'!BV11-'Existing Levels Drone Survey'!BV11</f>
        <v>0</v>
      </c>
      <c r="BW11" s="191">
        <f>'Functional Levels Drone Survey'!BW11-'Existing Levels Drone Survey'!BW11</f>
        <v>0</v>
      </c>
      <c r="BX11" s="191">
        <f>'Functional Levels Drone Survey'!BX11-'Existing Levels Drone Survey'!BX11</f>
        <v>0</v>
      </c>
      <c r="BY11" s="191">
        <f>'Functional Levels Drone Survey'!BY11-'Existing Levels Drone Survey'!BY11</f>
        <v>0</v>
      </c>
      <c r="BZ11" s="191">
        <f>'Functional Levels Drone Survey'!BZ11-'Existing Levels Drone Survey'!BZ11</f>
        <v>0</v>
      </c>
      <c r="CA11" s="191">
        <f>'Functional Levels Drone Survey'!CA11-'Existing Levels Drone Survey'!CA11</f>
        <v>0</v>
      </c>
      <c r="CB11" s="191">
        <f>'Functional Levels Drone Survey'!CB11-'Existing Levels Drone Survey'!CB11</f>
        <v>0</v>
      </c>
      <c r="CC11" s="191">
        <f>'Functional Levels Drone Survey'!CC11-'Existing Levels Drone Survey'!CC11</f>
        <v>0</v>
      </c>
      <c r="CD11" s="191">
        <f>'Functional Levels Drone Survey'!CD11-'Existing Levels Drone Survey'!CD11</f>
        <v>0</v>
      </c>
      <c r="CE11" s="191">
        <f>'Functional Levels Drone Survey'!CE11-'Existing Levels Drone Survey'!CE11</f>
        <v>0</v>
      </c>
      <c r="CF11" s="191">
        <f>'Functional Levels Drone Survey'!CF11-'Existing Levels Drone Survey'!CF11</f>
        <v>0</v>
      </c>
      <c r="CG11" s="191">
        <f>'Functional Levels Drone Survey'!CG11-'Existing Levels Drone Survey'!CG11</f>
        <v>0</v>
      </c>
      <c r="CH11" s="191">
        <f>'Functional Levels Drone Survey'!CH11-'Existing Levels Drone Survey'!CH11</f>
        <v>0</v>
      </c>
      <c r="CI11" s="191">
        <f>'Functional Levels Drone Survey'!CI11-'Existing Levels Drone Survey'!CI11</f>
        <v>0</v>
      </c>
      <c r="CJ11" s="191">
        <f>'Functional Levels Drone Survey'!CJ11-'Existing Levels Drone Survey'!CJ11</f>
        <v>0</v>
      </c>
      <c r="CK11" s="191">
        <f>'Functional Levels Drone Survey'!CK11-'Existing Levels Drone Survey'!CK11</f>
        <v>0</v>
      </c>
      <c r="CL11" s="191">
        <f>'Functional Levels Drone Survey'!CL11-'Existing Levels Drone Survey'!CL11</f>
        <v>0</v>
      </c>
      <c r="CM11" s="191">
        <f>'Functional Levels Drone Survey'!CM11-'Existing Levels Drone Survey'!CM11</f>
        <v>0</v>
      </c>
      <c r="CN11" s="191">
        <f>'Functional Levels Drone Survey'!CN11-'Existing Levels Drone Survey'!CN11</f>
        <v>0</v>
      </c>
      <c r="CO11" s="191">
        <f>'Functional Levels Drone Survey'!CO11-'Existing Levels Drone Survey'!CO11</f>
        <v>0</v>
      </c>
      <c r="CP11" s="191">
        <f>'Functional Levels Drone Survey'!CP11-'Existing Levels Drone Survey'!CP11</f>
        <v>0</v>
      </c>
      <c r="CQ11" s="191">
        <f>'Functional Levels Drone Survey'!CQ11-'Existing Levels Drone Survey'!CQ11</f>
        <v>0</v>
      </c>
      <c r="CR11" s="191">
        <f>'Functional Levels Drone Survey'!CR11-'Existing Levels Drone Survey'!CR11</f>
        <v>0</v>
      </c>
      <c r="CS11" s="191">
        <f>'Functional Levels Drone Survey'!CS11-'Existing Levels Drone Survey'!CS11</f>
        <v>0</v>
      </c>
      <c r="CT11" s="191">
        <f>'Functional Levels Drone Survey'!CT11-'Existing Levels Drone Survey'!CT11</f>
        <v>0</v>
      </c>
      <c r="CU11" s="191">
        <f>'Functional Levels Drone Survey'!CU11-'Existing Levels Drone Survey'!CU11</f>
        <v>0</v>
      </c>
      <c r="CV11" s="191">
        <f>'Functional Levels Drone Survey'!CV11-'Existing Levels Drone Survey'!CV11</f>
        <v>0</v>
      </c>
      <c r="CW11" s="191">
        <f>'Functional Levels Drone Survey'!CW11-'Existing Levels Drone Survey'!CW11</f>
        <v>0</v>
      </c>
      <c r="CX11" s="191">
        <f>'Functional Levels Drone Survey'!CX11-'Existing Levels Drone Survey'!CX11</f>
        <v>0</v>
      </c>
      <c r="CY11" s="191">
        <f>'Functional Levels Drone Survey'!CY11-'Existing Levels Drone Survey'!CY11</f>
        <v>0</v>
      </c>
      <c r="CZ11" s="191">
        <f>'Functional Levels Drone Survey'!CZ11-'Existing Levels Drone Survey'!CZ11</f>
        <v>0</v>
      </c>
      <c r="DA11" s="191">
        <f>'Functional Levels Drone Survey'!DA11-'Existing Levels Drone Survey'!DA11</f>
        <v>0</v>
      </c>
      <c r="DB11" s="191">
        <f>'Functional Levels Drone Survey'!DB11-'Existing Levels Drone Survey'!DB11</f>
        <v>0</v>
      </c>
      <c r="DC11" s="191">
        <f>'Functional Levels Drone Survey'!DC11-'Existing Levels Drone Survey'!DC11</f>
        <v>0</v>
      </c>
      <c r="DD11" s="191">
        <f>'Functional Levels Drone Survey'!DD11-'Existing Levels Drone Survey'!DD11</f>
        <v>0</v>
      </c>
      <c r="DE11" s="191">
        <f>'Functional Levels Drone Survey'!DE11-'Existing Levels Drone Survey'!DE11</f>
        <v>0</v>
      </c>
      <c r="DF11" s="191">
        <f>'Functional Levels Drone Survey'!DF11-'Existing Levels Drone Survey'!DF11</f>
        <v>0</v>
      </c>
      <c r="DG11" s="191">
        <f>'Functional Levels Drone Survey'!DG11-'Existing Levels Drone Survey'!DG11</f>
        <v>0</v>
      </c>
      <c r="DH11" s="191">
        <f>'Functional Levels Drone Survey'!DH11-'Existing Levels Drone Survey'!DH11</f>
        <v>0</v>
      </c>
      <c r="DI11" s="191">
        <f>'Functional Levels Drone Survey'!DI11-'Existing Levels Drone Survey'!DI11</f>
        <v>0</v>
      </c>
      <c r="DJ11" s="191">
        <f>'Functional Levels Drone Survey'!DJ11-'Existing Levels Drone Survey'!DJ11</f>
        <v>0</v>
      </c>
      <c r="DK11" s="191">
        <f>'Functional Levels Drone Survey'!DK11-'Existing Levels Drone Survey'!DK11</f>
        <v>0</v>
      </c>
      <c r="DL11" s="191">
        <f>'Functional Levels Drone Survey'!DL11-'Existing Levels Drone Survey'!DL11</f>
        <v>0</v>
      </c>
      <c r="DM11" s="191">
        <f>'Functional Levels Drone Survey'!DM11-'Existing Levels Drone Survey'!DM11</f>
        <v>0</v>
      </c>
      <c r="DN11" s="191">
        <f>'Functional Levels Drone Survey'!DN11-'Existing Levels Drone Survey'!DN11</f>
        <v>0</v>
      </c>
      <c r="DO11" s="191">
        <f>'Functional Levels Drone Survey'!DO11-'Existing Levels Drone Survey'!DO11</f>
        <v>0</v>
      </c>
      <c r="DP11" s="191">
        <f>'Functional Levels Drone Survey'!DP11-'Existing Levels Drone Survey'!DP11</f>
        <v>0</v>
      </c>
      <c r="DQ11" s="191">
        <f>'Functional Levels Drone Survey'!DQ11-'Existing Levels Drone Survey'!DQ11</f>
        <v>0</v>
      </c>
      <c r="DR11" s="191">
        <f>'Functional Levels Drone Survey'!DR11-'Existing Levels Drone Survey'!DR11</f>
        <v>0</v>
      </c>
      <c r="DS11" s="191">
        <f>'Functional Levels Drone Survey'!DS11-'Existing Levels Drone Survey'!DS11</f>
        <v>0</v>
      </c>
      <c r="DT11" s="191">
        <f>'Functional Levels Drone Survey'!DT11-'Existing Levels Drone Survey'!DT11</f>
        <v>0</v>
      </c>
      <c r="DU11" s="191">
        <f>'Functional Levels Drone Survey'!DU11-'Existing Levels Drone Survey'!DU11</f>
        <v>0</v>
      </c>
      <c r="DV11" s="278">
        <f>'Functional Levels Drone Survey'!DV11-'Existing Levels Drone Survey'!DV11</f>
        <v>-1.0728000000000293</v>
      </c>
      <c r="DW11" s="279">
        <f>'Functional Levels Drone Survey'!DW11-'Existing Levels Drone Survey'!DW11</f>
        <v>2.7699999999981628E-2</v>
      </c>
      <c r="DX11" s="191">
        <f>'Functional Levels Drone Survey'!DX11-'Existing Levels Drone Survey'!DX11</f>
        <v>-0.20720000000000027</v>
      </c>
      <c r="DY11" s="191">
        <f>'Functional Levels Drone Survey'!DY11-'Existing Levels Drone Survey'!DY11</f>
        <v>-0.20420000000001437</v>
      </c>
      <c r="DZ11" s="191">
        <f>'Functional Levels Drone Survey'!DZ11-'Existing Levels Drone Survey'!DZ11</f>
        <v>-0.23150000000003956</v>
      </c>
      <c r="EA11" s="191">
        <f>'Functional Levels Drone Survey'!EA11-'Existing Levels Drone Survey'!EA11</f>
        <v>-4.3600000000026284E-2</v>
      </c>
      <c r="EB11" s="191">
        <f>'Functional Levels Drone Survey'!EB11-'Existing Levels Drone Survey'!EB11</f>
        <v>0.15769999999997708</v>
      </c>
      <c r="EC11" s="191">
        <f>'Functional Levels Drone Survey'!EC11-'Existing Levels Drone Survey'!EC11</f>
        <v>-0.21080000000000609</v>
      </c>
      <c r="ED11" s="191">
        <f>'Functional Levels Drone Survey'!ED11-'Existing Levels Drone Survey'!ED11</f>
        <v>-0.29250000000001819</v>
      </c>
      <c r="EE11" s="191">
        <f>'Functional Levels Drone Survey'!EE11-'Existing Levels Drone Survey'!EE11</f>
        <v>-0.30580000000003338</v>
      </c>
      <c r="EF11" s="191">
        <f>'Functional Levels Drone Survey'!EF11-'Existing Levels Drone Survey'!EF11</f>
        <v>-0.28940000000000055</v>
      </c>
      <c r="EG11" s="191">
        <f>'Functional Levels Drone Survey'!EG11-'Existing Levels Drone Survey'!EG11</f>
        <v>-0.2387000000000512</v>
      </c>
      <c r="EH11" s="279">
        <f>'Functional Levels Drone Survey'!EH11-'Existing Levels Drone Survey'!EH11</f>
        <v>-0.27020000000004529</v>
      </c>
      <c r="EI11" s="191">
        <f>'Functional Levels Drone Survey'!EI11-'Existing Levels Drone Survey'!EI11</f>
        <v>-8.6500000000114596E-2</v>
      </c>
      <c r="EJ11" s="191">
        <f>'Functional Levels Drone Survey'!EJ11-'Existing Levels Drone Survey'!EJ11</f>
        <v>-0.46380000000010568</v>
      </c>
      <c r="EK11" s="278">
        <f>'Functional Levels Drone Survey'!EK11-'Existing Levels Drone Survey'!EK11</f>
        <v>-1.0698000000001002</v>
      </c>
      <c r="EL11" s="278">
        <f>'Functional Levels Drone Survey'!EL11-'Existing Levels Drone Survey'!EL11</f>
        <v>0.6966999999999075</v>
      </c>
      <c r="EM11" s="191">
        <f>'Functional Levels Drone Survey'!EM11-'Existing Levels Drone Survey'!EM11</f>
        <v>0</v>
      </c>
      <c r="EN11" s="191">
        <f>'Functional Levels Drone Survey'!EN11-'Existing Levels Drone Survey'!EN11</f>
        <v>0</v>
      </c>
      <c r="EO11" s="191">
        <f>'Functional Levels Drone Survey'!EO11-'Existing Levels Drone Survey'!EO11</f>
        <v>0</v>
      </c>
      <c r="EP11" s="191">
        <f>'Functional Levels Drone Survey'!EP11-'Existing Levels Drone Survey'!EP11</f>
        <v>0</v>
      </c>
      <c r="EQ11" s="191">
        <f>'Functional Levels Drone Survey'!EQ11-'Existing Levels Drone Survey'!EQ11</f>
        <v>0</v>
      </c>
      <c r="ER11" s="191">
        <f>'Functional Levels Drone Survey'!ER11-'Existing Levels Drone Survey'!ER11</f>
        <v>0</v>
      </c>
      <c r="ES11" s="191">
        <f>'Functional Levels Drone Survey'!ES11-'Existing Levels Drone Survey'!ES11</f>
        <v>0</v>
      </c>
      <c r="ET11" s="191">
        <f>'Functional Levels Drone Survey'!ET11-'Existing Levels Drone Survey'!ET11</f>
        <v>0</v>
      </c>
      <c r="EU11" s="191">
        <f>'Functional Levels Drone Survey'!EU11-'Existing Levels Drone Survey'!EU11</f>
        <v>0</v>
      </c>
      <c r="EV11" s="191">
        <f>'Functional Levels Drone Survey'!EV11-'Existing Levels Drone Survey'!EV11</f>
        <v>0</v>
      </c>
      <c r="EW11" s="191">
        <f>'Functional Levels Drone Survey'!EW11-'Existing Levels Drone Survey'!EW11</f>
        <v>0</v>
      </c>
      <c r="EX11" s="191">
        <f>'Functional Levels Drone Survey'!EX11-'Existing Levels Drone Survey'!EX11</f>
        <v>0</v>
      </c>
      <c r="EY11" s="191">
        <f>'Functional Levels Drone Survey'!EY11-'Existing Levels Drone Survey'!EY11</f>
        <v>0</v>
      </c>
    </row>
    <row r="12" spans="1:155" ht="45" customHeight="1" x14ac:dyDescent="0.45">
      <c r="A12" s="277">
        <v>55</v>
      </c>
      <c r="B12" s="191">
        <f>'Functional Levels Drone Survey'!B12-'Existing Levels Drone Survey'!B12</f>
        <v>0</v>
      </c>
      <c r="C12" s="191">
        <f>'Functional Levels Drone Survey'!C12-'Existing Levels Drone Survey'!C12</f>
        <v>0</v>
      </c>
      <c r="D12" s="191">
        <f>'Functional Levels Drone Survey'!D12-'Existing Levels Drone Survey'!D12</f>
        <v>0</v>
      </c>
      <c r="E12" s="191">
        <f>'Functional Levels Drone Survey'!E12-'Existing Levels Drone Survey'!E12</f>
        <v>0</v>
      </c>
      <c r="F12" s="191">
        <f>'Functional Levels Drone Survey'!F12-'Existing Levels Drone Survey'!F12</f>
        <v>0</v>
      </c>
      <c r="G12" s="191">
        <f>'Functional Levels Drone Survey'!G12-'Existing Levels Drone Survey'!G12</f>
        <v>0</v>
      </c>
      <c r="H12" s="191">
        <f>'Functional Levels Drone Survey'!H12-'Existing Levels Drone Survey'!H12</f>
        <v>0</v>
      </c>
      <c r="I12" s="191">
        <f>'Functional Levels Drone Survey'!I12-'Existing Levels Drone Survey'!I12</f>
        <v>0</v>
      </c>
      <c r="J12" s="191">
        <f>'Functional Levels Drone Survey'!J12-'Existing Levels Drone Survey'!J12</f>
        <v>0</v>
      </c>
      <c r="K12" s="191">
        <f>'Functional Levels Drone Survey'!K12-'Existing Levels Drone Survey'!K12</f>
        <v>0</v>
      </c>
      <c r="L12" s="191">
        <f>'Functional Levels Drone Survey'!L12-'Existing Levels Drone Survey'!L12</f>
        <v>0</v>
      </c>
      <c r="M12" s="191">
        <f>'Functional Levels Drone Survey'!M12-'Existing Levels Drone Survey'!M12</f>
        <v>0</v>
      </c>
      <c r="N12" s="191">
        <f>'Functional Levels Drone Survey'!N12-'Existing Levels Drone Survey'!N12</f>
        <v>0</v>
      </c>
      <c r="O12" s="191">
        <f>'Functional Levels Drone Survey'!O12-'Existing Levels Drone Survey'!O12</f>
        <v>0</v>
      </c>
      <c r="P12" s="191">
        <f>'Functional Levels Drone Survey'!P12-'Existing Levels Drone Survey'!P12</f>
        <v>0</v>
      </c>
      <c r="Q12" s="191">
        <f>'Functional Levels Drone Survey'!Q12-'Existing Levels Drone Survey'!Q12</f>
        <v>0</v>
      </c>
      <c r="R12" s="191">
        <f>'Functional Levels Drone Survey'!R12-'Existing Levels Drone Survey'!R12</f>
        <v>0</v>
      </c>
      <c r="S12" s="191">
        <f>'Functional Levels Drone Survey'!S12-'Existing Levels Drone Survey'!S12</f>
        <v>0</v>
      </c>
      <c r="T12" s="191">
        <f>'Functional Levels Drone Survey'!T12-'Existing Levels Drone Survey'!T12</f>
        <v>0</v>
      </c>
      <c r="U12" s="191">
        <f>'Functional Levels Drone Survey'!U12-'Existing Levels Drone Survey'!U12</f>
        <v>0</v>
      </c>
      <c r="V12" s="191">
        <f>'Functional Levels Drone Survey'!V12-'Existing Levels Drone Survey'!V12</f>
        <v>0</v>
      </c>
      <c r="W12" s="191">
        <f>'Functional Levels Drone Survey'!W12-'Existing Levels Drone Survey'!W12</f>
        <v>0</v>
      </c>
      <c r="X12" s="191">
        <f>'Functional Levels Drone Survey'!X12-'Existing Levels Drone Survey'!X12</f>
        <v>0</v>
      </c>
      <c r="Y12" s="191">
        <f>'Functional Levels Drone Survey'!Y12-'Existing Levels Drone Survey'!Y12</f>
        <v>0</v>
      </c>
      <c r="Z12" s="191">
        <f>'Functional Levels Drone Survey'!Z12-'Existing Levels Drone Survey'!Z12</f>
        <v>0</v>
      </c>
      <c r="AA12" s="191">
        <f>'Functional Levels Drone Survey'!AA12-'Existing Levels Drone Survey'!AA12</f>
        <v>0</v>
      </c>
      <c r="AB12" s="191">
        <f>'Functional Levels Drone Survey'!AB12-'Existing Levels Drone Survey'!AB12</f>
        <v>0</v>
      </c>
      <c r="AC12" s="191">
        <f>'Functional Levels Drone Survey'!AC12-'Existing Levels Drone Survey'!AC12</f>
        <v>0</v>
      </c>
      <c r="AD12" s="191">
        <f>'Functional Levels Drone Survey'!AD12-'Existing Levels Drone Survey'!AD12</f>
        <v>0</v>
      </c>
      <c r="AE12" s="191">
        <f>'Functional Levels Drone Survey'!AE12-'Existing Levels Drone Survey'!AE12</f>
        <v>0</v>
      </c>
      <c r="AF12" s="191">
        <f>'Functional Levels Drone Survey'!AF12-'Existing Levels Drone Survey'!AF12</f>
        <v>0</v>
      </c>
      <c r="AG12" s="191">
        <f>'Functional Levels Drone Survey'!AG12-'Existing Levels Drone Survey'!AG12</f>
        <v>0</v>
      </c>
      <c r="AH12" s="191">
        <f>'Functional Levels Drone Survey'!AH12-'Existing Levels Drone Survey'!AH12</f>
        <v>0</v>
      </c>
      <c r="AI12" s="191">
        <f>'Functional Levels Drone Survey'!AI12-'Existing Levels Drone Survey'!AI12</f>
        <v>0</v>
      </c>
      <c r="AJ12" s="191">
        <f>'Functional Levels Drone Survey'!AJ12-'Existing Levels Drone Survey'!AJ12</f>
        <v>0</v>
      </c>
      <c r="AK12" s="191">
        <f>'Functional Levels Drone Survey'!AK12-'Existing Levels Drone Survey'!AK12</f>
        <v>0</v>
      </c>
      <c r="AL12" s="191">
        <f>'Functional Levels Drone Survey'!AL12-'Existing Levels Drone Survey'!AL12</f>
        <v>0</v>
      </c>
      <c r="AM12" s="191">
        <f>'Functional Levels Drone Survey'!AM12-'Existing Levels Drone Survey'!AM12</f>
        <v>0</v>
      </c>
      <c r="AN12" s="191">
        <f>'Functional Levels Drone Survey'!AN12-'Existing Levels Drone Survey'!AN12</f>
        <v>0</v>
      </c>
      <c r="AO12" s="191">
        <f>'Functional Levels Drone Survey'!AO12-'Existing Levels Drone Survey'!AO12</f>
        <v>0</v>
      </c>
      <c r="AP12" s="191">
        <f>'Functional Levels Drone Survey'!AP12-'Existing Levels Drone Survey'!AP12</f>
        <v>0</v>
      </c>
      <c r="AQ12" s="191">
        <f>'Functional Levels Drone Survey'!AQ12-'Existing Levels Drone Survey'!AQ12</f>
        <v>0</v>
      </c>
      <c r="AR12" s="191">
        <f>'Functional Levels Drone Survey'!AR12-'Existing Levels Drone Survey'!AR12</f>
        <v>0</v>
      </c>
      <c r="AS12" s="191">
        <f>'Functional Levels Drone Survey'!AS12-'Existing Levels Drone Survey'!AS12</f>
        <v>0</v>
      </c>
      <c r="AT12" s="191">
        <f>'Functional Levels Drone Survey'!AT12-'Existing Levels Drone Survey'!AT12</f>
        <v>0</v>
      </c>
      <c r="AU12" s="191">
        <f>'Functional Levels Drone Survey'!AU12-'Existing Levels Drone Survey'!AU12</f>
        <v>0</v>
      </c>
      <c r="AV12" s="191">
        <f>'Functional Levels Drone Survey'!AV12-'Existing Levels Drone Survey'!AV12</f>
        <v>0</v>
      </c>
      <c r="AW12" s="191">
        <f>'Functional Levels Drone Survey'!AW12-'Existing Levels Drone Survey'!AW12</f>
        <v>0</v>
      </c>
      <c r="AX12" s="191">
        <f>'Functional Levels Drone Survey'!AX12-'Existing Levels Drone Survey'!AX12</f>
        <v>0</v>
      </c>
      <c r="AY12" s="191">
        <f>'Functional Levels Drone Survey'!AY12-'Existing Levels Drone Survey'!AY12</f>
        <v>0</v>
      </c>
      <c r="AZ12" s="191">
        <f>'Functional Levels Drone Survey'!AZ12-'Existing Levels Drone Survey'!AZ12</f>
        <v>0</v>
      </c>
      <c r="BA12" s="191">
        <f>'Functional Levels Drone Survey'!BA12-'Existing Levels Drone Survey'!BA12</f>
        <v>0</v>
      </c>
      <c r="BB12" s="191">
        <f>'Functional Levels Drone Survey'!BB12-'Existing Levels Drone Survey'!BB12</f>
        <v>0</v>
      </c>
      <c r="BC12" s="191">
        <f>'Functional Levels Drone Survey'!BC12-'Existing Levels Drone Survey'!BC12</f>
        <v>0</v>
      </c>
      <c r="BD12" s="191">
        <f>'Functional Levels Drone Survey'!BD12-'Existing Levels Drone Survey'!BD12</f>
        <v>0</v>
      </c>
      <c r="BE12" s="191">
        <f>'Functional Levels Drone Survey'!BE12-'Existing Levels Drone Survey'!BE12</f>
        <v>0</v>
      </c>
      <c r="BF12" s="191">
        <f>'Functional Levels Drone Survey'!BF12-'Existing Levels Drone Survey'!BF12</f>
        <v>0</v>
      </c>
      <c r="BG12" s="191">
        <f>'Functional Levels Drone Survey'!BG12-'Existing Levels Drone Survey'!BG12</f>
        <v>0</v>
      </c>
      <c r="BH12" s="191">
        <f>'Functional Levels Drone Survey'!BH12-'Existing Levels Drone Survey'!BH12</f>
        <v>0</v>
      </c>
      <c r="BI12" s="191">
        <f>'Functional Levels Drone Survey'!BI12-'Existing Levels Drone Survey'!BI12</f>
        <v>0</v>
      </c>
      <c r="BJ12" s="191">
        <f>'Functional Levels Drone Survey'!BJ12-'Existing Levels Drone Survey'!BJ12</f>
        <v>0</v>
      </c>
      <c r="BK12" s="191">
        <f>'Functional Levels Drone Survey'!BK12-'Existing Levels Drone Survey'!BK12</f>
        <v>0</v>
      </c>
      <c r="BL12" s="191">
        <f>'Functional Levels Drone Survey'!BL12-'Existing Levels Drone Survey'!BL12</f>
        <v>0</v>
      </c>
      <c r="BM12" s="191">
        <f>'Functional Levels Drone Survey'!BM12-'Existing Levels Drone Survey'!BM12</f>
        <v>0</v>
      </c>
      <c r="BN12" s="191">
        <f>'Functional Levels Drone Survey'!BN12-'Existing Levels Drone Survey'!BN12</f>
        <v>0</v>
      </c>
      <c r="BO12" s="191">
        <f>'Functional Levels Drone Survey'!BO12-'Existing Levels Drone Survey'!BO12</f>
        <v>0</v>
      </c>
      <c r="BP12" s="191">
        <f>'Functional Levels Drone Survey'!BP12-'Existing Levels Drone Survey'!BP12</f>
        <v>0</v>
      </c>
      <c r="BQ12" s="191">
        <f>'Functional Levels Drone Survey'!BQ12-'Existing Levels Drone Survey'!BQ12</f>
        <v>0</v>
      </c>
      <c r="BR12" s="191">
        <f>'Functional Levels Drone Survey'!BR12-'Existing Levels Drone Survey'!BR12</f>
        <v>0</v>
      </c>
      <c r="BS12" s="191">
        <f>'Functional Levels Drone Survey'!BS12-'Existing Levels Drone Survey'!BS12</f>
        <v>0</v>
      </c>
      <c r="BT12" s="191">
        <f>'Functional Levels Drone Survey'!BT12-'Existing Levels Drone Survey'!BT12</f>
        <v>0</v>
      </c>
      <c r="BU12" s="191">
        <f>'Functional Levels Drone Survey'!BU12-'Existing Levels Drone Survey'!BU12</f>
        <v>0</v>
      </c>
      <c r="BV12" s="191">
        <f>'Functional Levels Drone Survey'!BV12-'Existing Levels Drone Survey'!BV12</f>
        <v>0</v>
      </c>
      <c r="BW12" s="191">
        <f>'Functional Levels Drone Survey'!BW12-'Existing Levels Drone Survey'!BW12</f>
        <v>0</v>
      </c>
      <c r="BX12" s="191">
        <f>'Functional Levels Drone Survey'!BX12-'Existing Levels Drone Survey'!BX12</f>
        <v>0</v>
      </c>
      <c r="BY12" s="191">
        <f>'Functional Levels Drone Survey'!BY12-'Existing Levels Drone Survey'!BY12</f>
        <v>0</v>
      </c>
      <c r="BZ12" s="191">
        <f>'Functional Levels Drone Survey'!BZ12-'Existing Levels Drone Survey'!BZ12</f>
        <v>0</v>
      </c>
      <c r="CA12" s="191">
        <f>'Functional Levels Drone Survey'!CA12-'Existing Levels Drone Survey'!CA12</f>
        <v>0</v>
      </c>
      <c r="CB12" s="191">
        <f>'Functional Levels Drone Survey'!CB12-'Existing Levels Drone Survey'!CB12</f>
        <v>0</v>
      </c>
      <c r="CC12" s="191">
        <f>'Functional Levels Drone Survey'!CC12-'Existing Levels Drone Survey'!CC12</f>
        <v>0</v>
      </c>
      <c r="CD12" s="191">
        <f>'Functional Levels Drone Survey'!CD12-'Existing Levels Drone Survey'!CD12</f>
        <v>0</v>
      </c>
      <c r="CE12" s="191">
        <f>'Functional Levels Drone Survey'!CE12-'Existing Levels Drone Survey'!CE12</f>
        <v>0</v>
      </c>
      <c r="CF12" s="191">
        <f>'Functional Levels Drone Survey'!CF12-'Existing Levels Drone Survey'!CF12</f>
        <v>0</v>
      </c>
      <c r="CG12" s="191">
        <f>'Functional Levels Drone Survey'!CG12-'Existing Levels Drone Survey'!CG12</f>
        <v>0</v>
      </c>
      <c r="CH12" s="191">
        <f>'Functional Levels Drone Survey'!CH12-'Existing Levels Drone Survey'!CH12</f>
        <v>0</v>
      </c>
      <c r="CI12" s="191">
        <f>'Functional Levels Drone Survey'!CI12-'Existing Levels Drone Survey'!CI12</f>
        <v>0</v>
      </c>
      <c r="CJ12" s="191">
        <f>'Functional Levels Drone Survey'!CJ12-'Existing Levels Drone Survey'!CJ12</f>
        <v>0</v>
      </c>
      <c r="CK12" s="191">
        <f>'Functional Levels Drone Survey'!CK12-'Existing Levels Drone Survey'!CK12</f>
        <v>0</v>
      </c>
      <c r="CL12" s="191">
        <f>'Functional Levels Drone Survey'!CL12-'Existing Levels Drone Survey'!CL12</f>
        <v>0</v>
      </c>
      <c r="CM12" s="191">
        <f>'Functional Levels Drone Survey'!CM12-'Existing Levels Drone Survey'!CM12</f>
        <v>0</v>
      </c>
      <c r="CN12" s="191">
        <f>'Functional Levels Drone Survey'!CN12-'Existing Levels Drone Survey'!CN12</f>
        <v>0</v>
      </c>
      <c r="CO12" s="191">
        <f>'Functional Levels Drone Survey'!CO12-'Existing Levels Drone Survey'!CO12</f>
        <v>0</v>
      </c>
      <c r="CP12" s="191">
        <f>'Functional Levels Drone Survey'!CP12-'Existing Levels Drone Survey'!CP12</f>
        <v>0</v>
      </c>
      <c r="CQ12" s="191">
        <f>'Functional Levels Drone Survey'!CQ12-'Existing Levels Drone Survey'!CQ12</f>
        <v>0</v>
      </c>
      <c r="CR12" s="191">
        <f>'Functional Levels Drone Survey'!CR12-'Existing Levels Drone Survey'!CR12</f>
        <v>0</v>
      </c>
      <c r="CS12" s="191">
        <f>'Functional Levels Drone Survey'!CS12-'Existing Levels Drone Survey'!CS12</f>
        <v>0</v>
      </c>
      <c r="CT12" s="191">
        <f>'Functional Levels Drone Survey'!CT12-'Existing Levels Drone Survey'!CT12</f>
        <v>0</v>
      </c>
      <c r="CU12" s="191">
        <f>'Functional Levels Drone Survey'!CU12-'Existing Levels Drone Survey'!CU12</f>
        <v>0</v>
      </c>
      <c r="CV12" s="191">
        <f>'Functional Levels Drone Survey'!CV12-'Existing Levels Drone Survey'!CV12</f>
        <v>0</v>
      </c>
      <c r="CW12" s="191">
        <f>'Functional Levels Drone Survey'!CW12-'Existing Levels Drone Survey'!CW12</f>
        <v>0</v>
      </c>
      <c r="CX12" s="191">
        <f>'Functional Levels Drone Survey'!CX12-'Existing Levels Drone Survey'!CX12</f>
        <v>0</v>
      </c>
      <c r="CY12" s="191">
        <f>'Functional Levels Drone Survey'!CY12-'Existing Levels Drone Survey'!CY12</f>
        <v>0</v>
      </c>
      <c r="CZ12" s="191">
        <f>'Functional Levels Drone Survey'!CZ12-'Existing Levels Drone Survey'!CZ12</f>
        <v>0</v>
      </c>
      <c r="DA12" s="191">
        <f>'Functional Levels Drone Survey'!DA12-'Existing Levels Drone Survey'!DA12</f>
        <v>0</v>
      </c>
      <c r="DB12" s="191">
        <f>'Functional Levels Drone Survey'!DB12-'Existing Levels Drone Survey'!DB12</f>
        <v>0</v>
      </c>
      <c r="DC12" s="191">
        <f>'Functional Levels Drone Survey'!DC12-'Existing Levels Drone Survey'!DC12</f>
        <v>0</v>
      </c>
      <c r="DD12" s="191">
        <f>'Functional Levels Drone Survey'!DD12-'Existing Levels Drone Survey'!DD12</f>
        <v>0</v>
      </c>
      <c r="DE12" s="191">
        <f>'Functional Levels Drone Survey'!DE12-'Existing Levels Drone Survey'!DE12</f>
        <v>0</v>
      </c>
      <c r="DF12" s="191">
        <f>'Functional Levels Drone Survey'!DF12-'Existing Levels Drone Survey'!DF12</f>
        <v>0</v>
      </c>
      <c r="DG12" s="191">
        <f>'Functional Levels Drone Survey'!DG12-'Existing Levels Drone Survey'!DG12</f>
        <v>0</v>
      </c>
      <c r="DH12" s="191">
        <f>'Functional Levels Drone Survey'!DH12-'Existing Levels Drone Survey'!DH12</f>
        <v>0</v>
      </c>
      <c r="DI12" s="191">
        <f>'Functional Levels Drone Survey'!DI12-'Existing Levels Drone Survey'!DI12</f>
        <v>0</v>
      </c>
      <c r="DJ12" s="191">
        <f>'Functional Levels Drone Survey'!DJ12-'Existing Levels Drone Survey'!DJ12</f>
        <v>0</v>
      </c>
      <c r="DK12" s="191">
        <f>'Functional Levels Drone Survey'!DK12-'Existing Levels Drone Survey'!DK12</f>
        <v>0</v>
      </c>
      <c r="DL12" s="191">
        <f>'Functional Levels Drone Survey'!DL12-'Existing Levels Drone Survey'!DL12</f>
        <v>0</v>
      </c>
      <c r="DM12" s="191">
        <f>'Functional Levels Drone Survey'!DM12-'Existing Levels Drone Survey'!DM12</f>
        <v>0</v>
      </c>
      <c r="DN12" s="191">
        <f>'Functional Levels Drone Survey'!DN12-'Existing Levels Drone Survey'!DN12</f>
        <v>0</v>
      </c>
      <c r="DO12" s="191">
        <f>'Functional Levels Drone Survey'!DO12-'Existing Levels Drone Survey'!DO12</f>
        <v>0</v>
      </c>
      <c r="DP12" s="191">
        <f>'Functional Levels Drone Survey'!DP12-'Existing Levels Drone Survey'!DP12</f>
        <v>0</v>
      </c>
      <c r="DQ12" s="191">
        <f>'Functional Levels Drone Survey'!DQ12-'Existing Levels Drone Survey'!DQ12</f>
        <v>0</v>
      </c>
      <c r="DR12" s="191">
        <f>'Functional Levels Drone Survey'!DR12-'Existing Levels Drone Survey'!DR12</f>
        <v>0</v>
      </c>
      <c r="DS12" s="191">
        <f>'Functional Levels Drone Survey'!DS12-'Existing Levels Drone Survey'!DS12</f>
        <v>0</v>
      </c>
      <c r="DT12" s="191">
        <f>'Functional Levels Drone Survey'!DT12-'Existing Levels Drone Survey'!DT12</f>
        <v>0</v>
      </c>
      <c r="DU12" s="191">
        <f>'Functional Levels Drone Survey'!DU12-'Existing Levels Drone Survey'!DU12</f>
        <v>0</v>
      </c>
      <c r="DV12" s="278">
        <f>'Functional Levels Drone Survey'!DV12-'Existing Levels Drone Survey'!DV12</f>
        <v>-0.5845000000000482</v>
      </c>
      <c r="DW12" s="279">
        <f>'Functional Levels Drone Survey'!DW12-'Existing Levels Drone Survey'!DW12</f>
        <v>-0.18590000000006057</v>
      </c>
      <c r="DX12" s="191">
        <f>'Functional Levels Drone Survey'!DX12-'Existing Levels Drone Survey'!DX12</f>
        <v>-0.36500000000000909</v>
      </c>
      <c r="DY12" s="191">
        <f>'Functional Levels Drone Survey'!DY12-'Existing Levels Drone Survey'!DY12</f>
        <v>-0.34960000000000946</v>
      </c>
      <c r="DZ12" s="191">
        <f>'Functional Levels Drone Survey'!DZ12-'Existing Levels Drone Survey'!DZ12</f>
        <v>-0.17270000000002028</v>
      </c>
      <c r="EA12" s="191">
        <f>'Functional Levels Drone Survey'!EA12-'Existing Levels Drone Survey'!EA12</f>
        <v>-4.2300000000011551E-2</v>
      </c>
      <c r="EB12" s="191">
        <f>'Functional Levels Drone Survey'!EB12-'Existing Levels Drone Survey'!EB12</f>
        <v>-0.29900000000003502</v>
      </c>
      <c r="EC12" s="191">
        <f>'Functional Levels Drone Survey'!EC12-'Existing Levels Drone Survey'!EC12</f>
        <v>-0.11980000000005475</v>
      </c>
      <c r="ED12" s="191">
        <f>'Functional Levels Drone Survey'!ED12-'Existing Levels Drone Survey'!ED12</f>
        <v>-0.35540000000003147</v>
      </c>
      <c r="EE12" s="191">
        <f>'Functional Levels Drone Survey'!EE12-'Existing Levels Drone Survey'!EE12</f>
        <v>-0.30080000000003793</v>
      </c>
      <c r="EF12" s="191">
        <f>'Functional Levels Drone Survey'!EF12-'Existing Levels Drone Survey'!EF12</f>
        <v>-0.1592000000000553</v>
      </c>
      <c r="EG12" s="191">
        <f>'Functional Levels Drone Survey'!EG12-'Existing Levels Drone Survey'!EG12</f>
        <v>-0.23000000000001819</v>
      </c>
      <c r="EH12" s="279">
        <f>'Functional Levels Drone Survey'!EH12-'Existing Levels Drone Survey'!EH12</f>
        <v>-0.27640000000002374</v>
      </c>
      <c r="EI12" s="191">
        <f>'Functional Levels Drone Survey'!EI12-'Existing Levels Drone Survey'!EI12</f>
        <v>-0.21890000000007603</v>
      </c>
      <c r="EJ12" s="191">
        <f>'Functional Levels Drone Survey'!EJ12-'Existing Levels Drone Survey'!EJ12</f>
        <v>-0.25630000000006703</v>
      </c>
      <c r="EK12" s="191">
        <f>'Functional Levels Drone Survey'!EK12-'Existing Levels Drone Survey'!EK12</f>
        <v>-0.19170000000008258</v>
      </c>
      <c r="EL12" s="191">
        <f>'Functional Levels Drone Survey'!EL12-'Existing Levels Drone Survey'!EL12</f>
        <v>-0.44480000000010023</v>
      </c>
      <c r="EM12" s="278">
        <f>'Functional Levels Drone Survey'!EM12-'Existing Levels Drone Survey'!EM12</f>
        <v>-0.39630000000011023</v>
      </c>
      <c r="EN12" s="278">
        <f>'Functional Levels Drone Survey'!EN12-'Existing Levels Drone Survey'!EN12</f>
        <v>1.4399999999909596E-2</v>
      </c>
      <c r="EO12" s="191">
        <f>'Functional Levels Drone Survey'!EO12-'Existing Levels Drone Survey'!EO12</f>
        <v>0</v>
      </c>
      <c r="EP12" s="191">
        <f>'Functional Levels Drone Survey'!EP12-'Existing Levels Drone Survey'!EP12</f>
        <v>0</v>
      </c>
      <c r="EQ12" s="191">
        <f>'Functional Levels Drone Survey'!EQ12-'Existing Levels Drone Survey'!EQ12</f>
        <v>0</v>
      </c>
      <c r="ER12" s="191">
        <f>'Functional Levels Drone Survey'!ER12-'Existing Levels Drone Survey'!ER12</f>
        <v>0</v>
      </c>
      <c r="ES12" s="191">
        <f>'Functional Levels Drone Survey'!ES12-'Existing Levels Drone Survey'!ES12</f>
        <v>0</v>
      </c>
      <c r="ET12" s="191">
        <f>'Functional Levels Drone Survey'!ET12-'Existing Levels Drone Survey'!ET12</f>
        <v>0</v>
      </c>
      <c r="EU12" s="191">
        <f>'Functional Levels Drone Survey'!EU12-'Existing Levels Drone Survey'!EU12</f>
        <v>0</v>
      </c>
      <c r="EV12" s="191">
        <f>'Functional Levels Drone Survey'!EV12-'Existing Levels Drone Survey'!EV12</f>
        <v>0</v>
      </c>
      <c r="EW12" s="191">
        <f>'Functional Levels Drone Survey'!EW12-'Existing Levels Drone Survey'!EW12</f>
        <v>0</v>
      </c>
      <c r="EX12" s="191">
        <f>'Functional Levels Drone Survey'!EX12-'Existing Levels Drone Survey'!EX12</f>
        <v>0</v>
      </c>
      <c r="EY12" s="191">
        <f>'Functional Levels Drone Survey'!EY12-'Existing Levels Drone Survey'!EY12</f>
        <v>0</v>
      </c>
    </row>
    <row r="13" spans="1:155" ht="45" customHeight="1" x14ac:dyDescent="0.45">
      <c r="A13" s="277">
        <v>60</v>
      </c>
      <c r="B13" s="191">
        <f>'Functional Levels Drone Survey'!B13-'Existing Levels Drone Survey'!B13</f>
        <v>0</v>
      </c>
      <c r="C13" s="191">
        <f>'Functional Levels Drone Survey'!C13-'Existing Levels Drone Survey'!C13</f>
        <v>0</v>
      </c>
      <c r="D13" s="191">
        <f>'Functional Levels Drone Survey'!D13-'Existing Levels Drone Survey'!D13</f>
        <v>0</v>
      </c>
      <c r="E13" s="191">
        <f>'Functional Levels Drone Survey'!E13-'Existing Levels Drone Survey'!E13</f>
        <v>0</v>
      </c>
      <c r="F13" s="191">
        <f>'Functional Levels Drone Survey'!F13-'Existing Levels Drone Survey'!F13</f>
        <v>0</v>
      </c>
      <c r="G13" s="191">
        <f>'Functional Levels Drone Survey'!G13-'Existing Levels Drone Survey'!G13</f>
        <v>0</v>
      </c>
      <c r="H13" s="191">
        <f>'Functional Levels Drone Survey'!H13-'Existing Levels Drone Survey'!H13</f>
        <v>0</v>
      </c>
      <c r="I13" s="191">
        <f>'Functional Levels Drone Survey'!I13-'Existing Levels Drone Survey'!I13</f>
        <v>0</v>
      </c>
      <c r="J13" s="191">
        <f>'Functional Levels Drone Survey'!J13-'Existing Levels Drone Survey'!J13</f>
        <v>0</v>
      </c>
      <c r="K13" s="191">
        <f>'Functional Levels Drone Survey'!K13-'Existing Levels Drone Survey'!K13</f>
        <v>0</v>
      </c>
      <c r="L13" s="191">
        <f>'Functional Levels Drone Survey'!L13-'Existing Levels Drone Survey'!L13</f>
        <v>0</v>
      </c>
      <c r="M13" s="191">
        <f>'Functional Levels Drone Survey'!M13-'Existing Levels Drone Survey'!M13</f>
        <v>0</v>
      </c>
      <c r="N13" s="191">
        <f>'Functional Levels Drone Survey'!N13-'Existing Levels Drone Survey'!N13</f>
        <v>0</v>
      </c>
      <c r="O13" s="191">
        <f>'Functional Levels Drone Survey'!O13-'Existing Levels Drone Survey'!O13</f>
        <v>0</v>
      </c>
      <c r="P13" s="191">
        <f>'Functional Levels Drone Survey'!P13-'Existing Levels Drone Survey'!P13</f>
        <v>0</v>
      </c>
      <c r="Q13" s="191">
        <f>'Functional Levels Drone Survey'!Q13-'Existing Levels Drone Survey'!Q13</f>
        <v>0</v>
      </c>
      <c r="R13" s="191">
        <f>'Functional Levels Drone Survey'!R13-'Existing Levels Drone Survey'!R13</f>
        <v>0</v>
      </c>
      <c r="S13" s="191">
        <f>'Functional Levels Drone Survey'!S13-'Existing Levels Drone Survey'!S13</f>
        <v>0</v>
      </c>
      <c r="T13" s="191">
        <f>'Functional Levels Drone Survey'!T13-'Existing Levels Drone Survey'!T13</f>
        <v>0</v>
      </c>
      <c r="U13" s="191">
        <f>'Functional Levels Drone Survey'!U13-'Existing Levels Drone Survey'!U13</f>
        <v>0</v>
      </c>
      <c r="V13" s="191">
        <f>'Functional Levels Drone Survey'!V13-'Existing Levels Drone Survey'!V13</f>
        <v>0</v>
      </c>
      <c r="W13" s="191">
        <f>'Functional Levels Drone Survey'!W13-'Existing Levels Drone Survey'!W13</f>
        <v>0</v>
      </c>
      <c r="X13" s="191">
        <f>'Functional Levels Drone Survey'!X13-'Existing Levels Drone Survey'!X13</f>
        <v>0</v>
      </c>
      <c r="Y13" s="191">
        <f>'Functional Levels Drone Survey'!Y13-'Existing Levels Drone Survey'!Y13</f>
        <v>0</v>
      </c>
      <c r="Z13" s="191">
        <f>'Functional Levels Drone Survey'!Z13-'Existing Levels Drone Survey'!Z13</f>
        <v>0</v>
      </c>
      <c r="AA13" s="191">
        <f>'Functional Levels Drone Survey'!AA13-'Existing Levels Drone Survey'!AA13</f>
        <v>0</v>
      </c>
      <c r="AB13" s="191">
        <f>'Functional Levels Drone Survey'!AB13-'Existing Levels Drone Survey'!AB13</f>
        <v>0</v>
      </c>
      <c r="AC13" s="191">
        <f>'Functional Levels Drone Survey'!AC13-'Existing Levels Drone Survey'!AC13</f>
        <v>0</v>
      </c>
      <c r="AD13" s="191">
        <f>'Functional Levels Drone Survey'!AD13-'Existing Levels Drone Survey'!AD13</f>
        <v>0</v>
      </c>
      <c r="AE13" s="191">
        <f>'Functional Levels Drone Survey'!AE13-'Existing Levels Drone Survey'!AE13</f>
        <v>0</v>
      </c>
      <c r="AF13" s="191">
        <f>'Functional Levels Drone Survey'!AF13-'Existing Levels Drone Survey'!AF13</f>
        <v>0</v>
      </c>
      <c r="AG13" s="191">
        <f>'Functional Levels Drone Survey'!AG13-'Existing Levels Drone Survey'!AG13</f>
        <v>0</v>
      </c>
      <c r="AH13" s="191">
        <f>'Functional Levels Drone Survey'!AH13-'Existing Levels Drone Survey'!AH13</f>
        <v>0</v>
      </c>
      <c r="AI13" s="191">
        <f>'Functional Levels Drone Survey'!AI13-'Existing Levels Drone Survey'!AI13</f>
        <v>0</v>
      </c>
      <c r="AJ13" s="191">
        <f>'Functional Levels Drone Survey'!AJ13-'Existing Levels Drone Survey'!AJ13</f>
        <v>0</v>
      </c>
      <c r="AK13" s="191">
        <f>'Functional Levels Drone Survey'!AK13-'Existing Levels Drone Survey'!AK13</f>
        <v>0</v>
      </c>
      <c r="AL13" s="191">
        <f>'Functional Levels Drone Survey'!AL13-'Existing Levels Drone Survey'!AL13</f>
        <v>0</v>
      </c>
      <c r="AM13" s="191">
        <f>'Functional Levels Drone Survey'!AM13-'Existing Levels Drone Survey'!AM13</f>
        <v>0</v>
      </c>
      <c r="AN13" s="191">
        <f>'Functional Levels Drone Survey'!AN13-'Existing Levels Drone Survey'!AN13</f>
        <v>0</v>
      </c>
      <c r="AO13" s="191">
        <f>'Functional Levels Drone Survey'!AO13-'Existing Levels Drone Survey'!AO13</f>
        <v>0</v>
      </c>
      <c r="AP13" s="191">
        <f>'Functional Levels Drone Survey'!AP13-'Existing Levels Drone Survey'!AP13</f>
        <v>0</v>
      </c>
      <c r="AQ13" s="191">
        <f>'Functional Levels Drone Survey'!AQ13-'Existing Levels Drone Survey'!AQ13</f>
        <v>0</v>
      </c>
      <c r="AR13" s="191">
        <f>'Functional Levels Drone Survey'!AR13-'Existing Levels Drone Survey'!AR13</f>
        <v>0</v>
      </c>
      <c r="AS13" s="191">
        <f>'Functional Levels Drone Survey'!AS13-'Existing Levels Drone Survey'!AS13</f>
        <v>0</v>
      </c>
      <c r="AT13" s="191">
        <f>'Functional Levels Drone Survey'!AT13-'Existing Levels Drone Survey'!AT13</f>
        <v>0</v>
      </c>
      <c r="AU13" s="191">
        <f>'Functional Levels Drone Survey'!AU13-'Existing Levels Drone Survey'!AU13</f>
        <v>0</v>
      </c>
      <c r="AV13" s="191">
        <f>'Functional Levels Drone Survey'!AV13-'Existing Levels Drone Survey'!AV13</f>
        <v>0</v>
      </c>
      <c r="AW13" s="191">
        <f>'Functional Levels Drone Survey'!AW13-'Existing Levels Drone Survey'!AW13</f>
        <v>0</v>
      </c>
      <c r="AX13" s="191">
        <f>'Functional Levels Drone Survey'!AX13-'Existing Levels Drone Survey'!AX13</f>
        <v>0</v>
      </c>
      <c r="AY13" s="191">
        <f>'Functional Levels Drone Survey'!AY13-'Existing Levels Drone Survey'!AY13</f>
        <v>0</v>
      </c>
      <c r="AZ13" s="191">
        <f>'Functional Levels Drone Survey'!AZ13-'Existing Levels Drone Survey'!AZ13</f>
        <v>0</v>
      </c>
      <c r="BA13" s="191">
        <f>'Functional Levels Drone Survey'!BA13-'Existing Levels Drone Survey'!BA13</f>
        <v>0</v>
      </c>
      <c r="BB13" s="191">
        <f>'Functional Levels Drone Survey'!BB13-'Existing Levels Drone Survey'!BB13</f>
        <v>0</v>
      </c>
      <c r="BC13" s="191">
        <f>'Functional Levels Drone Survey'!BC13-'Existing Levels Drone Survey'!BC13</f>
        <v>0</v>
      </c>
      <c r="BD13" s="191">
        <f>'Functional Levels Drone Survey'!BD13-'Existing Levels Drone Survey'!BD13</f>
        <v>0</v>
      </c>
      <c r="BE13" s="191">
        <f>'Functional Levels Drone Survey'!BE13-'Existing Levels Drone Survey'!BE13</f>
        <v>0</v>
      </c>
      <c r="BF13" s="191">
        <f>'Functional Levels Drone Survey'!BF13-'Existing Levels Drone Survey'!BF13</f>
        <v>0</v>
      </c>
      <c r="BG13" s="191">
        <f>'Functional Levels Drone Survey'!BG13-'Existing Levels Drone Survey'!BG13</f>
        <v>0</v>
      </c>
      <c r="BH13" s="191">
        <f>'Functional Levels Drone Survey'!BH13-'Existing Levels Drone Survey'!BH13</f>
        <v>0</v>
      </c>
      <c r="BI13" s="191">
        <f>'Functional Levels Drone Survey'!BI13-'Existing Levels Drone Survey'!BI13</f>
        <v>0</v>
      </c>
      <c r="BJ13" s="191">
        <f>'Functional Levels Drone Survey'!BJ13-'Existing Levels Drone Survey'!BJ13</f>
        <v>0</v>
      </c>
      <c r="BK13" s="191">
        <f>'Functional Levels Drone Survey'!BK13-'Existing Levels Drone Survey'!BK13</f>
        <v>0</v>
      </c>
      <c r="BL13" s="191">
        <f>'Functional Levels Drone Survey'!BL13-'Existing Levels Drone Survey'!BL13</f>
        <v>0</v>
      </c>
      <c r="BM13" s="191">
        <f>'Functional Levels Drone Survey'!BM13-'Existing Levels Drone Survey'!BM13</f>
        <v>0</v>
      </c>
      <c r="BN13" s="191">
        <f>'Functional Levels Drone Survey'!BN13-'Existing Levels Drone Survey'!BN13</f>
        <v>0</v>
      </c>
      <c r="BO13" s="191">
        <f>'Functional Levels Drone Survey'!BO13-'Existing Levels Drone Survey'!BO13</f>
        <v>0</v>
      </c>
      <c r="BP13" s="191">
        <f>'Functional Levels Drone Survey'!BP13-'Existing Levels Drone Survey'!BP13</f>
        <v>0</v>
      </c>
      <c r="BQ13" s="191">
        <f>'Functional Levels Drone Survey'!BQ13-'Existing Levels Drone Survey'!BQ13</f>
        <v>0</v>
      </c>
      <c r="BR13" s="191">
        <f>'Functional Levels Drone Survey'!BR13-'Existing Levels Drone Survey'!BR13</f>
        <v>0</v>
      </c>
      <c r="BS13" s="191">
        <f>'Functional Levels Drone Survey'!BS13-'Existing Levels Drone Survey'!BS13</f>
        <v>0</v>
      </c>
      <c r="BT13" s="191">
        <f>'Functional Levels Drone Survey'!BT13-'Existing Levels Drone Survey'!BT13</f>
        <v>0</v>
      </c>
      <c r="BU13" s="191">
        <f>'Functional Levels Drone Survey'!BU13-'Existing Levels Drone Survey'!BU13</f>
        <v>0</v>
      </c>
      <c r="BV13" s="191">
        <f>'Functional Levels Drone Survey'!BV13-'Existing Levels Drone Survey'!BV13</f>
        <v>0</v>
      </c>
      <c r="BW13" s="191">
        <f>'Functional Levels Drone Survey'!BW13-'Existing Levels Drone Survey'!BW13</f>
        <v>0</v>
      </c>
      <c r="BX13" s="191">
        <f>'Functional Levels Drone Survey'!BX13-'Existing Levels Drone Survey'!BX13</f>
        <v>0</v>
      </c>
      <c r="BY13" s="191">
        <f>'Functional Levels Drone Survey'!BY13-'Existing Levels Drone Survey'!BY13</f>
        <v>0</v>
      </c>
      <c r="BZ13" s="191">
        <f>'Functional Levels Drone Survey'!BZ13-'Existing Levels Drone Survey'!BZ13</f>
        <v>0</v>
      </c>
      <c r="CA13" s="191">
        <f>'Functional Levels Drone Survey'!CA13-'Existing Levels Drone Survey'!CA13</f>
        <v>0</v>
      </c>
      <c r="CB13" s="191">
        <f>'Functional Levels Drone Survey'!CB13-'Existing Levels Drone Survey'!CB13</f>
        <v>0</v>
      </c>
      <c r="CC13" s="191">
        <f>'Functional Levels Drone Survey'!CC13-'Existing Levels Drone Survey'!CC13</f>
        <v>0</v>
      </c>
      <c r="CD13" s="191">
        <f>'Functional Levels Drone Survey'!CD13-'Existing Levels Drone Survey'!CD13</f>
        <v>0</v>
      </c>
      <c r="CE13" s="191">
        <f>'Functional Levels Drone Survey'!CE13-'Existing Levels Drone Survey'!CE13</f>
        <v>0</v>
      </c>
      <c r="CF13" s="191">
        <f>'Functional Levels Drone Survey'!CF13-'Existing Levels Drone Survey'!CF13</f>
        <v>0</v>
      </c>
      <c r="CG13" s="191">
        <f>'Functional Levels Drone Survey'!CG13-'Existing Levels Drone Survey'!CG13</f>
        <v>0</v>
      </c>
      <c r="CH13" s="191">
        <f>'Functional Levels Drone Survey'!CH13-'Existing Levels Drone Survey'!CH13</f>
        <v>0</v>
      </c>
      <c r="CI13" s="191">
        <f>'Functional Levels Drone Survey'!CI13-'Existing Levels Drone Survey'!CI13</f>
        <v>0</v>
      </c>
      <c r="CJ13" s="191">
        <f>'Functional Levels Drone Survey'!CJ13-'Existing Levels Drone Survey'!CJ13</f>
        <v>0</v>
      </c>
      <c r="CK13" s="191">
        <f>'Functional Levels Drone Survey'!CK13-'Existing Levels Drone Survey'!CK13</f>
        <v>0</v>
      </c>
      <c r="CL13" s="191">
        <f>'Functional Levels Drone Survey'!CL13-'Existing Levels Drone Survey'!CL13</f>
        <v>0</v>
      </c>
      <c r="CM13" s="191">
        <f>'Functional Levels Drone Survey'!CM13-'Existing Levels Drone Survey'!CM13</f>
        <v>0</v>
      </c>
      <c r="CN13" s="191">
        <f>'Functional Levels Drone Survey'!CN13-'Existing Levels Drone Survey'!CN13</f>
        <v>0</v>
      </c>
      <c r="CO13" s="191">
        <f>'Functional Levels Drone Survey'!CO13-'Existing Levels Drone Survey'!CO13</f>
        <v>0</v>
      </c>
      <c r="CP13" s="191">
        <f>'Functional Levels Drone Survey'!CP13-'Existing Levels Drone Survey'!CP13</f>
        <v>0</v>
      </c>
      <c r="CQ13" s="191">
        <f>'Functional Levels Drone Survey'!CQ13-'Existing Levels Drone Survey'!CQ13</f>
        <v>0</v>
      </c>
      <c r="CR13" s="191">
        <f>'Functional Levels Drone Survey'!CR13-'Existing Levels Drone Survey'!CR13</f>
        <v>0</v>
      </c>
      <c r="CS13" s="191">
        <f>'Functional Levels Drone Survey'!CS13-'Existing Levels Drone Survey'!CS13</f>
        <v>0</v>
      </c>
      <c r="CT13" s="191">
        <f>'Functional Levels Drone Survey'!CT13-'Existing Levels Drone Survey'!CT13</f>
        <v>0</v>
      </c>
      <c r="CU13" s="191">
        <f>'Functional Levels Drone Survey'!CU13-'Existing Levels Drone Survey'!CU13</f>
        <v>0</v>
      </c>
      <c r="CV13" s="191">
        <f>'Functional Levels Drone Survey'!CV13-'Existing Levels Drone Survey'!CV13</f>
        <v>0</v>
      </c>
      <c r="CW13" s="191">
        <f>'Functional Levels Drone Survey'!CW13-'Existing Levels Drone Survey'!CW13</f>
        <v>0</v>
      </c>
      <c r="CX13" s="191">
        <f>'Functional Levels Drone Survey'!CX13-'Existing Levels Drone Survey'!CX13</f>
        <v>0</v>
      </c>
      <c r="CY13" s="191">
        <f>'Functional Levels Drone Survey'!CY13-'Existing Levels Drone Survey'!CY13</f>
        <v>0</v>
      </c>
      <c r="CZ13" s="191">
        <f>'Functional Levels Drone Survey'!CZ13-'Existing Levels Drone Survey'!CZ13</f>
        <v>0</v>
      </c>
      <c r="DA13" s="191">
        <f>'Functional Levels Drone Survey'!DA13-'Existing Levels Drone Survey'!DA13</f>
        <v>0</v>
      </c>
      <c r="DB13" s="191">
        <f>'Functional Levels Drone Survey'!DB13-'Existing Levels Drone Survey'!DB13</f>
        <v>0</v>
      </c>
      <c r="DC13" s="191">
        <f>'Functional Levels Drone Survey'!DC13-'Existing Levels Drone Survey'!DC13</f>
        <v>0</v>
      </c>
      <c r="DD13" s="191">
        <f>'Functional Levels Drone Survey'!DD13-'Existing Levels Drone Survey'!DD13</f>
        <v>0</v>
      </c>
      <c r="DE13" s="191">
        <f>'Functional Levels Drone Survey'!DE13-'Existing Levels Drone Survey'!DE13</f>
        <v>0</v>
      </c>
      <c r="DF13" s="191">
        <f>'Functional Levels Drone Survey'!DF13-'Existing Levels Drone Survey'!DF13</f>
        <v>0</v>
      </c>
      <c r="DG13" s="191">
        <f>'Functional Levels Drone Survey'!DG13-'Existing Levels Drone Survey'!DG13</f>
        <v>0</v>
      </c>
      <c r="DH13" s="191">
        <f>'Functional Levels Drone Survey'!DH13-'Existing Levels Drone Survey'!DH13</f>
        <v>0</v>
      </c>
      <c r="DI13" s="191">
        <f>'Functional Levels Drone Survey'!DI13-'Existing Levels Drone Survey'!DI13</f>
        <v>0</v>
      </c>
      <c r="DJ13" s="191">
        <f>'Functional Levels Drone Survey'!DJ13-'Existing Levels Drone Survey'!DJ13</f>
        <v>0</v>
      </c>
      <c r="DK13" s="191">
        <f>'Functional Levels Drone Survey'!DK13-'Existing Levels Drone Survey'!DK13</f>
        <v>0</v>
      </c>
      <c r="DL13" s="191">
        <f>'Functional Levels Drone Survey'!DL13-'Existing Levels Drone Survey'!DL13</f>
        <v>0</v>
      </c>
      <c r="DM13" s="191">
        <f>'Functional Levels Drone Survey'!DM13-'Existing Levels Drone Survey'!DM13</f>
        <v>0</v>
      </c>
      <c r="DN13" s="191">
        <f>'Functional Levels Drone Survey'!DN13-'Existing Levels Drone Survey'!DN13</f>
        <v>0</v>
      </c>
      <c r="DO13" s="191">
        <f>'Functional Levels Drone Survey'!DO13-'Existing Levels Drone Survey'!DO13</f>
        <v>0</v>
      </c>
      <c r="DP13" s="191">
        <f>'Functional Levels Drone Survey'!DP13-'Existing Levels Drone Survey'!DP13</f>
        <v>0</v>
      </c>
      <c r="DQ13" s="191">
        <f>'Functional Levels Drone Survey'!DQ13-'Existing Levels Drone Survey'!DQ13</f>
        <v>0</v>
      </c>
      <c r="DR13" s="191">
        <f>'Functional Levels Drone Survey'!DR13-'Existing Levels Drone Survey'!DR13</f>
        <v>0</v>
      </c>
      <c r="DS13" s="191">
        <f>'Functional Levels Drone Survey'!DS13-'Existing Levels Drone Survey'!DS13</f>
        <v>0</v>
      </c>
      <c r="DT13" s="191">
        <f>'Functional Levels Drone Survey'!DT13-'Existing Levels Drone Survey'!DT13</f>
        <v>0</v>
      </c>
      <c r="DU13" s="191">
        <f>'Functional Levels Drone Survey'!DU13-'Existing Levels Drone Survey'!DU13</f>
        <v>0</v>
      </c>
      <c r="DV13" s="278">
        <f>'Functional Levels Drone Survey'!DV13-'Existing Levels Drone Survey'!DV13</f>
        <v>-0.59620000000006712</v>
      </c>
      <c r="DW13" s="279">
        <f>'Functional Levels Drone Survey'!DW13-'Existing Levels Drone Survey'!DW13</f>
        <v>-0.20580000000006748</v>
      </c>
      <c r="DX13" s="191">
        <f>'Functional Levels Drone Survey'!DX13-'Existing Levels Drone Survey'!DX13</f>
        <v>-0.32660000000004175</v>
      </c>
      <c r="DY13" s="191">
        <f>'Functional Levels Drone Survey'!DY13-'Existing Levels Drone Survey'!DY13</f>
        <v>-8.9500000000043656E-2</v>
      </c>
      <c r="DZ13" s="191">
        <f>'Functional Levels Drone Survey'!DZ13-'Existing Levels Drone Survey'!DZ13</f>
        <v>-0.13460000000003447</v>
      </c>
      <c r="EA13" s="191">
        <f>'Functional Levels Drone Survey'!EA13-'Existing Levels Drone Survey'!EA13</f>
        <v>-4.300000000006321E-2</v>
      </c>
      <c r="EB13" s="191">
        <f>'Functional Levels Drone Survey'!EB13-'Existing Levels Drone Survey'!EB13</f>
        <v>-0.48100000000005139</v>
      </c>
      <c r="EC13" s="191">
        <f>'Functional Levels Drone Survey'!EC13-'Existing Levels Drone Survey'!EC13</f>
        <v>-0.21840000000003101</v>
      </c>
      <c r="ED13" s="191">
        <f>'Functional Levels Drone Survey'!ED13-'Existing Levels Drone Survey'!ED13</f>
        <v>-0.3911000000000513</v>
      </c>
      <c r="EE13" s="191">
        <f>'Functional Levels Drone Survey'!EE13-'Existing Levels Drone Survey'!EE13</f>
        <v>-0.35890000000006239</v>
      </c>
      <c r="EF13" s="191">
        <f>'Functional Levels Drone Survey'!EF13-'Existing Levels Drone Survey'!EF13</f>
        <v>-0.32950000000005275</v>
      </c>
      <c r="EG13" s="191">
        <f>'Functional Levels Drone Survey'!EG13-'Existing Levels Drone Survey'!EG13</f>
        <v>-0.29600000000004911</v>
      </c>
      <c r="EH13" s="279">
        <f>'Functional Levels Drone Survey'!EH13-'Existing Levels Drone Survey'!EH13</f>
        <v>-0.16040000000003829</v>
      </c>
      <c r="EI13" s="191">
        <f>'Functional Levels Drone Survey'!EI13-'Existing Levels Drone Survey'!EI13</f>
        <v>-0.43950000000006639</v>
      </c>
      <c r="EJ13" s="191">
        <f>'Functional Levels Drone Survey'!EJ13-'Existing Levels Drone Survey'!EJ13</f>
        <v>-3.0300000000067939E-2</v>
      </c>
      <c r="EK13" s="191">
        <f>'Functional Levels Drone Survey'!EK13-'Existing Levels Drone Survey'!EK13</f>
        <v>-0.27810000000005175</v>
      </c>
      <c r="EL13" s="191">
        <f>'Functional Levels Drone Survey'!EL13-'Existing Levels Drone Survey'!EL13</f>
        <v>-0.30140000000005784</v>
      </c>
      <c r="EM13" s="191">
        <f>'Functional Levels Drone Survey'!EM13-'Existing Levels Drone Survey'!EM13</f>
        <v>-0.33890000000008058</v>
      </c>
      <c r="EN13" s="191">
        <f>'Functional Levels Drone Survey'!EN13-'Existing Levels Drone Survey'!EN13</f>
        <v>-1.1993000000000507</v>
      </c>
      <c r="EO13" s="278">
        <f>'Functional Levels Drone Survey'!EO13-'Existing Levels Drone Survey'!EO13</f>
        <v>0.85579999999993106</v>
      </c>
      <c r="EP13" s="191">
        <f>'Functional Levels Drone Survey'!EP13-'Existing Levels Drone Survey'!EP13</f>
        <v>0</v>
      </c>
      <c r="EQ13" s="191">
        <f>'Functional Levels Drone Survey'!EQ13-'Existing Levels Drone Survey'!EQ13</f>
        <v>0</v>
      </c>
      <c r="ER13" s="191">
        <f>'Functional Levels Drone Survey'!ER13-'Existing Levels Drone Survey'!ER13</f>
        <v>0</v>
      </c>
      <c r="ES13" s="191">
        <f>'Functional Levels Drone Survey'!ES13-'Existing Levels Drone Survey'!ES13</f>
        <v>0</v>
      </c>
      <c r="ET13" s="191">
        <f>'Functional Levels Drone Survey'!ET13-'Existing Levels Drone Survey'!ET13</f>
        <v>0</v>
      </c>
      <c r="EU13" s="191">
        <f>'Functional Levels Drone Survey'!EU13-'Existing Levels Drone Survey'!EU13</f>
        <v>0</v>
      </c>
      <c r="EV13" s="191">
        <f>'Functional Levels Drone Survey'!EV13-'Existing Levels Drone Survey'!EV13</f>
        <v>0</v>
      </c>
      <c r="EW13" s="191">
        <f>'Functional Levels Drone Survey'!EW13-'Existing Levels Drone Survey'!EW13</f>
        <v>0</v>
      </c>
      <c r="EX13" s="191">
        <f>'Functional Levels Drone Survey'!EX13-'Existing Levels Drone Survey'!EX13</f>
        <v>0</v>
      </c>
      <c r="EY13" s="191">
        <f>'Functional Levels Drone Survey'!EY13-'Existing Levels Drone Survey'!EY13</f>
        <v>0</v>
      </c>
    </row>
    <row r="14" spans="1:155" ht="45" customHeight="1" x14ac:dyDescent="0.45">
      <c r="A14" s="277">
        <v>65</v>
      </c>
      <c r="B14" s="191">
        <f>'Functional Levels Drone Survey'!B14-'Existing Levels Drone Survey'!B14</f>
        <v>0</v>
      </c>
      <c r="C14" s="191">
        <f>'Functional Levels Drone Survey'!C14-'Existing Levels Drone Survey'!C14</f>
        <v>0</v>
      </c>
      <c r="D14" s="191">
        <f>'Functional Levels Drone Survey'!D14-'Existing Levels Drone Survey'!D14</f>
        <v>0</v>
      </c>
      <c r="E14" s="191">
        <f>'Functional Levels Drone Survey'!E14-'Existing Levels Drone Survey'!E14</f>
        <v>0</v>
      </c>
      <c r="F14" s="191">
        <f>'Functional Levels Drone Survey'!F14-'Existing Levels Drone Survey'!F14</f>
        <v>0</v>
      </c>
      <c r="G14" s="191">
        <f>'Functional Levels Drone Survey'!G14-'Existing Levels Drone Survey'!G14</f>
        <v>0</v>
      </c>
      <c r="H14" s="191">
        <f>'Functional Levels Drone Survey'!H14-'Existing Levels Drone Survey'!H14</f>
        <v>0</v>
      </c>
      <c r="I14" s="191">
        <f>'Functional Levels Drone Survey'!I14-'Existing Levels Drone Survey'!I14</f>
        <v>0</v>
      </c>
      <c r="J14" s="191">
        <f>'Functional Levels Drone Survey'!J14-'Existing Levels Drone Survey'!J14</f>
        <v>0</v>
      </c>
      <c r="K14" s="191">
        <f>'Functional Levels Drone Survey'!K14-'Existing Levels Drone Survey'!K14</f>
        <v>0</v>
      </c>
      <c r="L14" s="191">
        <f>'Functional Levels Drone Survey'!L14-'Existing Levels Drone Survey'!L14</f>
        <v>0</v>
      </c>
      <c r="M14" s="191">
        <f>'Functional Levels Drone Survey'!M14-'Existing Levels Drone Survey'!M14</f>
        <v>0</v>
      </c>
      <c r="N14" s="191">
        <f>'Functional Levels Drone Survey'!N14-'Existing Levels Drone Survey'!N14</f>
        <v>0</v>
      </c>
      <c r="O14" s="191">
        <f>'Functional Levels Drone Survey'!O14-'Existing Levels Drone Survey'!O14</f>
        <v>0</v>
      </c>
      <c r="P14" s="191">
        <f>'Functional Levels Drone Survey'!P14-'Existing Levels Drone Survey'!P14</f>
        <v>0</v>
      </c>
      <c r="Q14" s="191">
        <f>'Functional Levels Drone Survey'!Q14-'Existing Levels Drone Survey'!Q14</f>
        <v>0</v>
      </c>
      <c r="R14" s="191">
        <f>'Functional Levels Drone Survey'!R14-'Existing Levels Drone Survey'!R14</f>
        <v>0</v>
      </c>
      <c r="S14" s="191">
        <f>'Functional Levels Drone Survey'!S14-'Existing Levels Drone Survey'!S14</f>
        <v>0</v>
      </c>
      <c r="T14" s="191">
        <f>'Functional Levels Drone Survey'!T14-'Existing Levels Drone Survey'!T14</f>
        <v>0</v>
      </c>
      <c r="U14" s="191">
        <f>'Functional Levels Drone Survey'!U14-'Existing Levels Drone Survey'!U14</f>
        <v>0</v>
      </c>
      <c r="V14" s="191">
        <f>'Functional Levels Drone Survey'!V14-'Existing Levels Drone Survey'!V14</f>
        <v>0</v>
      </c>
      <c r="W14" s="191">
        <f>'Functional Levels Drone Survey'!W14-'Existing Levels Drone Survey'!W14</f>
        <v>0</v>
      </c>
      <c r="X14" s="191">
        <f>'Functional Levels Drone Survey'!X14-'Existing Levels Drone Survey'!X14</f>
        <v>0</v>
      </c>
      <c r="Y14" s="191">
        <f>'Functional Levels Drone Survey'!Y14-'Existing Levels Drone Survey'!Y14</f>
        <v>0</v>
      </c>
      <c r="Z14" s="191">
        <f>'Functional Levels Drone Survey'!Z14-'Existing Levels Drone Survey'!Z14</f>
        <v>0</v>
      </c>
      <c r="AA14" s="191">
        <f>'Functional Levels Drone Survey'!AA14-'Existing Levels Drone Survey'!AA14</f>
        <v>0</v>
      </c>
      <c r="AB14" s="191">
        <f>'Functional Levels Drone Survey'!AB14-'Existing Levels Drone Survey'!AB14</f>
        <v>0</v>
      </c>
      <c r="AC14" s="191">
        <f>'Functional Levels Drone Survey'!AC14-'Existing Levels Drone Survey'!AC14</f>
        <v>0</v>
      </c>
      <c r="AD14" s="191">
        <f>'Functional Levels Drone Survey'!AD14-'Existing Levels Drone Survey'!AD14</f>
        <v>0</v>
      </c>
      <c r="AE14" s="191">
        <f>'Functional Levels Drone Survey'!AE14-'Existing Levels Drone Survey'!AE14</f>
        <v>0</v>
      </c>
      <c r="AF14" s="191">
        <f>'Functional Levels Drone Survey'!AF14-'Existing Levels Drone Survey'!AF14</f>
        <v>0</v>
      </c>
      <c r="AG14" s="191">
        <f>'Functional Levels Drone Survey'!AG14-'Existing Levels Drone Survey'!AG14</f>
        <v>0</v>
      </c>
      <c r="AH14" s="191">
        <f>'Functional Levels Drone Survey'!AH14-'Existing Levels Drone Survey'!AH14</f>
        <v>0</v>
      </c>
      <c r="AI14" s="191">
        <f>'Functional Levels Drone Survey'!AI14-'Existing Levels Drone Survey'!AI14</f>
        <v>0</v>
      </c>
      <c r="AJ14" s="191">
        <f>'Functional Levels Drone Survey'!AJ14-'Existing Levels Drone Survey'!AJ14</f>
        <v>0</v>
      </c>
      <c r="AK14" s="191">
        <f>'Functional Levels Drone Survey'!AK14-'Existing Levels Drone Survey'!AK14</f>
        <v>0</v>
      </c>
      <c r="AL14" s="191">
        <f>'Functional Levels Drone Survey'!AL14-'Existing Levels Drone Survey'!AL14</f>
        <v>0</v>
      </c>
      <c r="AM14" s="191">
        <f>'Functional Levels Drone Survey'!AM14-'Existing Levels Drone Survey'!AM14</f>
        <v>0</v>
      </c>
      <c r="AN14" s="191">
        <f>'Functional Levels Drone Survey'!AN14-'Existing Levels Drone Survey'!AN14</f>
        <v>0</v>
      </c>
      <c r="AO14" s="191">
        <f>'Functional Levels Drone Survey'!AO14-'Existing Levels Drone Survey'!AO14</f>
        <v>0</v>
      </c>
      <c r="AP14" s="191">
        <f>'Functional Levels Drone Survey'!AP14-'Existing Levels Drone Survey'!AP14</f>
        <v>0</v>
      </c>
      <c r="AQ14" s="191">
        <f>'Functional Levels Drone Survey'!AQ14-'Existing Levels Drone Survey'!AQ14</f>
        <v>0</v>
      </c>
      <c r="AR14" s="191">
        <f>'Functional Levels Drone Survey'!AR14-'Existing Levels Drone Survey'!AR14</f>
        <v>0</v>
      </c>
      <c r="AS14" s="191">
        <f>'Functional Levels Drone Survey'!AS14-'Existing Levels Drone Survey'!AS14</f>
        <v>0</v>
      </c>
      <c r="AT14" s="191">
        <f>'Functional Levels Drone Survey'!AT14-'Existing Levels Drone Survey'!AT14</f>
        <v>0</v>
      </c>
      <c r="AU14" s="191">
        <f>'Functional Levels Drone Survey'!AU14-'Existing Levels Drone Survey'!AU14</f>
        <v>0</v>
      </c>
      <c r="AV14" s="191">
        <f>'Functional Levels Drone Survey'!AV14-'Existing Levels Drone Survey'!AV14</f>
        <v>0</v>
      </c>
      <c r="AW14" s="191">
        <f>'Functional Levels Drone Survey'!AW14-'Existing Levels Drone Survey'!AW14</f>
        <v>0</v>
      </c>
      <c r="AX14" s="191">
        <f>'Functional Levels Drone Survey'!AX14-'Existing Levels Drone Survey'!AX14</f>
        <v>0</v>
      </c>
      <c r="AY14" s="191">
        <f>'Functional Levels Drone Survey'!AY14-'Existing Levels Drone Survey'!AY14</f>
        <v>0</v>
      </c>
      <c r="AZ14" s="191">
        <f>'Functional Levels Drone Survey'!AZ14-'Existing Levels Drone Survey'!AZ14</f>
        <v>0</v>
      </c>
      <c r="BA14" s="191">
        <f>'Functional Levels Drone Survey'!BA14-'Existing Levels Drone Survey'!BA14</f>
        <v>0</v>
      </c>
      <c r="BB14" s="191">
        <f>'Functional Levels Drone Survey'!BB14-'Existing Levels Drone Survey'!BB14</f>
        <v>0</v>
      </c>
      <c r="BC14" s="191">
        <f>'Functional Levels Drone Survey'!BC14-'Existing Levels Drone Survey'!BC14</f>
        <v>0</v>
      </c>
      <c r="BD14" s="191">
        <f>'Functional Levels Drone Survey'!BD14-'Existing Levels Drone Survey'!BD14</f>
        <v>0</v>
      </c>
      <c r="BE14" s="191">
        <f>'Functional Levels Drone Survey'!BE14-'Existing Levels Drone Survey'!BE14</f>
        <v>0</v>
      </c>
      <c r="BF14" s="191">
        <f>'Functional Levels Drone Survey'!BF14-'Existing Levels Drone Survey'!BF14</f>
        <v>0</v>
      </c>
      <c r="BG14" s="191">
        <f>'Functional Levels Drone Survey'!BG14-'Existing Levels Drone Survey'!BG14</f>
        <v>0</v>
      </c>
      <c r="BH14" s="191">
        <f>'Functional Levels Drone Survey'!BH14-'Existing Levels Drone Survey'!BH14</f>
        <v>0</v>
      </c>
      <c r="BI14" s="191">
        <f>'Functional Levels Drone Survey'!BI14-'Existing Levels Drone Survey'!BI14</f>
        <v>0</v>
      </c>
      <c r="BJ14" s="191">
        <f>'Functional Levels Drone Survey'!BJ14-'Existing Levels Drone Survey'!BJ14</f>
        <v>0</v>
      </c>
      <c r="BK14" s="191">
        <f>'Functional Levels Drone Survey'!BK14-'Existing Levels Drone Survey'!BK14</f>
        <v>0</v>
      </c>
      <c r="BL14" s="191">
        <f>'Functional Levels Drone Survey'!BL14-'Existing Levels Drone Survey'!BL14</f>
        <v>0</v>
      </c>
      <c r="BM14" s="191">
        <f>'Functional Levels Drone Survey'!BM14-'Existing Levels Drone Survey'!BM14</f>
        <v>0</v>
      </c>
      <c r="BN14" s="191">
        <f>'Functional Levels Drone Survey'!BN14-'Existing Levels Drone Survey'!BN14</f>
        <v>0</v>
      </c>
      <c r="BO14" s="191">
        <f>'Functional Levels Drone Survey'!BO14-'Existing Levels Drone Survey'!BO14</f>
        <v>0</v>
      </c>
      <c r="BP14" s="191">
        <f>'Functional Levels Drone Survey'!BP14-'Existing Levels Drone Survey'!BP14</f>
        <v>0</v>
      </c>
      <c r="BQ14" s="191">
        <f>'Functional Levels Drone Survey'!BQ14-'Existing Levels Drone Survey'!BQ14</f>
        <v>0</v>
      </c>
      <c r="BR14" s="191">
        <f>'Functional Levels Drone Survey'!BR14-'Existing Levels Drone Survey'!BR14</f>
        <v>0</v>
      </c>
      <c r="BS14" s="191">
        <f>'Functional Levels Drone Survey'!BS14-'Existing Levels Drone Survey'!BS14</f>
        <v>0</v>
      </c>
      <c r="BT14" s="191">
        <f>'Functional Levels Drone Survey'!BT14-'Existing Levels Drone Survey'!BT14</f>
        <v>0</v>
      </c>
      <c r="BU14" s="191">
        <f>'Functional Levels Drone Survey'!BU14-'Existing Levels Drone Survey'!BU14</f>
        <v>0</v>
      </c>
      <c r="BV14" s="191">
        <f>'Functional Levels Drone Survey'!BV14-'Existing Levels Drone Survey'!BV14</f>
        <v>0</v>
      </c>
      <c r="BW14" s="191">
        <f>'Functional Levels Drone Survey'!BW14-'Existing Levels Drone Survey'!BW14</f>
        <v>0</v>
      </c>
      <c r="BX14" s="191">
        <f>'Functional Levels Drone Survey'!BX14-'Existing Levels Drone Survey'!BX14</f>
        <v>0</v>
      </c>
      <c r="BY14" s="191">
        <f>'Functional Levels Drone Survey'!BY14-'Existing Levels Drone Survey'!BY14</f>
        <v>0</v>
      </c>
      <c r="BZ14" s="191">
        <f>'Functional Levels Drone Survey'!BZ14-'Existing Levels Drone Survey'!BZ14</f>
        <v>0</v>
      </c>
      <c r="CA14" s="191">
        <f>'Functional Levels Drone Survey'!CA14-'Existing Levels Drone Survey'!CA14</f>
        <v>0</v>
      </c>
      <c r="CB14" s="191">
        <f>'Functional Levels Drone Survey'!CB14-'Existing Levels Drone Survey'!CB14</f>
        <v>0</v>
      </c>
      <c r="CC14" s="191">
        <f>'Functional Levels Drone Survey'!CC14-'Existing Levels Drone Survey'!CC14</f>
        <v>0</v>
      </c>
      <c r="CD14" s="191">
        <f>'Functional Levels Drone Survey'!CD14-'Existing Levels Drone Survey'!CD14</f>
        <v>0</v>
      </c>
      <c r="CE14" s="191">
        <f>'Functional Levels Drone Survey'!CE14-'Existing Levels Drone Survey'!CE14</f>
        <v>0</v>
      </c>
      <c r="CF14" s="191">
        <f>'Functional Levels Drone Survey'!CF14-'Existing Levels Drone Survey'!CF14</f>
        <v>0</v>
      </c>
      <c r="CG14" s="191">
        <f>'Functional Levels Drone Survey'!CG14-'Existing Levels Drone Survey'!CG14</f>
        <v>0</v>
      </c>
      <c r="CH14" s="191">
        <f>'Functional Levels Drone Survey'!CH14-'Existing Levels Drone Survey'!CH14</f>
        <v>0</v>
      </c>
      <c r="CI14" s="191">
        <f>'Functional Levels Drone Survey'!CI14-'Existing Levels Drone Survey'!CI14</f>
        <v>0</v>
      </c>
      <c r="CJ14" s="191">
        <f>'Functional Levels Drone Survey'!CJ14-'Existing Levels Drone Survey'!CJ14</f>
        <v>0</v>
      </c>
      <c r="CK14" s="191">
        <f>'Functional Levels Drone Survey'!CK14-'Existing Levels Drone Survey'!CK14</f>
        <v>0</v>
      </c>
      <c r="CL14" s="191">
        <f>'Functional Levels Drone Survey'!CL14-'Existing Levels Drone Survey'!CL14</f>
        <v>0</v>
      </c>
      <c r="CM14" s="191">
        <f>'Functional Levels Drone Survey'!CM14-'Existing Levels Drone Survey'!CM14</f>
        <v>0</v>
      </c>
      <c r="CN14" s="191">
        <f>'Functional Levels Drone Survey'!CN14-'Existing Levels Drone Survey'!CN14</f>
        <v>0</v>
      </c>
      <c r="CO14" s="191">
        <f>'Functional Levels Drone Survey'!CO14-'Existing Levels Drone Survey'!CO14</f>
        <v>0</v>
      </c>
      <c r="CP14" s="278">
        <f>'Functional Levels Drone Survey'!CP14-'Existing Levels Drone Survey'!CP14</f>
        <v>0</v>
      </c>
      <c r="CQ14" s="278">
        <f>'Functional Levels Drone Survey'!CQ14-'Existing Levels Drone Survey'!CQ14</f>
        <v>0</v>
      </c>
      <c r="CR14" s="191">
        <f>'Functional Levels Drone Survey'!CR14-'Existing Levels Drone Survey'!CR14</f>
        <v>0</v>
      </c>
      <c r="CS14" s="191">
        <f>'Functional Levels Drone Survey'!CS14-'Existing Levels Drone Survey'!CS14</f>
        <v>0</v>
      </c>
      <c r="CT14" s="191">
        <f>'Functional Levels Drone Survey'!CT14-'Existing Levels Drone Survey'!CT14</f>
        <v>0</v>
      </c>
      <c r="CU14" s="191">
        <f>'Functional Levels Drone Survey'!CU14-'Existing Levels Drone Survey'!CU14</f>
        <v>0</v>
      </c>
      <c r="CV14" s="191">
        <f>'Functional Levels Drone Survey'!CV14-'Existing Levels Drone Survey'!CV14</f>
        <v>0</v>
      </c>
      <c r="CW14" s="191">
        <f>'Functional Levels Drone Survey'!CW14-'Existing Levels Drone Survey'!CW14</f>
        <v>0</v>
      </c>
      <c r="CX14" s="191">
        <f>'Functional Levels Drone Survey'!CX14-'Existing Levels Drone Survey'!CX14</f>
        <v>0</v>
      </c>
      <c r="CY14" s="191">
        <f>'Functional Levels Drone Survey'!CY14-'Existing Levels Drone Survey'!CY14</f>
        <v>0</v>
      </c>
      <c r="CZ14" s="191">
        <f>'Functional Levels Drone Survey'!CZ14-'Existing Levels Drone Survey'!CZ14</f>
        <v>0</v>
      </c>
      <c r="DA14" s="191">
        <f>'Functional Levels Drone Survey'!DA14-'Existing Levels Drone Survey'!DA14</f>
        <v>0</v>
      </c>
      <c r="DB14" s="191">
        <f>'Functional Levels Drone Survey'!DB14-'Existing Levels Drone Survey'!DB14</f>
        <v>0</v>
      </c>
      <c r="DC14" s="191">
        <f>'Functional Levels Drone Survey'!DC14-'Existing Levels Drone Survey'!DC14</f>
        <v>0</v>
      </c>
      <c r="DD14" s="191">
        <f>'Functional Levels Drone Survey'!DD14-'Existing Levels Drone Survey'!DD14</f>
        <v>0</v>
      </c>
      <c r="DE14" s="191">
        <f>'Functional Levels Drone Survey'!DE14-'Existing Levels Drone Survey'!DE14</f>
        <v>0</v>
      </c>
      <c r="DF14" s="191">
        <f>'Functional Levels Drone Survey'!DF14-'Existing Levels Drone Survey'!DF14</f>
        <v>0</v>
      </c>
      <c r="DG14" s="191">
        <f>'Functional Levels Drone Survey'!DG14-'Existing Levels Drone Survey'!DG14</f>
        <v>0</v>
      </c>
      <c r="DH14" s="191">
        <f>'Functional Levels Drone Survey'!DH14-'Existing Levels Drone Survey'!DH14</f>
        <v>0</v>
      </c>
      <c r="DI14" s="191">
        <f>'Functional Levels Drone Survey'!DI14-'Existing Levels Drone Survey'!DI14</f>
        <v>0</v>
      </c>
      <c r="DJ14" s="191">
        <f>'Functional Levels Drone Survey'!DJ14-'Existing Levels Drone Survey'!DJ14</f>
        <v>0</v>
      </c>
      <c r="DK14" s="191">
        <f>'Functional Levels Drone Survey'!DK14-'Existing Levels Drone Survey'!DK14</f>
        <v>0</v>
      </c>
      <c r="DL14" s="191">
        <f>'Functional Levels Drone Survey'!DL14-'Existing Levels Drone Survey'!DL14</f>
        <v>0</v>
      </c>
      <c r="DM14" s="191">
        <f>'Functional Levels Drone Survey'!DM14-'Existing Levels Drone Survey'!DM14</f>
        <v>0</v>
      </c>
      <c r="DN14" s="191">
        <f>'Functional Levels Drone Survey'!DN14-'Existing Levels Drone Survey'!DN14</f>
        <v>0</v>
      </c>
      <c r="DO14" s="191">
        <f>'Functional Levels Drone Survey'!DO14-'Existing Levels Drone Survey'!DO14</f>
        <v>0</v>
      </c>
      <c r="DP14" s="191">
        <f>'Functional Levels Drone Survey'!DP14-'Existing Levels Drone Survey'!DP14</f>
        <v>0</v>
      </c>
      <c r="DQ14" s="191">
        <f>'Functional Levels Drone Survey'!DQ14-'Existing Levels Drone Survey'!DQ14</f>
        <v>0</v>
      </c>
      <c r="DR14" s="191">
        <f>'Functional Levels Drone Survey'!DR14-'Existing Levels Drone Survey'!DR14</f>
        <v>0</v>
      </c>
      <c r="DS14" s="191">
        <f>'Functional Levels Drone Survey'!DS14-'Existing Levels Drone Survey'!DS14</f>
        <v>0</v>
      </c>
      <c r="DT14" s="191">
        <f>'Functional Levels Drone Survey'!DT14-'Existing Levels Drone Survey'!DT14</f>
        <v>0</v>
      </c>
      <c r="DU14" s="191">
        <f>'Functional Levels Drone Survey'!DU14-'Existing Levels Drone Survey'!DU14</f>
        <v>0</v>
      </c>
      <c r="DV14" s="278">
        <f>'Functional Levels Drone Survey'!DV14-'Existing Levels Drone Survey'!DV14</f>
        <v>-1.1144000000001029</v>
      </c>
      <c r="DW14" s="279">
        <f>'Functional Levels Drone Survey'!DW14-'Existing Levels Drone Survey'!DW14</f>
        <v>-0.38750000000004547</v>
      </c>
      <c r="DX14" s="191">
        <f>'Functional Levels Drone Survey'!DX14-'Existing Levels Drone Survey'!DX14</f>
        <v>-0.26690000000007785</v>
      </c>
      <c r="DY14" s="191">
        <f>'Functional Levels Drone Survey'!DY14-'Existing Levels Drone Survey'!DY14</f>
        <v>-8.5700000000031196E-2</v>
      </c>
      <c r="DZ14" s="191">
        <f>'Functional Levels Drone Survey'!DZ14-'Existing Levels Drone Survey'!DZ14</f>
        <v>5.7199999999966167E-2</v>
      </c>
      <c r="EA14" s="191">
        <f>'Functional Levels Drone Survey'!EA14-'Existing Levels Drone Survey'!EA14</f>
        <v>-0.16140000000007149</v>
      </c>
      <c r="EB14" s="191">
        <f>'Functional Levels Drone Survey'!EB14-'Existing Levels Drone Survey'!EB14</f>
        <v>-0.22280000000006339</v>
      </c>
      <c r="EC14" s="191">
        <f>'Functional Levels Drone Survey'!EC14-'Existing Levels Drone Survey'!EC14</f>
        <v>-0.31130000000007385</v>
      </c>
      <c r="ED14" s="191">
        <f>'Functional Levels Drone Survey'!ED14-'Existing Levels Drone Survey'!ED14</f>
        <v>-0.38360000000005812</v>
      </c>
      <c r="EE14" s="191">
        <f>'Functional Levels Drone Survey'!EE14-'Existing Levels Drone Survey'!EE14</f>
        <v>-0.44760000000007949</v>
      </c>
      <c r="EF14" s="191">
        <f>'Functional Levels Drone Survey'!EF14-'Existing Levels Drone Survey'!EF14</f>
        <v>-0.27560000000005402</v>
      </c>
      <c r="EG14" s="191">
        <f>'Functional Levels Drone Survey'!EG14-'Existing Levels Drone Survey'!EG14</f>
        <v>-0.14020000000004984</v>
      </c>
      <c r="EH14" s="279">
        <f>'Functional Levels Drone Survey'!EH14-'Existing Levels Drone Survey'!EH14</f>
        <v>-0.3063000000000784</v>
      </c>
      <c r="EI14" s="279">
        <f>'Functional Levels Drone Survey'!EI14-'Existing Levels Drone Survey'!EI14</f>
        <v>-0.20200000000005502</v>
      </c>
      <c r="EJ14" s="279">
        <f>'Functional Levels Drone Survey'!EJ14-'Existing Levels Drone Survey'!EJ14</f>
        <v>-0.1288000000000693</v>
      </c>
      <c r="EK14" s="279">
        <f>'Functional Levels Drone Survey'!EK14-'Existing Levels Drone Survey'!EK14</f>
        <v>-4.6400000000062391E-2</v>
      </c>
      <c r="EL14" s="279">
        <f>'Functional Levels Drone Survey'!EL14-'Existing Levels Drone Survey'!EL14</f>
        <v>-0.11280000000004975</v>
      </c>
      <c r="EM14" s="279">
        <f>'Functional Levels Drone Survey'!EM14-'Existing Levels Drone Survey'!EM14</f>
        <v>6.7999999999926786E-2</v>
      </c>
      <c r="EN14" s="191">
        <f>'Functional Levels Drone Survey'!EN14-'Existing Levels Drone Survey'!EN14</f>
        <v>-0.28760000000005448</v>
      </c>
      <c r="EO14" s="191">
        <f>'Functional Levels Drone Survey'!EO14-'Existing Levels Drone Survey'!EO14</f>
        <v>-1.2149000000000569</v>
      </c>
      <c r="EP14" s="278">
        <f>'Functional Levels Drone Survey'!EP14-'Existing Levels Drone Survey'!EP14</f>
        <v>0.36539999999990869</v>
      </c>
      <c r="EQ14" s="191">
        <f>'Functional Levels Drone Survey'!EQ14-'Existing Levels Drone Survey'!EQ14</f>
        <v>0</v>
      </c>
      <c r="ER14" s="191">
        <f>'Functional Levels Drone Survey'!ER14-'Existing Levels Drone Survey'!ER14</f>
        <v>0</v>
      </c>
      <c r="ES14" s="191">
        <f>'Functional Levels Drone Survey'!ES14-'Existing Levels Drone Survey'!ES14</f>
        <v>0</v>
      </c>
      <c r="ET14" s="191">
        <f>'Functional Levels Drone Survey'!ET14-'Existing Levels Drone Survey'!ET14</f>
        <v>0</v>
      </c>
      <c r="EU14" s="191">
        <f>'Functional Levels Drone Survey'!EU14-'Existing Levels Drone Survey'!EU14</f>
        <v>0</v>
      </c>
      <c r="EV14" s="191">
        <f>'Functional Levels Drone Survey'!EV14-'Existing Levels Drone Survey'!EV14</f>
        <v>0</v>
      </c>
      <c r="EW14" s="191">
        <f>'Functional Levels Drone Survey'!EW14-'Existing Levels Drone Survey'!EW14</f>
        <v>0</v>
      </c>
      <c r="EX14" s="191">
        <f>'Functional Levels Drone Survey'!EX14-'Existing Levels Drone Survey'!EX14</f>
        <v>0</v>
      </c>
      <c r="EY14" s="191">
        <f>'Functional Levels Drone Survey'!EY14-'Existing Levels Drone Survey'!EY14</f>
        <v>0</v>
      </c>
    </row>
    <row r="15" spans="1:155" ht="45" customHeight="1" x14ac:dyDescent="0.45">
      <c r="A15" s="277">
        <v>70</v>
      </c>
      <c r="B15" s="191">
        <f>'Functional Levels Drone Survey'!B15-'Existing Levels Drone Survey'!B15</f>
        <v>0</v>
      </c>
      <c r="C15" s="191">
        <f>'Functional Levels Drone Survey'!C15-'Existing Levels Drone Survey'!C15</f>
        <v>0</v>
      </c>
      <c r="D15" s="191">
        <f>'Functional Levels Drone Survey'!D15-'Existing Levels Drone Survey'!D15</f>
        <v>0</v>
      </c>
      <c r="E15" s="191">
        <f>'Functional Levels Drone Survey'!E15-'Existing Levels Drone Survey'!E15</f>
        <v>0</v>
      </c>
      <c r="F15" s="191">
        <f>'Functional Levels Drone Survey'!F15-'Existing Levels Drone Survey'!F15</f>
        <v>0</v>
      </c>
      <c r="G15" s="191">
        <f>'Functional Levels Drone Survey'!G15-'Existing Levels Drone Survey'!G15</f>
        <v>0</v>
      </c>
      <c r="H15" s="191">
        <f>'Functional Levels Drone Survey'!H15-'Existing Levels Drone Survey'!H15</f>
        <v>0</v>
      </c>
      <c r="I15" s="191">
        <f>'Functional Levels Drone Survey'!I15-'Existing Levels Drone Survey'!I15</f>
        <v>0</v>
      </c>
      <c r="J15" s="191">
        <f>'Functional Levels Drone Survey'!J15-'Existing Levels Drone Survey'!J15</f>
        <v>0</v>
      </c>
      <c r="K15" s="191">
        <f>'Functional Levels Drone Survey'!K15-'Existing Levels Drone Survey'!K15</f>
        <v>0</v>
      </c>
      <c r="L15" s="191">
        <f>'Functional Levels Drone Survey'!L15-'Existing Levels Drone Survey'!L15</f>
        <v>0</v>
      </c>
      <c r="M15" s="191">
        <f>'Functional Levels Drone Survey'!M15-'Existing Levels Drone Survey'!M15</f>
        <v>0</v>
      </c>
      <c r="N15" s="191">
        <f>'Functional Levels Drone Survey'!N15-'Existing Levels Drone Survey'!N15</f>
        <v>0</v>
      </c>
      <c r="O15" s="191">
        <f>'Functional Levels Drone Survey'!O15-'Existing Levels Drone Survey'!O15</f>
        <v>0</v>
      </c>
      <c r="P15" s="191">
        <f>'Functional Levels Drone Survey'!P15-'Existing Levels Drone Survey'!P15</f>
        <v>0</v>
      </c>
      <c r="Q15" s="191">
        <f>'Functional Levels Drone Survey'!Q15-'Existing Levels Drone Survey'!Q15</f>
        <v>0</v>
      </c>
      <c r="R15" s="191">
        <f>'Functional Levels Drone Survey'!R15-'Existing Levels Drone Survey'!R15</f>
        <v>0</v>
      </c>
      <c r="S15" s="191">
        <f>'Functional Levels Drone Survey'!S15-'Existing Levels Drone Survey'!S15</f>
        <v>0</v>
      </c>
      <c r="T15" s="191">
        <f>'Functional Levels Drone Survey'!T15-'Existing Levels Drone Survey'!T15</f>
        <v>0</v>
      </c>
      <c r="U15" s="191">
        <f>'Functional Levels Drone Survey'!U15-'Existing Levels Drone Survey'!U15</f>
        <v>0</v>
      </c>
      <c r="V15" s="191">
        <f>'Functional Levels Drone Survey'!V15-'Existing Levels Drone Survey'!V15</f>
        <v>0</v>
      </c>
      <c r="W15" s="191">
        <f>'Functional Levels Drone Survey'!W15-'Existing Levels Drone Survey'!W15</f>
        <v>0</v>
      </c>
      <c r="X15" s="191">
        <f>'Functional Levels Drone Survey'!X15-'Existing Levels Drone Survey'!X15</f>
        <v>0</v>
      </c>
      <c r="Y15" s="191">
        <f>'Functional Levels Drone Survey'!Y15-'Existing Levels Drone Survey'!Y15</f>
        <v>0</v>
      </c>
      <c r="Z15" s="191">
        <f>'Functional Levels Drone Survey'!Z15-'Existing Levels Drone Survey'!Z15</f>
        <v>0</v>
      </c>
      <c r="AA15" s="191">
        <f>'Functional Levels Drone Survey'!AA15-'Existing Levels Drone Survey'!AA15</f>
        <v>0</v>
      </c>
      <c r="AB15" s="191">
        <f>'Functional Levels Drone Survey'!AB15-'Existing Levels Drone Survey'!AB15</f>
        <v>0</v>
      </c>
      <c r="AC15" s="191">
        <f>'Functional Levels Drone Survey'!AC15-'Existing Levels Drone Survey'!AC15</f>
        <v>0</v>
      </c>
      <c r="AD15" s="191">
        <f>'Functional Levels Drone Survey'!AD15-'Existing Levels Drone Survey'!AD15</f>
        <v>0</v>
      </c>
      <c r="AE15" s="191">
        <f>'Functional Levels Drone Survey'!AE15-'Existing Levels Drone Survey'!AE15</f>
        <v>0</v>
      </c>
      <c r="AF15" s="191">
        <f>'Functional Levels Drone Survey'!AF15-'Existing Levels Drone Survey'!AF15</f>
        <v>0</v>
      </c>
      <c r="AG15" s="191">
        <f>'Functional Levels Drone Survey'!AG15-'Existing Levels Drone Survey'!AG15</f>
        <v>0</v>
      </c>
      <c r="AH15" s="191">
        <f>'Functional Levels Drone Survey'!AH15-'Existing Levels Drone Survey'!AH15</f>
        <v>0</v>
      </c>
      <c r="AI15" s="191">
        <f>'Functional Levels Drone Survey'!AI15-'Existing Levels Drone Survey'!AI15</f>
        <v>0</v>
      </c>
      <c r="AJ15" s="191">
        <f>'Functional Levels Drone Survey'!AJ15-'Existing Levels Drone Survey'!AJ15</f>
        <v>0</v>
      </c>
      <c r="AK15" s="191">
        <f>'Functional Levels Drone Survey'!AK15-'Existing Levels Drone Survey'!AK15</f>
        <v>0</v>
      </c>
      <c r="AL15" s="191">
        <f>'Functional Levels Drone Survey'!AL15-'Existing Levels Drone Survey'!AL15</f>
        <v>0</v>
      </c>
      <c r="AM15" s="191">
        <f>'Functional Levels Drone Survey'!AM15-'Existing Levels Drone Survey'!AM15</f>
        <v>0</v>
      </c>
      <c r="AN15" s="191">
        <f>'Functional Levels Drone Survey'!AN15-'Existing Levels Drone Survey'!AN15</f>
        <v>0</v>
      </c>
      <c r="AO15" s="191">
        <f>'Functional Levels Drone Survey'!AO15-'Existing Levels Drone Survey'!AO15</f>
        <v>0</v>
      </c>
      <c r="AP15" s="191">
        <f>'Functional Levels Drone Survey'!AP15-'Existing Levels Drone Survey'!AP15</f>
        <v>0</v>
      </c>
      <c r="AQ15" s="191">
        <f>'Functional Levels Drone Survey'!AQ15-'Existing Levels Drone Survey'!AQ15</f>
        <v>0</v>
      </c>
      <c r="AR15" s="191">
        <f>'Functional Levels Drone Survey'!AR15-'Existing Levels Drone Survey'!AR15</f>
        <v>0</v>
      </c>
      <c r="AS15" s="191">
        <f>'Functional Levels Drone Survey'!AS15-'Existing Levels Drone Survey'!AS15</f>
        <v>0</v>
      </c>
      <c r="AT15" s="191">
        <f>'Functional Levels Drone Survey'!AT15-'Existing Levels Drone Survey'!AT15</f>
        <v>0</v>
      </c>
      <c r="AU15" s="191">
        <f>'Functional Levels Drone Survey'!AU15-'Existing Levels Drone Survey'!AU15</f>
        <v>0</v>
      </c>
      <c r="AV15" s="191">
        <f>'Functional Levels Drone Survey'!AV15-'Existing Levels Drone Survey'!AV15</f>
        <v>0</v>
      </c>
      <c r="AW15" s="191">
        <f>'Functional Levels Drone Survey'!AW15-'Existing Levels Drone Survey'!AW15</f>
        <v>0</v>
      </c>
      <c r="AX15" s="191">
        <f>'Functional Levels Drone Survey'!AX15-'Existing Levels Drone Survey'!AX15</f>
        <v>0</v>
      </c>
      <c r="AY15" s="191">
        <f>'Functional Levels Drone Survey'!AY15-'Existing Levels Drone Survey'!AY15</f>
        <v>0</v>
      </c>
      <c r="AZ15" s="191">
        <f>'Functional Levels Drone Survey'!AZ15-'Existing Levels Drone Survey'!AZ15</f>
        <v>0</v>
      </c>
      <c r="BA15" s="191">
        <f>'Functional Levels Drone Survey'!BA15-'Existing Levels Drone Survey'!BA15</f>
        <v>0</v>
      </c>
      <c r="BB15" s="191">
        <f>'Functional Levels Drone Survey'!BB15-'Existing Levels Drone Survey'!BB15</f>
        <v>0</v>
      </c>
      <c r="BC15" s="191">
        <f>'Functional Levels Drone Survey'!BC15-'Existing Levels Drone Survey'!BC15</f>
        <v>0</v>
      </c>
      <c r="BD15" s="191">
        <f>'Functional Levels Drone Survey'!BD15-'Existing Levels Drone Survey'!BD15</f>
        <v>0</v>
      </c>
      <c r="BE15" s="191">
        <f>'Functional Levels Drone Survey'!BE15-'Existing Levels Drone Survey'!BE15</f>
        <v>0</v>
      </c>
      <c r="BF15" s="191">
        <f>'Functional Levels Drone Survey'!BF15-'Existing Levels Drone Survey'!BF15</f>
        <v>0</v>
      </c>
      <c r="BG15" s="191">
        <f>'Functional Levels Drone Survey'!BG15-'Existing Levels Drone Survey'!BG15</f>
        <v>0</v>
      </c>
      <c r="BH15" s="191">
        <f>'Functional Levels Drone Survey'!BH15-'Existing Levels Drone Survey'!BH15</f>
        <v>0</v>
      </c>
      <c r="BI15" s="191">
        <f>'Functional Levels Drone Survey'!BI15-'Existing Levels Drone Survey'!BI15</f>
        <v>0</v>
      </c>
      <c r="BJ15" s="191">
        <f>'Functional Levels Drone Survey'!BJ15-'Existing Levels Drone Survey'!BJ15</f>
        <v>0</v>
      </c>
      <c r="BK15" s="191">
        <f>'Functional Levels Drone Survey'!BK15-'Existing Levels Drone Survey'!BK15</f>
        <v>0</v>
      </c>
      <c r="BL15" s="191">
        <f>'Functional Levels Drone Survey'!BL15-'Existing Levels Drone Survey'!BL15</f>
        <v>0</v>
      </c>
      <c r="BM15" s="191">
        <f>'Functional Levels Drone Survey'!BM15-'Existing Levels Drone Survey'!BM15</f>
        <v>0</v>
      </c>
      <c r="BN15" s="191">
        <f>'Functional Levels Drone Survey'!BN15-'Existing Levels Drone Survey'!BN15</f>
        <v>0</v>
      </c>
      <c r="BO15" s="191">
        <f>'Functional Levels Drone Survey'!BO15-'Existing Levels Drone Survey'!BO15</f>
        <v>0</v>
      </c>
      <c r="BP15" s="191">
        <f>'Functional Levels Drone Survey'!BP15-'Existing Levels Drone Survey'!BP15</f>
        <v>0</v>
      </c>
      <c r="BQ15" s="191">
        <f>'Functional Levels Drone Survey'!BQ15-'Existing Levels Drone Survey'!BQ15</f>
        <v>0</v>
      </c>
      <c r="BR15" s="191">
        <f>'Functional Levels Drone Survey'!BR15-'Existing Levels Drone Survey'!BR15</f>
        <v>0</v>
      </c>
      <c r="BS15" s="191">
        <f>'Functional Levels Drone Survey'!BS15-'Existing Levels Drone Survey'!BS15</f>
        <v>0</v>
      </c>
      <c r="BT15" s="191">
        <f>'Functional Levels Drone Survey'!BT15-'Existing Levels Drone Survey'!BT15</f>
        <v>0</v>
      </c>
      <c r="BU15" s="191">
        <f>'Functional Levels Drone Survey'!BU15-'Existing Levels Drone Survey'!BU15</f>
        <v>0</v>
      </c>
      <c r="BV15" s="191">
        <f>'Functional Levels Drone Survey'!BV15-'Existing Levels Drone Survey'!BV15</f>
        <v>0</v>
      </c>
      <c r="BW15" s="191">
        <f>'Functional Levels Drone Survey'!BW15-'Existing Levels Drone Survey'!BW15</f>
        <v>0</v>
      </c>
      <c r="BX15" s="191">
        <f>'Functional Levels Drone Survey'!BX15-'Existing Levels Drone Survey'!BX15</f>
        <v>0</v>
      </c>
      <c r="BY15" s="191">
        <f>'Functional Levels Drone Survey'!BY15-'Existing Levels Drone Survey'!BY15</f>
        <v>0</v>
      </c>
      <c r="BZ15" s="191">
        <f>'Functional Levels Drone Survey'!BZ15-'Existing Levels Drone Survey'!BZ15</f>
        <v>0</v>
      </c>
      <c r="CA15" s="191">
        <f>'Functional Levels Drone Survey'!CA15-'Existing Levels Drone Survey'!CA15</f>
        <v>0</v>
      </c>
      <c r="CB15" s="191">
        <f>'Functional Levels Drone Survey'!CB15-'Existing Levels Drone Survey'!CB15</f>
        <v>0</v>
      </c>
      <c r="CC15" s="191">
        <f>'Functional Levels Drone Survey'!CC15-'Existing Levels Drone Survey'!CC15</f>
        <v>0</v>
      </c>
      <c r="CD15" s="191">
        <f>'Functional Levels Drone Survey'!CD15-'Existing Levels Drone Survey'!CD15</f>
        <v>0</v>
      </c>
      <c r="CE15" s="191">
        <f>'Functional Levels Drone Survey'!CE15-'Existing Levels Drone Survey'!CE15</f>
        <v>0</v>
      </c>
      <c r="CF15" s="191">
        <f>'Functional Levels Drone Survey'!CF15-'Existing Levels Drone Survey'!CF15</f>
        <v>0</v>
      </c>
      <c r="CG15" s="191">
        <f>'Functional Levels Drone Survey'!CG15-'Existing Levels Drone Survey'!CG15</f>
        <v>0</v>
      </c>
      <c r="CH15" s="191">
        <f>'Functional Levels Drone Survey'!CH15-'Existing Levels Drone Survey'!CH15</f>
        <v>0</v>
      </c>
      <c r="CI15" s="191">
        <f>'Functional Levels Drone Survey'!CI15-'Existing Levels Drone Survey'!CI15</f>
        <v>0</v>
      </c>
      <c r="CJ15" s="191">
        <f>'Functional Levels Drone Survey'!CJ15-'Existing Levels Drone Survey'!CJ15</f>
        <v>0</v>
      </c>
      <c r="CK15" s="191">
        <f>'Functional Levels Drone Survey'!CK15-'Existing Levels Drone Survey'!CK15</f>
        <v>0</v>
      </c>
      <c r="CL15" s="191">
        <f>'Functional Levels Drone Survey'!CL15-'Existing Levels Drone Survey'!CL15</f>
        <v>0</v>
      </c>
      <c r="CM15" s="191">
        <f>'Functional Levels Drone Survey'!CM15-'Existing Levels Drone Survey'!CM15</f>
        <v>0</v>
      </c>
      <c r="CN15" s="191">
        <f>'Functional Levels Drone Survey'!CN15-'Existing Levels Drone Survey'!CN15</f>
        <v>0</v>
      </c>
      <c r="CO15" s="278">
        <f>'Functional Levels Drone Survey'!CO15-'Existing Levels Drone Survey'!CO15</f>
        <v>-0.81760000000008404</v>
      </c>
      <c r="CP15" s="191">
        <f>'Functional Levels Drone Survey'!CP15-'Existing Levels Drone Survey'!CP15</f>
        <v>-1.4675000000000864</v>
      </c>
      <c r="CQ15" s="191">
        <f>'Functional Levels Drone Survey'!CQ15-'Existing Levels Drone Survey'!CQ15</f>
        <v>-1.6323000000001002</v>
      </c>
      <c r="CR15" s="278">
        <f>'Functional Levels Drone Survey'!CR15-'Existing Levels Drone Survey'!CR15</f>
        <v>-1.0049000000000774</v>
      </c>
      <c r="CS15" s="278">
        <f>'Functional Levels Drone Survey'!CS15-'Existing Levels Drone Survey'!CS15</f>
        <v>-0.25800000000009504</v>
      </c>
      <c r="CT15" s="278">
        <f>'Functional Levels Drone Survey'!CT15-'Existing Levels Drone Survey'!CT15</f>
        <v>0</v>
      </c>
      <c r="CU15" s="278">
        <f>'Functional Levels Drone Survey'!CU15-'Existing Levels Drone Survey'!CU15</f>
        <v>0</v>
      </c>
      <c r="CV15" s="191">
        <f>'Functional Levels Drone Survey'!CV15-'Existing Levels Drone Survey'!CV15</f>
        <v>0</v>
      </c>
      <c r="CW15" s="191">
        <f>'Functional Levels Drone Survey'!CW15-'Existing Levels Drone Survey'!CW15</f>
        <v>0</v>
      </c>
      <c r="CX15" s="191">
        <f>'Functional Levels Drone Survey'!CX15-'Existing Levels Drone Survey'!CX15</f>
        <v>0</v>
      </c>
      <c r="CY15" s="191">
        <f>'Functional Levels Drone Survey'!CY15-'Existing Levels Drone Survey'!CY15</f>
        <v>0</v>
      </c>
      <c r="CZ15" s="191">
        <f>'Functional Levels Drone Survey'!CZ15-'Existing Levels Drone Survey'!CZ15</f>
        <v>0</v>
      </c>
      <c r="DA15" s="191">
        <f>'Functional Levels Drone Survey'!DA15-'Existing Levels Drone Survey'!DA15</f>
        <v>0</v>
      </c>
      <c r="DB15" s="191">
        <f>'Functional Levels Drone Survey'!DB15-'Existing Levels Drone Survey'!DB15</f>
        <v>0</v>
      </c>
      <c r="DC15" s="278">
        <f>'Functional Levels Drone Survey'!DC15-'Existing Levels Drone Survey'!DC15</f>
        <v>0</v>
      </c>
      <c r="DD15" s="278">
        <f>'Functional Levels Drone Survey'!DD15-'Existing Levels Drone Survey'!DD15</f>
        <v>0</v>
      </c>
      <c r="DE15" s="278">
        <f>'Functional Levels Drone Survey'!DE15-'Existing Levels Drone Survey'!DE15</f>
        <v>0</v>
      </c>
      <c r="DF15" s="278">
        <f>'Functional Levels Drone Survey'!DF15-'Existing Levels Drone Survey'!DF15</f>
        <v>0</v>
      </c>
      <c r="DG15" s="278">
        <f>'Functional Levels Drone Survey'!DG15-'Existing Levels Drone Survey'!DG15</f>
        <v>0</v>
      </c>
      <c r="DH15" s="278">
        <f>'Functional Levels Drone Survey'!DH15-'Existing Levels Drone Survey'!DH15</f>
        <v>0</v>
      </c>
      <c r="DI15" s="278">
        <f>'Functional Levels Drone Survey'!DI15-'Existing Levels Drone Survey'!DI15</f>
        <v>0</v>
      </c>
      <c r="DJ15" s="191">
        <f>'Functional Levels Drone Survey'!DJ15-'Existing Levels Drone Survey'!DJ15</f>
        <v>0</v>
      </c>
      <c r="DK15" s="191">
        <f>'Functional Levels Drone Survey'!DK15-'Existing Levels Drone Survey'!DK15</f>
        <v>0</v>
      </c>
      <c r="DL15" s="191">
        <f>'Functional Levels Drone Survey'!DL15-'Existing Levels Drone Survey'!DL15</f>
        <v>0</v>
      </c>
      <c r="DM15" s="191">
        <f>'Functional Levels Drone Survey'!DM15-'Existing Levels Drone Survey'!DM15</f>
        <v>0</v>
      </c>
      <c r="DN15" s="191">
        <f>'Functional Levels Drone Survey'!DN15-'Existing Levels Drone Survey'!DN15</f>
        <v>0</v>
      </c>
      <c r="DO15" s="191">
        <f>'Functional Levels Drone Survey'!DO15-'Existing Levels Drone Survey'!DO15</f>
        <v>0</v>
      </c>
      <c r="DP15" s="191">
        <f>'Functional Levels Drone Survey'!DP15-'Existing Levels Drone Survey'!DP15</f>
        <v>0</v>
      </c>
      <c r="DQ15" s="191">
        <f>'Functional Levels Drone Survey'!DQ15-'Existing Levels Drone Survey'!DQ15</f>
        <v>0</v>
      </c>
      <c r="DR15" s="191">
        <f>'Functional Levels Drone Survey'!DR15-'Existing Levels Drone Survey'!DR15</f>
        <v>0</v>
      </c>
      <c r="DS15" s="191">
        <f>'Functional Levels Drone Survey'!DS15-'Existing Levels Drone Survey'!DS15</f>
        <v>0</v>
      </c>
      <c r="DT15" s="191">
        <f>'Functional Levels Drone Survey'!DT15-'Existing Levels Drone Survey'!DT15</f>
        <v>0</v>
      </c>
      <c r="DU15" s="191">
        <f>'Functional Levels Drone Survey'!DU15-'Existing Levels Drone Survey'!DU15</f>
        <v>0</v>
      </c>
      <c r="DV15" s="278">
        <f>'Functional Levels Drone Survey'!DV15-'Existing Levels Drone Survey'!DV15</f>
        <v>-1.0637000000000967</v>
      </c>
      <c r="DW15" s="279">
        <f>'Functional Levels Drone Survey'!DW15-'Existing Levels Drone Survey'!DW15</f>
        <v>-0.30200000000007776</v>
      </c>
      <c r="DX15" s="191">
        <f>'Functional Levels Drone Survey'!DX15-'Existing Levels Drone Survey'!DX15</f>
        <v>-0.3870000000000573</v>
      </c>
      <c r="DY15" s="191">
        <f>'Functional Levels Drone Survey'!DY15-'Existing Levels Drone Survey'!DY15</f>
        <v>-0.1561000000000945</v>
      </c>
      <c r="DZ15" s="191">
        <f>'Functional Levels Drone Survey'!DZ15-'Existing Levels Drone Survey'!DZ15</f>
        <v>3.2299999999906959E-2</v>
      </c>
      <c r="EA15" s="191">
        <f>'Functional Levels Drone Survey'!EA15-'Existing Levels Drone Survey'!EA15</f>
        <v>-0.28870000000006257</v>
      </c>
      <c r="EB15" s="191">
        <f>'Functional Levels Drone Survey'!EB15-'Existing Levels Drone Survey'!EB15</f>
        <v>-0.36210000000005493</v>
      </c>
      <c r="EC15" s="191">
        <f>'Functional Levels Drone Survey'!EC15-'Existing Levels Drone Survey'!EC15</f>
        <v>-0.39730000000008658</v>
      </c>
      <c r="ED15" s="191">
        <f>'Functional Levels Drone Survey'!ED15-'Existing Levels Drone Survey'!ED15</f>
        <v>-0.31570000000004939</v>
      </c>
      <c r="EE15" s="191">
        <f>'Functional Levels Drone Survey'!EE15-'Existing Levels Drone Survey'!EE15</f>
        <v>-0.37040000000007467</v>
      </c>
      <c r="EF15" s="191">
        <f>'Functional Levels Drone Survey'!EF15-'Existing Levels Drone Survey'!EF15</f>
        <v>-0.26010000000007949</v>
      </c>
      <c r="EG15" s="191">
        <f>'Functional Levels Drone Survey'!EG15-'Existing Levels Drone Survey'!EG15</f>
        <v>-0.1953000000000884</v>
      </c>
      <c r="EH15" s="191">
        <f>'Functional Levels Drone Survey'!EH15-'Existing Levels Drone Survey'!EH15</f>
        <v>-0.29850000000004684</v>
      </c>
      <c r="EI15" s="191">
        <f>'Functional Levels Drone Survey'!EI15-'Existing Levels Drone Survey'!EI15</f>
        <v>-0.25870000000008986</v>
      </c>
      <c r="EJ15" s="191">
        <f>'Functional Levels Drone Survey'!EJ15-'Existing Levels Drone Survey'!EJ15</f>
        <v>-4.7400000000095588E-2</v>
      </c>
      <c r="EK15" s="191">
        <f>'Functional Levels Drone Survey'!EK15-'Existing Levels Drone Survey'!EK15</f>
        <v>0.17439999999993461</v>
      </c>
      <c r="EL15" s="191">
        <f>'Functional Levels Drone Survey'!EL15-'Existing Levels Drone Survey'!EL15</f>
        <v>-0.12830000000008113</v>
      </c>
      <c r="EM15" s="279">
        <f>'Functional Levels Drone Survey'!EM15-'Existing Levels Drone Survey'!EM15</f>
        <v>-0.1258000000000834</v>
      </c>
      <c r="EN15" s="191">
        <f>'Functional Levels Drone Survey'!EN15-'Existing Levels Drone Survey'!EN15</f>
        <v>-0.28080000000005612</v>
      </c>
      <c r="EO15" s="191">
        <f>'Functional Levels Drone Survey'!EO15-'Existing Levels Drone Survey'!EO15</f>
        <v>-0.59170000000005984</v>
      </c>
      <c r="EP15" s="278">
        <f>'Functional Levels Drone Survey'!EP15-'Existing Levels Drone Survey'!EP15</f>
        <v>-1.7377000000000749</v>
      </c>
      <c r="EQ15" s="191">
        <f>'Functional Levels Drone Survey'!EQ15-'Existing Levels Drone Survey'!EQ15</f>
        <v>0</v>
      </c>
      <c r="ER15" s="191">
        <f>'Functional Levels Drone Survey'!ER15-'Existing Levels Drone Survey'!ER15</f>
        <v>0</v>
      </c>
      <c r="ES15" s="191">
        <f>'Functional Levels Drone Survey'!ES15-'Existing Levels Drone Survey'!ES15</f>
        <v>0</v>
      </c>
      <c r="ET15" s="191">
        <f>'Functional Levels Drone Survey'!ET15-'Existing Levels Drone Survey'!ET15</f>
        <v>0</v>
      </c>
      <c r="EU15" s="191">
        <f>'Functional Levels Drone Survey'!EU15-'Existing Levels Drone Survey'!EU15</f>
        <v>0</v>
      </c>
      <c r="EV15" s="191">
        <f>'Functional Levels Drone Survey'!EV15-'Existing Levels Drone Survey'!EV15</f>
        <v>0</v>
      </c>
      <c r="EW15" s="191">
        <f>'Functional Levels Drone Survey'!EW15-'Existing Levels Drone Survey'!EW15</f>
        <v>0</v>
      </c>
      <c r="EX15" s="191">
        <f>'Functional Levels Drone Survey'!EX15-'Existing Levels Drone Survey'!EX15</f>
        <v>0</v>
      </c>
      <c r="EY15" s="191">
        <f>'Functional Levels Drone Survey'!EY15-'Existing Levels Drone Survey'!EY15</f>
        <v>0</v>
      </c>
    </row>
    <row r="16" spans="1:155" ht="45" customHeight="1" x14ac:dyDescent="0.45">
      <c r="A16" s="277">
        <v>75</v>
      </c>
      <c r="B16" s="191">
        <f>'Functional Levels Drone Survey'!B16-'Existing Levels Drone Survey'!B16</f>
        <v>0</v>
      </c>
      <c r="C16" s="191">
        <f>'Functional Levels Drone Survey'!C16-'Existing Levels Drone Survey'!C16</f>
        <v>0</v>
      </c>
      <c r="D16" s="191">
        <f>'Functional Levels Drone Survey'!D16-'Existing Levels Drone Survey'!D16</f>
        <v>0</v>
      </c>
      <c r="E16" s="191">
        <f>'Functional Levels Drone Survey'!E16-'Existing Levels Drone Survey'!E16</f>
        <v>0</v>
      </c>
      <c r="F16" s="191">
        <f>'Functional Levels Drone Survey'!F16-'Existing Levels Drone Survey'!F16</f>
        <v>0</v>
      </c>
      <c r="G16" s="191">
        <f>'Functional Levels Drone Survey'!G16-'Existing Levels Drone Survey'!G16</f>
        <v>0</v>
      </c>
      <c r="H16" s="191">
        <f>'Functional Levels Drone Survey'!H16-'Existing Levels Drone Survey'!H16</f>
        <v>0</v>
      </c>
      <c r="I16" s="191">
        <f>'Functional Levels Drone Survey'!I16-'Existing Levels Drone Survey'!I16</f>
        <v>0</v>
      </c>
      <c r="J16" s="191">
        <f>'Functional Levels Drone Survey'!J16-'Existing Levels Drone Survey'!J16</f>
        <v>0</v>
      </c>
      <c r="K16" s="191">
        <f>'Functional Levels Drone Survey'!K16-'Existing Levels Drone Survey'!K16</f>
        <v>0</v>
      </c>
      <c r="L16" s="191">
        <f>'Functional Levels Drone Survey'!L16-'Existing Levels Drone Survey'!L16</f>
        <v>0</v>
      </c>
      <c r="M16" s="191">
        <f>'Functional Levels Drone Survey'!M16-'Existing Levels Drone Survey'!M16</f>
        <v>0</v>
      </c>
      <c r="N16" s="191">
        <f>'Functional Levels Drone Survey'!N16-'Existing Levels Drone Survey'!N16</f>
        <v>0</v>
      </c>
      <c r="O16" s="191">
        <f>'Functional Levels Drone Survey'!O16-'Existing Levels Drone Survey'!O16</f>
        <v>0</v>
      </c>
      <c r="P16" s="191">
        <f>'Functional Levels Drone Survey'!P16-'Existing Levels Drone Survey'!P16</f>
        <v>0</v>
      </c>
      <c r="Q16" s="191">
        <f>'Functional Levels Drone Survey'!Q16-'Existing Levels Drone Survey'!Q16</f>
        <v>0</v>
      </c>
      <c r="R16" s="191">
        <f>'Functional Levels Drone Survey'!R16-'Existing Levels Drone Survey'!R16</f>
        <v>0</v>
      </c>
      <c r="S16" s="191">
        <f>'Functional Levels Drone Survey'!S16-'Existing Levels Drone Survey'!S16</f>
        <v>0</v>
      </c>
      <c r="T16" s="191">
        <f>'Functional Levels Drone Survey'!T16-'Existing Levels Drone Survey'!T16</f>
        <v>0</v>
      </c>
      <c r="U16" s="191">
        <f>'Functional Levels Drone Survey'!U16-'Existing Levels Drone Survey'!U16</f>
        <v>0</v>
      </c>
      <c r="V16" s="191">
        <f>'Functional Levels Drone Survey'!V16-'Existing Levels Drone Survey'!V16</f>
        <v>0</v>
      </c>
      <c r="W16" s="191">
        <f>'Functional Levels Drone Survey'!W16-'Existing Levels Drone Survey'!W16</f>
        <v>0</v>
      </c>
      <c r="X16" s="191">
        <f>'Functional Levels Drone Survey'!X16-'Existing Levels Drone Survey'!X16</f>
        <v>0</v>
      </c>
      <c r="Y16" s="191">
        <f>'Functional Levels Drone Survey'!Y16-'Existing Levels Drone Survey'!Y16</f>
        <v>0</v>
      </c>
      <c r="Z16" s="191">
        <f>'Functional Levels Drone Survey'!Z16-'Existing Levels Drone Survey'!Z16</f>
        <v>0</v>
      </c>
      <c r="AA16" s="191">
        <f>'Functional Levels Drone Survey'!AA16-'Existing Levels Drone Survey'!AA16</f>
        <v>0</v>
      </c>
      <c r="AB16" s="191">
        <f>'Functional Levels Drone Survey'!AB16-'Existing Levels Drone Survey'!AB16</f>
        <v>0</v>
      </c>
      <c r="AC16" s="191">
        <f>'Functional Levels Drone Survey'!AC16-'Existing Levels Drone Survey'!AC16</f>
        <v>0</v>
      </c>
      <c r="AD16" s="191">
        <f>'Functional Levels Drone Survey'!AD16-'Existing Levels Drone Survey'!AD16</f>
        <v>0</v>
      </c>
      <c r="AE16" s="191">
        <f>'Functional Levels Drone Survey'!AE16-'Existing Levels Drone Survey'!AE16</f>
        <v>0</v>
      </c>
      <c r="AF16" s="191">
        <f>'Functional Levels Drone Survey'!AF16-'Existing Levels Drone Survey'!AF16</f>
        <v>0</v>
      </c>
      <c r="AG16" s="191">
        <f>'Functional Levels Drone Survey'!AG16-'Existing Levels Drone Survey'!AG16</f>
        <v>0</v>
      </c>
      <c r="AH16" s="191">
        <f>'Functional Levels Drone Survey'!AH16-'Existing Levels Drone Survey'!AH16</f>
        <v>0</v>
      </c>
      <c r="AI16" s="191">
        <f>'Functional Levels Drone Survey'!AI16-'Existing Levels Drone Survey'!AI16</f>
        <v>0</v>
      </c>
      <c r="AJ16" s="191">
        <f>'Functional Levels Drone Survey'!AJ16-'Existing Levels Drone Survey'!AJ16</f>
        <v>0</v>
      </c>
      <c r="AK16" s="191">
        <f>'Functional Levels Drone Survey'!AK16-'Existing Levels Drone Survey'!AK16</f>
        <v>0</v>
      </c>
      <c r="AL16" s="191">
        <f>'Functional Levels Drone Survey'!AL16-'Existing Levels Drone Survey'!AL16</f>
        <v>0</v>
      </c>
      <c r="AM16" s="191">
        <f>'Functional Levels Drone Survey'!AM16-'Existing Levels Drone Survey'!AM16</f>
        <v>0</v>
      </c>
      <c r="AN16" s="191">
        <f>'Functional Levels Drone Survey'!AN16-'Existing Levels Drone Survey'!AN16</f>
        <v>0</v>
      </c>
      <c r="AO16" s="191">
        <f>'Functional Levels Drone Survey'!AO16-'Existing Levels Drone Survey'!AO16</f>
        <v>0</v>
      </c>
      <c r="AP16" s="191">
        <f>'Functional Levels Drone Survey'!AP16-'Existing Levels Drone Survey'!AP16</f>
        <v>0</v>
      </c>
      <c r="AQ16" s="191">
        <f>'Functional Levels Drone Survey'!AQ16-'Existing Levels Drone Survey'!AQ16</f>
        <v>0</v>
      </c>
      <c r="AR16" s="191">
        <f>'Functional Levels Drone Survey'!AR16-'Existing Levels Drone Survey'!AR16</f>
        <v>0</v>
      </c>
      <c r="AS16" s="191">
        <f>'Functional Levels Drone Survey'!AS16-'Existing Levels Drone Survey'!AS16</f>
        <v>0</v>
      </c>
      <c r="AT16" s="191">
        <f>'Functional Levels Drone Survey'!AT16-'Existing Levels Drone Survey'!AT16</f>
        <v>0</v>
      </c>
      <c r="AU16" s="191">
        <f>'Functional Levels Drone Survey'!AU16-'Existing Levels Drone Survey'!AU16</f>
        <v>0</v>
      </c>
      <c r="AV16" s="191">
        <f>'Functional Levels Drone Survey'!AV16-'Existing Levels Drone Survey'!AV16</f>
        <v>0</v>
      </c>
      <c r="AW16" s="191">
        <f>'Functional Levels Drone Survey'!AW16-'Existing Levels Drone Survey'!AW16</f>
        <v>0</v>
      </c>
      <c r="AX16" s="191">
        <f>'Functional Levels Drone Survey'!AX16-'Existing Levels Drone Survey'!AX16</f>
        <v>0</v>
      </c>
      <c r="AY16" s="191">
        <f>'Functional Levels Drone Survey'!AY16-'Existing Levels Drone Survey'!AY16</f>
        <v>0</v>
      </c>
      <c r="AZ16" s="191">
        <f>'Functional Levels Drone Survey'!AZ16-'Existing Levels Drone Survey'!AZ16</f>
        <v>0</v>
      </c>
      <c r="BA16" s="191">
        <f>'Functional Levels Drone Survey'!BA16-'Existing Levels Drone Survey'!BA16</f>
        <v>0</v>
      </c>
      <c r="BB16" s="191">
        <f>'Functional Levels Drone Survey'!BB16-'Existing Levels Drone Survey'!BB16</f>
        <v>0</v>
      </c>
      <c r="BC16" s="191">
        <f>'Functional Levels Drone Survey'!BC16-'Existing Levels Drone Survey'!BC16</f>
        <v>0</v>
      </c>
      <c r="BD16" s="191">
        <f>'Functional Levels Drone Survey'!BD16-'Existing Levels Drone Survey'!BD16</f>
        <v>0</v>
      </c>
      <c r="BE16" s="191">
        <f>'Functional Levels Drone Survey'!BE16-'Existing Levels Drone Survey'!BE16</f>
        <v>0</v>
      </c>
      <c r="BF16" s="191">
        <f>'Functional Levels Drone Survey'!BF16-'Existing Levels Drone Survey'!BF16</f>
        <v>0</v>
      </c>
      <c r="BG16" s="191">
        <f>'Functional Levels Drone Survey'!BG16-'Existing Levels Drone Survey'!BG16</f>
        <v>0</v>
      </c>
      <c r="BH16" s="191">
        <f>'Functional Levels Drone Survey'!BH16-'Existing Levels Drone Survey'!BH16</f>
        <v>0</v>
      </c>
      <c r="BI16" s="191">
        <f>'Functional Levels Drone Survey'!BI16-'Existing Levels Drone Survey'!BI16</f>
        <v>0</v>
      </c>
      <c r="BJ16" s="191">
        <f>'Functional Levels Drone Survey'!BJ16-'Existing Levels Drone Survey'!BJ16</f>
        <v>0</v>
      </c>
      <c r="BK16" s="191">
        <f>'Functional Levels Drone Survey'!BK16-'Existing Levels Drone Survey'!BK16</f>
        <v>0</v>
      </c>
      <c r="BL16" s="191">
        <f>'Functional Levels Drone Survey'!BL16-'Existing Levels Drone Survey'!BL16</f>
        <v>0</v>
      </c>
      <c r="BM16" s="191">
        <f>'Functional Levels Drone Survey'!BM16-'Existing Levels Drone Survey'!BM16</f>
        <v>0</v>
      </c>
      <c r="BN16" s="191">
        <f>'Functional Levels Drone Survey'!BN16-'Existing Levels Drone Survey'!BN16</f>
        <v>0</v>
      </c>
      <c r="BO16" s="191">
        <f>'Functional Levels Drone Survey'!BO16-'Existing Levels Drone Survey'!BO16</f>
        <v>0</v>
      </c>
      <c r="BP16" s="191">
        <f>'Functional Levels Drone Survey'!BP16-'Existing Levels Drone Survey'!BP16</f>
        <v>0</v>
      </c>
      <c r="BQ16" s="191">
        <f>'Functional Levels Drone Survey'!BQ16-'Existing Levels Drone Survey'!BQ16</f>
        <v>0</v>
      </c>
      <c r="BR16" s="191">
        <f>'Functional Levels Drone Survey'!BR16-'Existing Levels Drone Survey'!BR16</f>
        <v>0</v>
      </c>
      <c r="BS16" s="191">
        <f>'Functional Levels Drone Survey'!BS16-'Existing Levels Drone Survey'!BS16</f>
        <v>0</v>
      </c>
      <c r="BT16" s="191">
        <f>'Functional Levels Drone Survey'!BT16-'Existing Levels Drone Survey'!BT16</f>
        <v>0</v>
      </c>
      <c r="BU16" s="191">
        <f>'Functional Levels Drone Survey'!BU16-'Existing Levels Drone Survey'!BU16</f>
        <v>0</v>
      </c>
      <c r="BV16" s="191">
        <f>'Functional Levels Drone Survey'!BV16-'Existing Levels Drone Survey'!BV16</f>
        <v>0</v>
      </c>
      <c r="BW16" s="191">
        <f>'Functional Levels Drone Survey'!BW16-'Existing Levels Drone Survey'!BW16</f>
        <v>0</v>
      </c>
      <c r="BX16" s="191">
        <f>'Functional Levels Drone Survey'!BX16-'Existing Levels Drone Survey'!BX16</f>
        <v>0</v>
      </c>
      <c r="BY16" s="191">
        <f>'Functional Levels Drone Survey'!BY16-'Existing Levels Drone Survey'!BY16</f>
        <v>0</v>
      </c>
      <c r="BZ16" s="191">
        <f>'Functional Levels Drone Survey'!BZ16-'Existing Levels Drone Survey'!BZ16</f>
        <v>0</v>
      </c>
      <c r="CA16" s="191">
        <f>'Functional Levels Drone Survey'!CA16-'Existing Levels Drone Survey'!CA16</f>
        <v>0</v>
      </c>
      <c r="CB16" s="191">
        <f>'Functional Levels Drone Survey'!CB16-'Existing Levels Drone Survey'!CB16</f>
        <v>0</v>
      </c>
      <c r="CC16" s="191">
        <f>'Functional Levels Drone Survey'!CC16-'Existing Levels Drone Survey'!CC16</f>
        <v>0</v>
      </c>
      <c r="CD16" s="191">
        <f>'Functional Levels Drone Survey'!CD16-'Existing Levels Drone Survey'!CD16</f>
        <v>0</v>
      </c>
      <c r="CE16" s="191">
        <f>'Functional Levels Drone Survey'!CE16-'Existing Levels Drone Survey'!CE16</f>
        <v>0</v>
      </c>
      <c r="CF16" s="191">
        <f>'Functional Levels Drone Survey'!CF16-'Existing Levels Drone Survey'!CF16</f>
        <v>0</v>
      </c>
      <c r="CG16" s="191">
        <f>'Functional Levels Drone Survey'!CG16-'Existing Levels Drone Survey'!CG16</f>
        <v>0</v>
      </c>
      <c r="CH16" s="191">
        <f>'Functional Levels Drone Survey'!CH16-'Existing Levels Drone Survey'!CH16</f>
        <v>0</v>
      </c>
      <c r="CI16" s="191">
        <f>'Functional Levels Drone Survey'!CI16-'Existing Levels Drone Survey'!CI16</f>
        <v>0</v>
      </c>
      <c r="CJ16" s="191">
        <f>'Functional Levels Drone Survey'!CJ16-'Existing Levels Drone Survey'!CJ16</f>
        <v>0</v>
      </c>
      <c r="CK16" s="191">
        <f>'Functional Levels Drone Survey'!CK16-'Existing Levels Drone Survey'!CK16</f>
        <v>0</v>
      </c>
      <c r="CL16" s="191">
        <f>'Functional Levels Drone Survey'!CL16-'Existing Levels Drone Survey'!CL16</f>
        <v>0</v>
      </c>
      <c r="CM16" s="191">
        <f>'Functional Levels Drone Survey'!CM16-'Existing Levels Drone Survey'!CM16</f>
        <v>0</v>
      </c>
      <c r="CN16" s="191">
        <f>'Functional Levels Drone Survey'!CN16-'Existing Levels Drone Survey'!CN16</f>
        <v>0</v>
      </c>
      <c r="CO16" s="278">
        <f>'Functional Levels Drone Survey'!CO16-'Existing Levels Drone Survey'!CO16</f>
        <v>-8.8800000000105683E-2</v>
      </c>
      <c r="CP16" s="191">
        <f>'Functional Levels Drone Survey'!CP16-'Existing Levels Drone Survey'!CP16</f>
        <v>-1.3866000000001009</v>
      </c>
      <c r="CQ16" s="191">
        <f>'Functional Levels Drone Survey'!CQ16-'Existing Levels Drone Survey'!CQ16</f>
        <v>-1.255700000000104</v>
      </c>
      <c r="CR16" s="191">
        <f>'Functional Levels Drone Survey'!CR16-'Existing Levels Drone Survey'!CR16</f>
        <v>-1.1951000000000818</v>
      </c>
      <c r="CS16" s="191">
        <f>'Functional Levels Drone Survey'!CS16-'Existing Levels Drone Survey'!CS16</f>
        <v>-1.2532000000001062</v>
      </c>
      <c r="CT16" s="191">
        <f>'Functional Levels Drone Survey'!CT16-'Existing Levels Drone Survey'!CT16</f>
        <v>-1.2970000000000823</v>
      </c>
      <c r="CU16" s="278">
        <f>'Functional Levels Drone Survey'!CU16-'Existing Levels Drone Survey'!CU16</f>
        <v>-1.2673000000000911</v>
      </c>
      <c r="CV16" s="191">
        <f>'Functional Levels Drone Survey'!CV16-'Existing Levels Drone Survey'!CV16</f>
        <v>0</v>
      </c>
      <c r="CW16" s="191">
        <f>'Functional Levels Drone Survey'!CW16-'Existing Levels Drone Survey'!CW16</f>
        <v>0</v>
      </c>
      <c r="CX16" s="191">
        <f>'Functional Levels Drone Survey'!CX16-'Existing Levels Drone Survey'!CX16</f>
        <v>0</v>
      </c>
      <c r="CY16" s="191">
        <f>'Functional Levels Drone Survey'!CY16-'Existing Levels Drone Survey'!CY16</f>
        <v>0</v>
      </c>
      <c r="CZ16" s="191">
        <f>'Functional Levels Drone Survey'!CZ16-'Existing Levels Drone Survey'!CZ16</f>
        <v>0</v>
      </c>
      <c r="DA16" s="191">
        <f>'Functional Levels Drone Survey'!DA16-'Existing Levels Drone Survey'!DA16</f>
        <v>0</v>
      </c>
      <c r="DB16" s="191">
        <f>'Functional Levels Drone Survey'!DB16-'Existing Levels Drone Survey'!DB16</f>
        <v>0</v>
      </c>
      <c r="DC16" s="278">
        <f>'Functional Levels Drone Survey'!DC16-'Existing Levels Drone Survey'!DC16</f>
        <v>-0.72600000000005593</v>
      </c>
      <c r="DD16" s="191">
        <f>'Functional Levels Drone Survey'!DD16-'Existing Levels Drone Survey'!DD16</f>
        <v>-1.1404000000000565</v>
      </c>
      <c r="DE16" s="191">
        <f>'Functional Levels Drone Survey'!DE16-'Existing Levels Drone Survey'!DE16</f>
        <v>-1.0084000000000515</v>
      </c>
      <c r="DF16" s="191">
        <f>'Functional Levels Drone Survey'!DF16-'Existing Levels Drone Survey'!DF16</f>
        <v>-0.82550000000009049</v>
      </c>
      <c r="DG16" s="191">
        <f>'Functional Levels Drone Survey'!DG16-'Existing Levels Drone Survey'!DG16</f>
        <v>-0.71290000000004738</v>
      </c>
      <c r="DH16" s="191">
        <f>'Functional Levels Drone Survey'!DH16-'Existing Levels Drone Survey'!DH16</f>
        <v>-0.47380000000009659</v>
      </c>
      <c r="DI16" s="191">
        <f>'Functional Levels Drone Survey'!DI16-'Existing Levels Drone Survey'!DI16</f>
        <v>-0.83570000000008804</v>
      </c>
      <c r="DJ16" s="278">
        <f>'Functional Levels Drone Survey'!DJ16-'Existing Levels Drone Survey'!DJ16</f>
        <v>0</v>
      </c>
      <c r="DK16" s="191">
        <f>'Functional Levels Drone Survey'!DK16-'Existing Levels Drone Survey'!DK16</f>
        <v>0</v>
      </c>
      <c r="DL16" s="191">
        <f>'Functional Levels Drone Survey'!DL16-'Existing Levels Drone Survey'!DL16</f>
        <v>0</v>
      </c>
      <c r="DM16" s="191">
        <f>'Functional Levels Drone Survey'!DM16-'Existing Levels Drone Survey'!DM16</f>
        <v>0</v>
      </c>
      <c r="DN16" s="191">
        <f>'Functional Levels Drone Survey'!DN16-'Existing Levels Drone Survey'!DN16</f>
        <v>0</v>
      </c>
      <c r="DO16" s="191">
        <f>'Functional Levels Drone Survey'!DO16-'Existing Levels Drone Survey'!DO16</f>
        <v>0</v>
      </c>
      <c r="DP16" s="191">
        <f>'Functional Levels Drone Survey'!DP16-'Existing Levels Drone Survey'!DP16</f>
        <v>0</v>
      </c>
      <c r="DQ16" s="191">
        <f>'Functional Levels Drone Survey'!DQ16-'Existing Levels Drone Survey'!DQ16</f>
        <v>0</v>
      </c>
      <c r="DR16" s="191">
        <f>'Functional Levels Drone Survey'!DR16-'Existing Levels Drone Survey'!DR16</f>
        <v>0</v>
      </c>
      <c r="DS16" s="191">
        <f>'Functional Levels Drone Survey'!DS16-'Existing Levels Drone Survey'!DS16</f>
        <v>0</v>
      </c>
      <c r="DT16" s="191">
        <f>'Functional Levels Drone Survey'!DT16-'Existing Levels Drone Survey'!DT16</f>
        <v>0</v>
      </c>
      <c r="DU16" s="278">
        <f>'Functional Levels Drone Survey'!DU16-'Existing Levels Drone Survey'!DU16</f>
        <v>-1.1786000000001309</v>
      </c>
      <c r="DV16" s="191">
        <f>'Functional Levels Drone Survey'!DV16-'Existing Levels Drone Survey'!DV16</f>
        <v>-0.51100000000008095</v>
      </c>
      <c r="DW16" s="279">
        <f>'Functional Levels Drone Survey'!DW16-'Existing Levels Drone Survey'!DW16</f>
        <v>-0.4383000000000834</v>
      </c>
      <c r="DX16" s="191">
        <f>'Functional Levels Drone Survey'!DX16-'Existing Levels Drone Survey'!DX16</f>
        <v>-0.33410000000009177</v>
      </c>
      <c r="DY16" s="191">
        <f>'Functional Levels Drone Survey'!DY16-'Existing Levels Drone Survey'!DY16</f>
        <v>-0.31020000000006576</v>
      </c>
      <c r="DZ16" s="191">
        <f>'Functional Levels Drone Survey'!DZ16-'Existing Levels Drone Survey'!DZ16</f>
        <v>-0.23500000000007049</v>
      </c>
      <c r="EA16" s="191">
        <f>'Functional Levels Drone Survey'!EA16-'Existing Levels Drone Survey'!EA16</f>
        <v>-0.57230000000009795</v>
      </c>
      <c r="EB16" s="191">
        <f>'Functional Levels Drone Survey'!EB16-'Existing Levels Drone Survey'!EB16</f>
        <v>-0.43350000000009459</v>
      </c>
      <c r="EC16" s="191">
        <f>'Functional Levels Drone Survey'!EC16-'Existing Levels Drone Survey'!EC16</f>
        <v>-0.4565000000000623</v>
      </c>
      <c r="ED16" s="191">
        <f>'Functional Levels Drone Survey'!ED16-'Existing Levels Drone Survey'!ED16</f>
        <v>-0.30290000000007922</v>
      </c>
      <c r="EE16" s="191">
        <f>'Functional Levels Drone Survey'!EE16-'Existing Levels Drone Survey'!EE16</f>
        <v>-0.24430000000006658</v>
      </c>
      <c r="EF16" s="191">
        <f>'Functional Levels Drone Survey'!EF16-'Existing Levels Drone Survey'!EF16</f>
        <v>-0.17820000000006075</v>
      </c>
      <c r="EG16" s="191">
        <f>'Functional Levels Drone Survey'!EG16-'Existing Levels Drone Survey'!EG16</f>
        <v>-0.22240000000010696</v>
      </c>
      <c r="EH16" s="191">
        <f>'Functional Levels Drone Survey'!EH16-'Existing Levels Drone Survey'!EH16</f>
        <v>-0.17680000000007112</v>
      </c>
      <c r="EI16" s="191">
        <f>'Functional Levels Drone Survey'!EI16-'Existing Levels Drone Survey'!EI16</f>
        <v>-0.26450000000005502</v>
      </c>
      <c r="EJ16" s="191">
        <f>'Functional Levels Drone Survey'!EJ16-'Existing Levels Drone Survey'!EJ16</f>
        <v>-9.0200000000095315E-2</v>
      </c>
      <c r="EK16" s="191">
        <f>'Functional Levels Drone Survey'!EK16-'Existing Levels Drone Survey'!EK16</f>
        <v>-2.9600000000073123E-2</v>
      </c>
      <c r="EL16" s="191">
        <f>'Functional Levels Drone Survey'!EL16-'Existing Levels Drone Survey'!EL16</f>
        <v>-0.15410000000008495</v>
      </c>
      <c r="EM16" s="279">
        <f>'Functional Levels Drone Survey'!EM16-'Existing Levels Drone Survey'!EM16</f>
        <v>-0.19020000000006121</v>
      </c>
      <c r="EN16" s="191">
        <f>'Functional Levels Drone Survey'!EN16-'Existing Levels Drone Survey'!EN16</f>
        <v>-0.21240000000011605</v>
      </c>
      <c r="EO16" s="191">
        <f>'Functional Levels Drone Survey'!EO16-'Existing Levels Drone Survey'!EO16</f>
        <v>-0.19350000000008549</v>
      </c>
      <c r="EP16" s="191">
        <f>'Functional Levels Drone Survey'!EP16-'Existing Levels Drone Survey'!EP16</f>
        <v>-0.68240000000008649</v>
      </c>
      <c r="EQ16" s="278">
        <f>'Functional Levels Drone Survey'!EQ16-'Existing Levels Drone Survey'!EQ16</f>
        <v>0.62779999999992242</v>
      </c>
      <c r="ER16" s="191">
        <f>'Functional Levels Drone Survey'!ER16-'Existing Levels Drone Survey'!ER16</f>
        <v>0</v>
      </c>
      <c r="ES16" s="191">
        <f>'Functional Levels Drone Survey'!ES16-'Existing Levels Drone Survey'!ES16</f>
        <v>0</v>
      </c>
      <c r="ET16" s="191">
        <f>'Functional Levels Drone Survey'!ET16-'Existing Levels Drone Survey'!ET16</f>
        <v>0</v>
      </c>
      <c r="EU16" s="191">
        <f>'Functional Levels Drone Survey'!EU16-'Existing Levels Drone Survey'!EU16</f>
        <v>0</v>
      </c>
      <c r="EV16" s="191">
        <f>'Functional Levels Drone Survey'!EV16-'Existing Levels Drone Survey'!EV16</f>
        <v>0</v>
      </c>
      <c r="EW16" s="191">
        <f>'Functional Levels Drone Survey'!EW16-'Existing Levels Drone Survey'!EW16</f>
        <v>0</v>
      </c>
      <c r="EX16" s="191">
        <f>'Functional Levels Drone Survey'!EX16-'Existing Levels Drone Survey'!EX16</f>
        <v>0</v>
      </c>
      <c r="EY16" s="191">
        <f>'Functional Levels Drone Survey'!EY16-'Existing Levels Drone Survey'!EY16</f>
        <v>0</v>
      </c>
    </row>
    <row r="17" spans="1:155" ht="45" customHeight="1" x14ac:dyDescent="0.45">
      <c r="A17" s="277">
        <v>80</v>
      </c>
      <c r="B17" s="191">
        <f>'Functional Levels Drone Survey'!B17-'Existing Levels Drone Survey'!B17</f>
        <v>0</v>
      </c>
      <c r="C17" s="191">
        <f>'Functional Levels Drone Survey'!C17-'Existing Levels Drone Survey'!C17</f>
        <v>0</v>
      </c>
      <c r="D17" s="191">
        <f>'Functional Levels Drone Survey'!D17-'Existing Levels Drone Survey'!D17</f>
        <v>0</v>
      </c>
      <c r="E17" s="191">
        <f>'Functional Levels Drone Survey'!E17-'Existing Levels Drone Survey'!E17</f>
        <v>0</v>
      </c>
      <c r="F17" s="191">
        <f>'Functional Levels Drone Survey'!F17-'Existing Levels Drone Survey'!F17</f>
        <v>0</v>
      </c>
      <c r="G17" s="191">
        <f>'Functional Levels Drone Survey'!G17-'Existing Levels Drone Survey'!G17</f>
        <v>0</v>
      </c>
      <c r="H17" s="191">
        <f>'Functional Levels Drone Survey'!H17-'Existing Levels Drone Survey'!H17</f>
        <v>0</v>
      </c>
      <c r="I17" s="191">
        <f>'Functional Levels Drone Survey'!I17-'Existing Levels Drone Survey'!I17</f>
        <v>0</v>
      </c>
      <c r="J17" s="191">
        <f>'Functional Levels Drone Survey'!J17-'Existing Levels Drone Survey'!J17</f>
        <v>0</v>
      </c>
      <c r="K17" s="191">
        <f>'Functional Levels Drone Survey'!K17-'Existing Levels Drone Survey'!K17</f>
        <v>0</v>
      </c>
      <c r="L17" s="191">
        <f>'Functional Levels Drone Survey'!L17-'Existing Levels Drone Survey'!L17</f>
        <v>0</v>
      </c>
      <c r="M17" s="191">
        <f>'Functional Levels Drone Survey'!M17-'Existing Levels Drone Survey'!M17</f>
        <v>0</v>
      </c>
      <c r="N17" s="191">
        <f>'Functional Levels Drone Survey'!N17-'Existing Levels Drone Survey'!N17</f>
        <v>0</v>
      </c>
      <c r="O17" s="191">
        <f>'Functional Levels Drone Survey'!O17-'Existing Levels Drone Survey'!O17</f>
        <v>0</v>
      </c>
      <c r="P17" s="191">
        <f>'Functional Levels Drone Survey'!P17-'Existing Levels Drone Survey'!P17</f>
        <v>0</v>
      </c>
      <c r="Q17" s="191">
        <f>'Functional Levels Drone Survey'!Q17-'Existing Levels Drone Survey'!Q17</f>
        <v>0</v>
      </c>
      <c r="R17" s="191">
        <f>'Functional Levels Drone Survey'!R17-'Existing Levels Drone Survey'!R17</f>
        <v>0</v>
      </c>
      <c r="S17" s="191">
        <f>'Functional Levels Drone Survey'!S17-'Existing Levels Drone Survey'!S17</f>
        <v>0</v>
      </c>
      <c r="T17" s="191">
        <f>'Functional Levels Drone Survey'!T17-'Existing Levels Drone Survey'!T17</f>
        <v>0</v>
      </c>
      <c r="U17" s="191">
        <f>'Functional Levels Drone Survey'!U17-'Existing Levels Drone Survey'!U17</f>
        <v>0</v>
      </c>
      <c r="V17" s="191">
        <f>'Functional Levels Drone Survey'!V17-'Existing Levels Drone Survey'!V17</f>
        <v>0</v>
      </c>
      <c r="W17" s="191">
        <f>'Functional Levels Drone Survey'!W17-'Existing Levels Drone Survey'!W17</f>
        <v>0</v>
      </c>
      <c r="X17" s="191">
        <f>'Functional Levels Drone Survey'!X17-'Existing Levels Drone Survey'!X17</f>
        <v>0</v>
      </c>
      <c r="Y17" s="191">
        <f>'Functional Levels Drone Survey'!Y17-'Existing Levels Drone Survey'!Y17</f>
        <v>0</v>
      </c>
      <c r="Z17" s="191">
        <f>'Functional Levels Drone Survey'!Z17-'Existing Levels Drone Survey'!Z17</f>
        <v>0</v>
      </c>
      <c r="AA17" s="191">
        <f>'Functional Levels Drone Survey'!AA17-'Existing Levels Drone Survey'!AA17</f>
        <v>0</v>
      </c>
      <c r="AB17" s="191">
        <f>'Functional Levels Drone Survey'!AB17-'Existing Levels Drone Survey'!AB17</f>
        <v>0</v>
      </c>
      <c r="AC17" s="191">
        <f>'Functional Levels Drone Survey'!AC17-'Existing Levels Drone Survey'!AC17</f>
        <v>0</v>
      </c>
      <c r="AD17" s="191">
        <f>'Functional Levels Drone Survey'!AD17-'Existing Levels Drone Survey'!AD17</f>
        <v>0</v>
      </c>
      <c r="AE17" s="191">
        <f>'Functional Levels Drone Survey'!AE17-'Existing Levels Drone Survey'!AE17</f>
        <v>0</v>
      </c>
      <c r="AF17" s="191">
        <f>'Functional Levels Drone Survey'!AF17-'Existing Levels Drone Survey'!AF17</f>
        <v>0</v>
      </c>
      <c r="AG17" s="191">
        <f>'Functional Levels Drone Survey'!AG17-'Existing Levels Drone Survey'!AG17</f>
        <v>0</v>
      </c>
      <c r="AH17" s="191">
        <f>'Functional Levels Drone Survey'!AH17-'Existing Levels Drone Survey'!AH17</f>
        <v>0</v>
      </c>
      <c r="AI17" s="191">
        <f>'Functional Levels Drone Survey'!AI17-'Existing Levels Drone Survey'!AI17</f>
        <v>0</v>
      </c>
      <c r="AJ17" s="191">
        <f>'Functional Levels Drone Survey'!AJ17-'Existing Levels Drone Survey'!AJ17</f>
        <v>0</v>
      </c>
      <c r="AK17" s="191">
        <f>'Functional Levels Drone Survey'!AK17-'Existing Levels Drone Survey'!AK17</f>
        <v>0</v>
      </c>
      <c r="AL17" s="191">
        <f>'Functional Levels Drone Survey'!AL17-'Existing Levels Drone Survey'!AL17</f>
        <v>0</v>
      </c>
      <c r="AM17" s="191">
        <f>'Functional Levels Drone Survey'!AM17-'Existing Levels Drone Survey'!AM17</f>
        <v>0</v>
      </c>
      <c r="AN17" s="191">
        <f>'Functional Levels Drone Survey'!AN17-'Existing Levels Drone Survey'!AN17</f>
        <v>0</v>
      </c>
      <c r="AO17" s="191">
        <f>'Functional Levels Drone Survey'!AO17-'Existing Levels Drone Survey'!AO17</f>
        <v>0</v>
      </c>
      <c r="AP17" s="191">
        <f>'Functional Levels Drone Survey'!AP17-'Existing Levels Drone Survey'!AP17</f>
        <v>0</v>
      </c>
      <c r="AQ17" s="191">
        <f>'Functional Levels Drone Survey'!AQ17-'Existing Levels Drone Survey'!AQ17</f>
        <v>0</v>
      </c>
      <c r="AR17" s="191">
        <f>'Functional Levels Drone Survey'!AR17-'Existing Levels Drone Survey'!AR17</f>
        <v>0</v>
      </c>
      <c r="AS17" s="191">
        <f>'Functional Levels Drone Survey'!AS17-'Existing Levels Drone Survey'!AS17</f>
        <v>0</v>
      </c>
      <c r="AT17" s="191">
        <f>'Functional Levels Drone Survey'!AT17-'Existing Levels Drone Survey'!AT17</f>
        <v>0</v>
      </c>
      <c r="AU17" s="191">
        <f>'Functional Levels Drone Survey'!AU17-'Existing Levels Drone Survey'!AU17</f>
        <v>0</v>
      </c>
      <c r="AV17" s="191">
        <f>'Functional Levels Drone Survey'!AV17-'Existing Levels Drone Survey'!AV17</f>
        <v>0</v>
      </c>
      <c r="AW17" s="191">
        <f>'Functional Levels Drone Survey'!AW17-'Existing Levels Drone Survey'!AW17</f>
        <v>0</v>
      </c>
      <c r="AX17" s="191">
        <f>'Functional Levels Drone Survey'!AX17-'Existing Levels Drone Survey'!AX17</f>
        <v>0</v>
      </c>
      <c r="AY17" s="191">
        <f>'Functional Levels Drone Survey'!AY17-'Existing Levels Drone Survey'!AY17</f>
        <v>0</v>
      </c>
      <c r="AZ17" s="191">
        <f>'Functional Levels Drone Survey'!AZ17-'Existing Levels Drone Survey'!AZ17</f>
        <v>0</v>
      </c>
      <c r="BA17" s="191">
        <f>'Functional Levels Drone Survey'!BA17-'Existing Levels Drone Survey'!BA17</f>
        <v>0</v>
      </c>
      <c r="BB17" s="191">
        <f>'Functional Levels Drone Survey'!BB17-'Existing Levels Drone Survey'!BB17</f>
        <v>0</v>
      </c>
      <c r="BC17" s="191">
        <f>'Functional Levels Drone Survey'!BC17-'Existing Levels Drone Survey'!BC17</f>
        <v>0</v>
      </c>
      <c r="BD17" s="191">
        <f>'Functional Levels Drone Survey'!BD17-'Existing Levels Drone Survey'!BD17</f>
        <v>0</v>
      </c>
      <c r="BE17" s="191">
        <f>'Functional Levels Drone Survey'!BE17-'Existing Levels Drone Survey'!BE17</f>
        <v>0</v>
      </c>
      <c r="BF17" s="191">
        <f>'Functional Levels Drone Survey'!BF17-'Existing Levels Drone Survey'!BF17</f>
        <v>0</v>
      </c>
      <c r="BG17" s="191">
        <f>'Functional Levels Drone Survey'!BG17-'Existing Levels Drone Survey'!BG17</f>
        <v>0</v>
      </c>
      <c r="BH17" s="191">
        <f>'Functional Levels Drone Survey'!BH17-'Existing Levels Drone Survey'!BH17</f>
        <v>0</v>
      </c>
      <c r="BI17" s="191">
        <f>'Functional Levels Drone Survey'!BI17-'Existing Levels Drone Survey'!BI17</f>
        <v>0</v>
      </c>
      <c r="BJ17" s="191">
        <f>'Functional Levels Drone Survey'!BJ17-'Existing Levels Drone Survey'!BJ17</f>
        <v>0</v>
      </c>
      <c r="BK17" s="191">
        <f>'Functional Levels Drone Survey'!BK17-'Existing Levels Drone Survey'!BK17</f>
        <v>0</v>
      </c>
      <c r="BL17" s="191">
        <f>'Functional Levels Drone Survey'!BL17-'Existing Levels Drone Survey'!BL17</f>
        <v>0</v>
      </c>
      <c r="BM17" s="191">
        <f>'Functional Levels Drone Survey'!BM17-'Existing Levels Drone Survey'!BM17</f>
        <v>0</v>
      </c>
      <c r="BN17" s="191">
        <f>'Functional Levels Drone Survey'!BN17-'Existing Levels Drone Survey'!BN17</f>
        <v>0</v>
      </c>
      <c r="BO17" s="191">
        <f>'Functional Levels Drone Survey'!BO17-'Existing Levels Drone Survey'!BO17</f>
        <v>0</v>
      </c>
      <c r="BP17" s="191">
        <f>'Functional Levels Drone Survey'!BP17-'Existing Levels Drone Survey'!BP17</f>
        <v>0</v>
      </c>
      <c r="BQ17" s="191">
        <f>'Functional Levels Drone Survey'!BQ17-'Existing Levels Drone Survey'!BQ17</f>
        <v>0</v>
      </c>
      <c r="BR17" s="191">
        <f>'Functional Levels Drone Survey'!BR17-'Existing Levels Drone Survey'!BR17</f>
        <v>0</v>
      </c>
      <c r="BS17" s="191">
        <f>'Functional Levels Drone Survey'!BS17-'Existing Levels Drone Survey'!BS17</f>
        <v>0</v>
      </c>
      <c r="BT17" s="191">
        <f>'Functional Levels Drone Survey'!BT17-'Existing Levels Drone Survey'!BT17</f>
        <v>0</v>
      </c>
      <c r="BU17" s="191">
        <f>'Functional Levels Drone Survey'!BU17-'Existing Levels Drone Survey'!BU17</f>
        <v>0</v>
      </c>
      <c r="BV17" s="191">
        <f>'Functional Levels Drone Survey'!BV17-'Existing Levels Drone Survey'!BV17</f>
        <v>0</v>
      </c>
      <c r="BW17" s="191">
        <f>'Functional Levels Drone Survey'!BW17-'Existing Levels Drone Survey'!BW17</f>
        <v>0</v>
      </c>
      <c r="BX17" s="191">
        <f>'Functional Levels Drone Survey'!BX17-'Existing Levels Drone Survey'!BX17</f>
        <v>0</v>
      </c>
      <c r="BY17" s="191">
        <f>'Functional Levels Drone Survey'!BY17-'Existing Levels Drone Survey'!BY17</f>
        <v>0</v>
      </c>
      <c r="BZ17" s="191">
        <f>'Functional Levels Drone Survey'!BZ17-'Existing Levels Drone Survey'!BZ17</f>
        <v>0</v>
      </c>
      <c r="CA17" s="191">
        <f>'Functional Levels Drone Survey'!CA17-'Existing Levels Drone Survey'!CA17</f>
        <v>0</v>
      </c>
      <c r="CB17" s="191">
        <f>'Functional Levels Drone Survey'!CB17-'Existing Levels Drone Survey'!CB17</f>
        <v>0</v>
      </c>
      <c r="CC17" s="191">
        <f>'Functional Levels Drone Survey'!CC17-'Existing Levels Drone Survey'!CC17</f>
        <v>0</v>
      </c>
      <c r="CD17" s="191">
        <f>'Functional Levels Drone Survey'!CD17-'Existing Levels Drone Survey'!CD17</f>
        <v>0</v>
      </c>
      <c r="CE17" s="191">
        <f>'Functional Levels Drone Survey'!CE17-'Existing Levels Drone Survey'!CE17</f>
        <v>0</v>
      </c>
      <c r="CF17" s="191">
        <f>'Functional Levels Drone Survey'!CF17-'Existing Levels Drone Survey'!CF17</f>
        <v>0</v>
      </c>
      <c r="CG17" s="191">
        <f>'Functional Levels Drone Survey'!CG17-'Existing Levels Drone Survey'!CG17</f>
        <v>0</v>
      </c>
      <c r="CH17" s="191">
        <f>'Functional Levels Drone Survey'!CH17-'Existing Levels Drone Survey'!CH17</f>
        <v>0</v>
      </c>
      <c r="CI17" s="191">
        <f>'Functional Levels Drone Survey'!CI17-'Existing Levels Drone Survey'!CI17</f>
        <v>0</v>
      </c>
      <c r="CJ17" s="191">
        <f>'Functional Levels Drone Survey'!CJ17-'Existing Levels Drone Survey'!CJ17</f>
        <v>0</v>
      </c>
      <c r="CK17" s="191">
        <f>'Functional Levels Drone Survey'!CK17-'Existing Levels Drone Survey'!CK17</f>
        <v>0</v>
      </c>
      <c r="CL17" s="191">
        <f>'Functional Levels Drone Survey'!CL17-'Existing Levels Drone Survey'!CL17</f>
        <v>0</v>
      </c>
      <c r="CM17" s="191">
        <f>'Functional Levels Drone Survey'!CM17-'Existing Levels Drone Survey'!CM17</f>
        <v>0</v>
      </c>
      <c r="CN17" s="278">
        <f>'Functional Levels Drone Survey'!CN17-'Existing Levels Drone Survey'!CN17</f>
        <v>-0.79440000000010969</v>
      </c>
      <c r="CO17" s="191">
        <f>'Functional Levels Drone Survey'!CO17-'Existing Levels Drone Survey'!CO17</f>
        <v>-1.1380000000000905</v>
      </c>
      <c r="CP17" s="191">
        <f>'Functional Levels Drone Survey'!CP17-'Existing Levels Drone Survey'!CP17</f>
        <v>-0.91220000000009804</v>
      </c>
      <c r="CQ17" s="191">
        <f>'Functional Levels Drone Survey'!CQ17-'Existing Levels Drone Survey'!CQ17</f>
        <v>-1.0196000000000822</v>
      </c>
      <c r="CR17" s="191">
        <f>'Functional Levels Drone Survey'!CR17-'Existing Levels Drone Survey'!CR17</f>
        <v>-1.1128000000001066</v>
      </c>
      <c r="CS17" s="191">
        <f>'Functional Levels Drone Survey'!CS17-'Existing Levels Drone Survey'!CS17</f>
        <v>-1.142400000000066</v>
      </c>
      <c r="CT17" s="191">
        <f>'Functional Levels Drone Survey'!CT17-'Existing Levels Drone Survey'!CT17</f>
        <v>-1.2104000000001065</v>
      </c>
      <c r="CU17" s="278">
        <f>'Functional Levels Drone Survey'!CU17-'Existing Levels Drone Survey'!CU17</f>
        <v>-1.3416000000000849</v>
      </c>
      <c r="CV17" s="191">
        <f>'Functional Levels Drone Survey'!CV17-'Existing Levels Drone Survey'!CV17</f>
        <v>0</v>
      </c>
      <c r="CW17" s="191">
        <f>'Functional Levels Drone Survey'!CW17-'Existing Levels Drone Survey'!CW17</f>
        <v>0</v>
      </c>
      <c r="CX17" s="191">
        <f>'Functional Levels Drone Survey'!CX17-'Existing Levels Drone Survey'!CX17</f>
        <v>0</v>
      </c>
      <c r="CY17" s="191">
        <f>'Functional Levels Drone Survey'!CY17-'Existing Levels Drone Survey'!CY17</f>
        <v>0</v>
      </c>
      <c r="CZ17" s="191">
        <f>'Functional Levels Drone Survey'!CZ17-'Existing Levels Drone Survey'!CZ17</f>
        <v>0</v>
      </c>
      <c r="DA17" s="191">
        <f>'Functional Levels Drone Survey'!DA17-'Existing Levels Drone Survey'!DA17</f>
        <v>0</v>
      </c>
      <c r="DB17" s="191">
        <f>'Functional Levels Drone Survey'!DB17-'Existing Levels Drone Survey'!DB17</f>
        <v>0</v>
      </c>
      <c r="DC17" s="278">
        <f>'Functional Levels Drone Survey'!DC17-'Existing Levels Drone Survey'!DC17</f>
        <v>-1.1302000000000589</v>
      </c>
      <c r="DD17" s="191">
        <f>'Functional Levels Drone Survey'!DD17-'Existing Levels Drone Survey'!DD17</f>
        <v>-0.99840000000006057</v>
      </c>
      <c r="DE17" s="191">
        <f>'Functional Levels Drone Survey'!DE17-'Existing Levels Drone Survey'!DE17</f>
        <v>-0.94220000000007076</v>
      </c>
      <c r="DF17" s="191">
        <f>'Functional Levels Drone Survey'!DF17-'Existing Levels Drone Survey'!DF17</f>
        <v>-0.86100000000010368</v>
      </c>
      <c r="DG17" s="191">
        <f>'Functional Levels Drone Survey'!DG17-'Existing Levels Drone Survey'!DG17</f>
        <v>-0.89630000000005339</v>
      </c>
      <c r="DH17" s="191">
        <f>'Functional Levels Drone Survey'!DH17-'Existing Levels Drone Survey'!DH17</f>
        <v>-0.91970000000009122</v>
      </c>
      <c r="DI17" s="191">
        <f>'Functional Levels Drone Survey'!DI17-'Existing Levels Drone Survey'!DI17</f>
        <v>-0.77420000000006439</v>
      </c>
      <c r="DJ17" s="278">
        <f>'Functional Levels Drone Survey'!DJ17-'Existing Levels Drone Survey'!DJ17</f>
        <v>-0.89217777777781748</v>
      </c>
      <c r="DK17" s="191">
        <f>'Functional Levels Drone Survey'!DK17-'Existing Levels Drone Survey'!DK17</f>
        <v>0</v>
      </c>
      <c r="DL17" s="191">
        <f>'Functional Levels Drone Survey'!DL17-'Existing Levels Drone Survey'!DL17</f>
        <v>0</v>
      </c>
      <c r="DM17" s="191">
        <f>'Functional Levels Drone Survey'!DM17-'Existing Levels Drone Survey'!DM17</f>
        <v>0</v>
      </c>
      <c r="DN17" s="191">
        <f>'Functional Levels Drone Survey'!DN17-'Existing Levels Drone Survey'!DN17</f>
        <v>0</v>
      </c>
      <c r="DO17" s="191">
        <f>'Functional Levels Drone Survey'!DO17-'Existing Levels Drone Survey'!DO17</f>
        <v>0</v>
      </c>
      <c r="DP17" s="191">
        <f>'Functional Levels Drone Survey'!DP17-'Existing Levels Drone Survey'!DP17</f>
        <v>0</v>
      </c>
      <c r="DQ17" s="191">
        <f>'Functional Levels Drone Survey'!DQ17-'Existing Levels Drone Survey'!DQ17</f>
        <v>0</v>
      </c>
      <c r="DR17" s="191">
        <f>'Functional Levels Drone Survey'!DR17-'Existing Levels Drone Survey'!DR17</f>
        <v>0</v>
      </c>
      <c r="DS17" s="191">
        <f>'Functional Levels Drone Survey'!DS17-'Existing Levels Drone Survey'!DS17</f>
        <v>0</v>
      </c>
      <c r="DT17" s="191">
        <f>'Functional Levels Drone Survey'!DT17-'Existing Levels Drone Survey'!DT17</f>
        <v>0</v>
      </c>
      <c r="DU17" s="278">
        <f>'Functional Levels Drone Survey'!DU17-'Existing Levels Drone Survey'!DU17</f>
        <v>-1.3137000000000967</v>
      </c>
      <c r="DV17" s="191">
        <f>'Functional Levels Drone Survey'!DV17-'Existing Levels Drone Survey'!DV17</f>
        <v>-0.81330000000014024</v>
      </c>
      <c r="DW17" s="279">
        <f>'Functional Levels Drone Survey'!DW17-'Existing Levels Drone Survey'!DW17</f>
        <v>-0.46900000000010778</v>
      </c>
      <c r="DX17" s="191">
        <f>'Functional Levels Drone Survey'!DX17-'Existing Levels Drone Survey'!DX17</f>
        <v>-0.62120000000010123</v>
      </c>
      <c r="DY17" s="191">
        <f>'Functional Levels Drone Survey'!DY17-'Existing Levels Drone Survey'!DY17</f>
        <v>-0.39230000000009113</v>
      </c>
      <c r="DZ17" s="191">
        <f>'Functional Levels Drone Survey'!DZ17-'Existing Levels Drone Survey'!DZ17</f>
        <v>-0.6964000000000965</v>
      </c>
      <c r="EA17" s="191">
        <f>'Functional Levels Drone Survey'!EA17-'Existing Levels Drone Survey'!EA17</f>
        <v>-0.64670000000006667</v>
      </c>
      <c r="EB17" s="191">
        <f>'Functional Levels Drone Survey'!EB17-'Existing Levels Drone Survey'!EB17</f>
        <v>-0.68410000000011451</v>
      </c>
      <c r="EC17" s="191">
        <f>'Functional Levels Drone Survey'!EC17-'Existing Levels Drone Survey'!EC17</f>
        <v>-0.58470000000011169</v>
      </c>
      <c r="ED17" s="191">
        <f>'Functional Levels Drone Survey'!ED17-'Existing Levels Drone Survey'!ED17</f>
        <v>-0.56600000000008777</v>
      </c>
      <c r="EE17" s="191">
        <f>'Functional Levels Drone Survey'!EE17-'Existing Levels Drone Survey'!EE17</f>
        <v>-0.28800000000006776</v>
      </c>
      <c r="EF17" s="191">
        <f>'Functional Levels Drone Survey'!EF17-'Existing Levels Drone Survey'!EF17</f>
        <v>-0.33600000000006958</v>
      </c>
      <c r="EG17" s="191">
        <f>'Functional Levels Drone Survey'!EG17-'Existing Levels Drone Survey'!EG17</f>
        <v>-0.29910000000006676</v>
      </c>
      <c r="EH17" s="191">
        <f>'Functional Levels Drone Survey'!EH17-'Existing Levels Drone Survey'!EH17</f>
        <v>-0.36720000000008213</v>
      </c>
      <c r="EI17" s="191">
        <f>'Functional Levels Drone Survey'!EI17-'Existing Levels Drone Survey'!EI17</f>
        <v>-0.41800000000012005</v>
      </c>
      <c r="EJ17" s="191">
        <f>'Functional Levels Drone Survey'!EJ17-'Existing Levels Drone Survey'!EJ17</f>
        <v>-0.21950000000009595</v>
      </c>
      <c r="EK17" s="191">
        <f>'Functional Levels Drone Survey'!EK17-'Existing Levels Drone Survey'!EK17</f>
        <v>-5.8100000000081309E-2</v>
      </c>
      <c r="EL17" s="191">
        <f>'Functional Levels Drone Survey'!EL17-'Existing Levels Drone Survey'!EL17</f>
        <v>8.8999999999259671E-3</v>
      </c>
      <c r="EM17" s="279">
        <f>'Functional Levels Drone Survey'!EM17-'Existing Levels Drone Survey'!EM17</f>
        <v>-0.38530000000008613</v>
      </c>
      <c r="EN17" s="191">
        <f>'Functional Levels Drone Survey'!EN17-'Existing Levels Drone Survey'!EN17</f>
        <v>-0.36790000000007694</v>
      </c>
      <c r="EO17" s="191">
        <f>'Functional Levels Drone Survey'!EO17-'Existing Levels Drone Survey'!EO17</f>
        <v>-0.36980000000011159</v>
      </c>
      <c r="EP17" s="191">
        <f>'Functional Levels Drone Survey'!EP17-'Existing Levels Drone Survey'!EP17</f>
        <v>-0.36620000000010577</v>
      </c>
      <c r="EQ17" s="278">
        <f>'Functional Levels Drone Survey'!EQ17-'Existing Levels Drone Survey'!EQ17</f>
        <v>0.17889999999988504</v>
      </c>
      <c r="ER17" s="191">
        <f>'Functional Levels Drone Survey'!ER17-'Existing Levels Drone Survey'!ER17</f>
        <v>0</v>
      </c>
      <c r="ES17" s="191">
        <f>'Functional Levels Drone Survey'!ES17-'Existing Levels Drone Survey'!ES17</f>
        <v>0</v>
      </c>
      <c r="ET17" s="191">
        <f>'Functional Levels Drone Survey'!ET17-'Existing Levels Drone Survey'!ET17</f>
        <v>0</v>
      </c>
      <c r="EU17" s="191">
        <f>'Functional Levels Drone Survey'!EU17-'Existing Levels Drone Survey'!EU17</f>
        <v>0</v>
      </c>
      <c r="EV17" s="191">
        <f>'Functional Levels Drone Survey'!EV17-'Existing Levels Drone Survey'!EV17</f>
        <v>0</v>
      </c>
      <c r="EW17" s="191">
        <f>'Functional Levels Drone Survey'!EW17-'Existing Levels Drone Survey'!EW17</f>
        <v>0</v>
      </c>
      <c r="EX17" s="191">
        <f>'Functional Levels Drone Survey'!EX17-'Existing Levels Drone Survey'!EX17</f>
        <v>0</v>
      </c>
      <c r="EY17" s="191">
        <f>'Functional Levels Drone Survey'!EY17-'Existing Levels Drone Survey'!EY17</f>
        <v>0</v>
      </c>
    </row>
    <row r="18" spans="1:155" ht="45" customHeight="1" x14ac:dyDescent="0.45">
      <c r="A18" s="277">
        <v>85</v>
      </c>
      <c r="B18" s="191">
        <f>'Functional Levels Drone Survey'!B18-'Existing Levels Drone Survey'!B18</f>
        <v>0</v>
      </c>
      <c r="C18" s="191">
        <f>'Functional Levels Drone Survey'!C18-'Existing Levels Drone Survey'!C18</f>
        <v>0</v>
      </c>
      <c r="D18" s="191">
        <f>'Functional Levels Drone Survey'!D18-'Existing Levels Drone Survey'!D18</f>
        <v>0</v>
      </c>
      <c r="E18" s="191">
        <f>'Functional Levels Drone Survey'!E18-'Existing Levels Drone Survey'!E18</f>
        <v>0</v>
      </c>
      <c r="F18" s="191">
        <f>'Functional Levels Drone Survey'!F18-'Existing Levels Drone Survey'!F18</f>
        <v>0</v>
      </c>
      <c r="G18" s="191">
        <f>'Functional Levels Drone Survey'!G18-'Existing Levels Drone Survey'!G18</f>
        <v>0</v>
      </c>
      <c r="H18" s="191">
        <f>'Functional Levels Drone Survey'!H18-'Existing Levels Drone Survey'!H18</f>
        <v>0</v>
      </c>
      <c r="I18" s="191">
        <f>'Functional Levels Drone Survey'!I18-'Existing Levels Drone Survey'!I18</f>
        <v>0</v>
      </c>
      <c r="J18" s="191">
        <f>'Functional Levels Drone Survey'!J18-'Existing Levels Drone Survey'!J18</f>
        <v>0</v>
      </c>
      <c r="K18" s="191">
        <f>'Functional Levels Drone Survey'!K18-'Existing Levels Drone Survey'!K18</f>
        <v>0</v>
      </c>
      <c r="L18" s="191">
        <f>'Functional Levels Drone Survey'!L18-'Existing Levels Drone Survey'!L18</f>
        <v>0</v>
      </c>
      <c r="M18" s="191">
        <f>'Functional Levels Drone Survey'!M18-'Existing Levels Drone Survey'!M18</f>
        <v>0</v>
      </c>
      <c r="N18" s="191">
        <f>'Functional Levels Drone Survey'!N18-'Existing Levels Drone Survey'!N18</f>
        <v>0</v>
      </c>
      <c r="O18" s="191">
        <f>'Functional Levels Drone Survey'!O18-'Existing Levels Drone Survey'!O18</f>
        <v>0</v>
      </c>
      <c r="P18" s="191">
        <f>'Functional Levels Drone Survey'!P18-'Existing Levels Drone Survey'!P18</f>
        <v>0</v>
      </c>
      <c r="Q18" s="191">
        <f>'Functional Levels Drone Survey'!Q18-'Existing Levels Drone Survey'!Q18</f>
        <v>0</v>
      </c>
      <c r="R18" s="191">
        <f>'Functional Levels Drone Survey'!R18-'Existing Levels Drone Survey'!R18</f>
        <v>0</v>
      </c>
      <c r="S18" s="191">
        <f>'Functional Levels Drone Survey'!S18-'Existing Levels Drone Survey'!S18</f>
        <v>0</v>
      </c>
      <c r="T18" s="191">
        <f>'Functional Levels Drone Survey'!T18-'Existing Levels Drone Survey'!T18</f>
        <v>0</v>
      </c>
      <c r="U18" s="191">
        <f>'Functional Levels Drone Survey'!U18-'Existing Levels Drone Survey'!U18</f>
        <v>0</v>
      </c>
      <c r="V18" s="191">
        <f>'Functional Levels Drone Survey'!V18-'Existing Levels Drone Survey'!V18</f>
        <v>0</v>
      </c>
      <c r="W18" s="191">
        <f>'Functional Levels Drone Survey'!W18-'Existing Levels Drone Survey'!W18</f>
        <v>0</v>
      </c>
      <c r="X18" s="191">
        <f>'Functional Levels Drone Survey'!X18-'Existing Levels Drone Survey'!X18</f>
        <v>0</v>
      </c>
      <c r="Y18" s="191">
        <f>'Functional Levels Drone Survey'!Y18-'Existing Levels Drone Survey'!Y18</f>
        <v>0</v>
      </c>
      <c r="Z18" s="191">
        <f>'Functional Levels Drone Survey'!Z18-'Existing Levels Drone Survey'!Z18</f>
        <v>0</v>
      </c>
      <c r="AA18" s="191">
        <f>'Functional Levels Drone Survey'!AA18-'Existing Levels Drone Survey'!AA18</f>
        <v>0</v>
      </c>
      <c r="AB18" s="191">
        <f>'Functional Levels Drone Survey'!AB18-'Existing Levels Drone Survey'!AB18</f>
        <v>0</v>
      </c>
      <c r="AC18" s="191">
        <f>'Functional Levels Drone Survey'!AC18-'Existing Levels Drone Survey'!AC18</f>
        <v>0</v>
      </c>
      <c r="AD18" s="191">
        <f>'Functional Levels Drone Survey'!AD18-'Existing Levels Drone Survey'!AD18</f>
        <v>0</v>
      </c>
      <c r="AE18" s="191">
        <f>'Functional Levels Drone Survey'!AE18-'Existing Levels Drone Survey'!AE18</f>
        <v>0</v>
      </c>
      <c r="AF18" s="191">
        <f>'Functional Levels Drone Survey'!AF18-'Existing Levels Drone Survey'!AF18</f>
        <v>0</v>
      </c>
      <c r="AG18" s="191">
        <f>'Functional Levels Drone Survey'!AG18-'Existing Levels Drone Survey'!AG18</f>
        <v>0</v>
      </c>
      <c r="AH18" s="191">
        <f>'Functional Levels Drone Survey'!AH18-'Existing Levels Drone Survey'!AH18</f>
        <v>0</v>
      </c>
      <c r="AI18" s="191">
        <f>'Functional Levels Drone Survey'!AI18-'Existing Levels Drone Survey'!AI18</f>
        <v>0</v>
      </c>
      <c r="AJ18" s="191">
        <f>'Functional Levels Drone Survey'!AJ18-'Existing Levels Drone Survey'!AJ18</f>
        <v>0</v>
      </c>
      <c r="AK18" s="191">
        <f>'Functional Levels Drone Survey'!AK18-'Existing Levels Drone Survey'!AK18</f>
        <v>0</v>
      </c>
      <c r="AL18" s="191">
        <f>'Functional Levels Drone Survey'!AL18-'Existing Levels Drone Survey'!AL18</f>
        <v>0</v>
      </c>
      <c r="AM18" s="191">
        <f>'Functional Levels Drone Survey'!AM18-'Existing Levels Drone Survey'!AM18</f>
        <v>0</v>
      </c>
      <c r="AN18" s="191">
        <f>'Functional Levels Drone Survey'!AN18-'Existing Levels Drone Survey'!AN18</f>
        <v>0</v>
      </c>
      <c r="AO18" s="191">
        <f>'Functional Levels Drone Survey'!AO18-'Existing Levels Drone Survey'!AO18</f>
        <v>0</v>
      </c>
      <c r="AP18" s="191">
        <f>'Functional Levels Drone Survey'!AP18-'Existing Levels Drone Survey'!AP18</f>
        <v>0</v>
      </c>
      <c r="AQ18" s="191">
        <f>'Functional Levels Drone Survey'!AQ18-'Existing Levels Drone Survey'!AQ18</f>
        <v>0</v>
      </c>
      <c r="AR18" s="191">
        <f>'Functional Levels Drone Survey'!AR18-'Existing Levels Drone Survey'!AR18</f>
        <v>0</v>
      </c>
      <c r="AS18" s="191">
        <f>'Functional Levels Drone Survey'!AS18-'Existing Levels Drone Survey'!AS18</f>
        <v>0</v>
      </c>
      <c r="AT18" s="191">
        <f>'Functional Levels Drone Survey'!AT18-'Existing Levels Drone Survey'!AT18</f>
        <v>0</v>
      </c>
      <c r="AU18" s="191">
        <f>'Functional Levels Drone Survey'!AU18-'Existing Levels Drone Survey'!AU18</f>
        <v>0</v>
      </c>
      <c r="AV18" s="191">
        <f>'Functional Levels Drone Survey'!AV18-'Existing Levels Drone Survey'!AV18</f>
        <v>0</v>
      </c>
      <c r="AW18" s="191">
        <f>'Functional Levels Drone Survey'!AW18-'Existing Levels Drone Survey'!AW18</f>
        <v>0</v>
      </c>
      <c r="AX18" s="191">
        <f>'Functional Levels Drone Survey'!AX18-'Existing Levels Drone Survey'!AX18</f>
        <v>0</v>
      </c>
      <c r="AY18" s="191">
        <f>'Functional Levels Drone Survey'!AY18-'Existing Levels Drone Survey'!AY18</f>
        <v>0</v>
      </c>
      <c r="AZ18" s="191">
        <f>'Functional Levels Drone Survey'!AZ18-'Existing Levels Drone Survey'!AZ18</f>
        <v>0</v>
      </c>
      <c r="BA18" s="191">
        <f>'Functional Levels Drone Survey'!BA18-'Existing Levels Drone Survey'!BA18</f>
        <v>0</v>
      </c>
      <c r="BB18" s="191">
        <f>'Functional Levels Drone Survey'!BB18-'Existing Levels Drone Survey'!BB18</f>
        <v>0</v>
      </c>
      <c r="BC18" s="191">
        <f>'Functional Levels Drone Survey'!BC18-'Existing Levels Drone Survey'!BC18</f>
        <v>0</v>
      </c>
      <c r="BD18" s="191">
        <f>'Functional Levels Drone Survey'!BD18-'Existing Levels Drone Survey'!BD18</f>
        <v>0</v>
      </c>
      <c r="BE18" s="191">
        <f>'Functional Levels Drone Survey'!BE18-'Existing Levels Drone Survey'!BE18</f>
        <v>0</v>
      </c>
      <c r="BF18" s="191">
        <f>'Functional Levels Drone Survey'!BF18-'Existing Levels Drone Survey'!BF18</f>
        <v>0</v>
      </c>
      <c r="BG18" s="191">
        <f>'Functional Levels Drone Survey'!BG18-'Existing Levels Drone Survey'!BG18</f>
        <v>0</v>
      </c>
      <c r="BH18" s="191">
        <f>'Functional Levels Drone Survey'!BH18-'Existing Levels Drone Survey'!BH18</f>
        <v>0</v>
      </c>
      <c r="BI18" s="191">
        <f>'Functional Levels Drone Survey'!BI18-'Existing Levels Drone Survey'!BI18</f>
        <v>0</v>
      </c>
      <c r="BJ18" s="191">
        <f>'Functional Levels Drone Survey'!BJ18-'Existing Levels Drone Survey'!BJ18</f>
        <v>0</v>
      </c>
      <c r="BK18" s="191">
        <f>'Functional Levels Drone Survey'!BK18-'Existing Levels Drone Survey'!BK18</f>
        <v>0</v>
      </c>
      <c r="BL18" s="191">
        <f>'Functional Levels Drone Survey'!BL18-'Existing Levels Drone Survey'!BL18</f>
        <v>0</v>
      </c>
      <c r="BM18" s="191">
        <f>'Functional Levels Drone Survey'!BM18-'Existing Levels Drone Survey'!BM18</f>
        <v>0</v>
      </c>
      <c r="BN18" s="191">
        <f>'Functional Levels Drone Survey'!BN18-'Existing Levels Drone Survey'!BN18</f>
        <v>0</v>
      </c>
      <c r="BO18" s="191">
        <f>'Functional Levels Drone Survey'!BO18-'Existing Levels Drone Survey'!BO18</f>
        <v>0</v>
      </c>
      <c r="BP18" s="191">
        <f>'Functional Levels Drone Survey'!BP18-'Existing Levels Drone Survey'!BP18</f>
        <v>0</v>
      </c>
      <c r="BQ18" s="191">
        <f>'Functional Levels Drone Survey'!BQ18-'Existing Levels Drone Survey'!BQ18</f>
        <v>0</v>
      </c>
      <c r="BR18" s="191">
        <f>'Functional Levels Drone Survey'!BR18-'Existing Levels Drone Survey'!BR18</f>
        <v>0</v>
      </c>
      <c r="BS18" s="191">
        <f>'Functional Levels Drone Survey'!BS18-'Existing Levels Drone Survey'!BS18</f>
        <v>0</v>
      </c>
      <c r="BT18" s="191">
        <f>'Functional Levels Drone Survey'!BT18-'Existing Levels Drone Survey'!BT18</f>
        <v>0</v>
      </c>
      <c r="BU18" s="191">
        <f>'Functional Levels Drone Survey'!BU18-'Existing Levels Drone Survey'!BU18</f>
        <v>0</v>
      </c>
      <c r="BV18" s="191">
        <f>'Functional Levels Drone Survey'!BV18-'Existing Levels Drone Survey'!BV18</f>
        <v>0</v>
      </c>
      <c r="BW18" s="191">
        <f>'Functional Levels Drone Survey'!BW18-'Existing Levels Drone Survey'!BW18</f>
        <v>0</v>
      </c>
      <c r="BX18" s="191">
        <f>'Functional Levels Drone Survey'!BX18-'Existing Levels Drone Survey'!BX18</f>
        <v>0</v>
      </c>
      <c r="BY18" s="191">
        <f>'Functional Levels Drone Survey'!BY18-'Existing Levels Drone Survey'!BY18</f>
        <v>0</v>
      </c>
      <c r="BZ18" s="191">
        <f>'Functional Levels Drone Survey'!BZ18-'Existing Levels Drone Survey'!BZ18</f>
        <v>0</v>
      </c>
      <c r="CA18" s="191">
        <f>'Functional Levels Drone Survey'!CA18-'Existing Levels Drone Survey'!CA18</f>
        <v>0</v>
      </c>
      <c r="CB18" s="191">
        <f>'Functional Levels Drone Survey'!CB18-'Existing Levels Drone Survey'!CB18</f>
        <v>0</v>
      </c>
      <c r="CC18" s="191">
        <f>'Functional Levels Drone Survey'!CC18-'Existing Levels Drone Survey'!CC18</f>
        <v>0</v>
      </c>
      <c r="CD18" s="191">
        <f>'Functional Levels Drone Survey'!CD18-'Existing Levels Drone Survey'!CD18</f>
        <v>0</v>
      </c>
      <c r="CE18" s="191">
        <f>'Functional Levels Drone Survey'!CE18-'Existing Levels Drone Survey'!CE18</f>
        <v>0</v>
      </c>
      <c r="CF18" s="191">
        <f>'Functional Levels Drone Survey'!CF18-'Existing Levels Drone Survey'!CF18</f>
        <v>0</v>
      </c>
      <c r="CG18" s="191">
        <f>'Functional Levels Drone Survey'!CG18-'Existing Levels Drone Survey'!CG18</f>
        <v>0</v>
      </c>
      <c r="CH18" s="191">
        <f>'Functional Levels Drone Survey'!CH18-'Existing Levels Drone Survey'!CH18</f>
        <v>0</v>
      </c>
      <c r="CI18" s="191">
        <f>'Functional Levels Drone Survey'!CI18-'Existing Levels Drone Survey'!CI18</f>
        <v>0</v>
      </c>
      <c r="CJ18" s="191">
        <f>'Functional Levels Drone Survey'!CJ18-'Existing Levels Drone Survey'!CJ18</f>
        <v>0</v>
      </c>
      <c r="CK18" s="191">
        <f>'Functional Levels Drone Survey'!CK18-'Existing Levels Drone Survey'!CK18</f>
        <v>0</v>
      </c>
      <c r="CL18" s="191">
        <f>'Functional Levels Drone Survey'!CL18-'Existing Levels Drone Survey'!CL18</f>
        <v>0</v>
      </c>
      <c r="CM18" s="278">
        <f>'Functional Levels Drone Survey'!CM18-'Existing Levels Drone Survey'!CM18</f>
        <v>-0.81290000000007012</v>
      </c>
      <c r="CN18" s="191">
        <f>'Functional Levels Drone Survey'!CN18-'Existing Levels Drone Survey'!CN18</f>
        <v>-1.3957000000000903</v>
      </c>
      <c r="CO18" s="191">
        <f>'Functional Levels Drone Survey'!CO18-'Existing Levels Drone Survey'!CO18</f>
        <v>-0.64310000000006085</v>
      </c>
      <c r="CP18" s="191">
        <f>'Functional Levels Drone Survey'!CP18-'Existing Levels Drone Survey'!CP18</f>
        <v>-0.85120000000006257</v>
      </c>
      <c r="CQ18" s="191">
        <f>'Functional Levels Drone Survey'!CQ18-'Existing Levels Drone Survey'!CQ18</f>
        <v>-0.57500000000010232</v>
      </c>
      <c r="CR18" s="191">
        <f>'Functional Levels Drone Survey'!CR18-'Existing Levels Drone Survey'!CR18</f>
        <v>-1.0361000000000899</v>
      </c>
      <c r="CS18" s="191">
        <f>'Functional Levels Drone Survey'!CS18-'Existing Levels Drone Survey'!CS18</f>
        <v>-1.0069000000000869</v>
      </c>
      <c r="CT18" s="278">
        <f>'Functional Levels Drone Survey'!CT18-'Existing Levels Drone Survey'!CT18</f>
        <v>0</v>
      </c>
      <c r="CU18" s="191">
        <f>'Functional Levels Drone Survey'!CU18-'Existing Levels Drone Survey'!CU18</f>
        <v>0</v>
      </c>
      <c r="CV18" s="191">
        <f>'Functional Levels Drone Survey'!CV18-'Existing Levels Drone Survey'!CV18</f>
        <v>0</v>
      </c>
      <c r="CW18" s="191">
        <f>'Functional Levels Drone Survey'!CW18-'Existing Levels Drone Survey'!CW18</f>
        <v>0</v>
      </c>
      <c r="CX18" s="191">
        <f>'Functional Levels Drone Survey'!CX18-'Existing Levels Drone Survey'!CX18</f>
        <v>0</v>
      </c>
      <c r="CY18" s="191">
        <f>'Functional Levels Drone Survey'!CY18-'Existing Levels Drone Survey'!CY18</f>
        <v>0</v>
      </c>
      <c r="CZ18" s="191">
        <f>'Functional Levels Drone Survey'!CZ18-'Existing Levels Drone Survey'!CZ18</f>
        <v>0</v>
      </c>
      <c r="DA18" s="191">
        <f>'Functional Levels Drone Survey'!DA18-'Existing Levels Drone Survey'!DA18</f>
        <v>0</v>
      </c>
      <c r="DB18" s="191">
        <f>'Functional Levels Drone Survey'!DB18-'Existing Levels Drone Survey'!DB18</f>
        <v>0</v>
      </c>
      <c r="DC18" s="278">
        <f>'Functional Levels Drone Survey'!DC18-'Existing Levels Drone Survey'!DC18</f>
        <v>-1.0004000000000701</v>
      </c>
      <c r="DD18" s="191">
        <f>'Functional Levels Drone Survey'!DD18-'Existing Levels Drone Survey'!DD18</f>
        <v>-0.92600000000010141</v>
      </c>
      <c r="DE18" s="191">
        <f>'Functional Levels Drone Survey'!DE18-'Existing Levels Drone Survey'!DE18</f>
        <v>-0.74860000000006721</v>
      </c>
      <c r="DF18" s="191">
        <f>'Functional Levels Drone Survey'!DF18-'Existing Levels Drone Survey'!DF18</f>
        <v>-0.83190000000007558</v>
      </c>
      <c r="DG18" s="191">
        <f>'Functional Levels Drone Survey'!DG18-'Existing Levels Drone Survey'!DG18</f>
        <v>-0.94750000000004775</v>
      </c>
      <c r="DH18" s="191">
        <f>'Functional Levels Drone Survey'!DH18-'Existing Levels Drone Survey'!DH18</f>
        <v>-0.77350000000006958</v>
      </c>
      <c r="DI18" s="191">
        <f>'Functional Levels Drone Survey'!DI18-'Existing Levels Drone Survey'!DI18</f>
        <v>-0.8648000000000593</v>
      </c>
      <c r="DJ18" s="191">
        <f>'Functional Levels Drone Survey'!DJ18-'Existing Levels Drone Survey'!DJ18</f>
        <v>-1.0048777777778355</v>
      </c>
      <c r="DK18" s="278">
        <f>'Functional Levels Drone Survey'!DK18-'Existing Levels Drone Survey'!DK18</f>
        <v>-0.77997777777784449</v>
      </c>
      <c r="DL18" s="191">
        <f>'Functional Levels Drone Survey'!DL18-'Existing Levels Drone Survey'!DL18</f>
        <v>0</v>
      </c>
      <c r="DM18" s="191">
        <f>'Functional Levels Drone Survey'!DM18-'Existing Levels Drone Survey'!DM18</f>
        <v>0</v>
      </c>
      <c r="DN18" s="191">
        <f>'Functional Levels Drone Survey'!DN18-'Existing Levels Drone Survey'!DN18</f>
        <v>0</v>
      </c>
      <c r="DO18" s="191">
        <f>'Functional Levels Drone Survey'!DO18-'Existing Levels Drone Survey'!DO18</f>
        <v>0</v>
      </c>
      <c r="DP18" s="191">
        <f>'Functional Levels Drone Survey'!DP18-'Existing Levels Drone Survey'!DP18</f>
        <v>0</v>
      </c>
      <c r="DQ18" s="191">
        <f>'Functional Levels Drone Survey'!DQ18-'Existing Levels Drone Survey'!DQ18</f>
        <v>0</v>
      </c>
      <c r="DR18" s="191">
        <f>'Functional Levels Drone Survey'!DR18-'Existing Levels Drone Survey'!DR18</f>
        <v>0</v>
      </c>
      <c r="DS18" s="191">
        <f>'Functional Levels Drone Survey'!DS18-'Existing Levels Drone Survey'!DS18</f>
        <v>0</v>
      </c>
      <c r="DT18" s="191">
        <f>'Functional Levels Drone Survey'!DT18-'Existing Levels Drone Survey'!DT18</f>
        <v>0</v>
      </c>
      <c r="DU18" s="278">
        <f>'Functional Levels Drone Survey'!DU18-'Existing Levels Drone Survey'!DU18</f>
        <v>-1.3592000000001008</v>
      </c>
      <c r="DV18" s="191">
        <f>'Functional Levels Drone Survey'!DV18-'Existing Levels Drone Survey'!DV18</f>
        <v>-0.81480000000010477</v>
      </c>
      <c r="DW18" s="279">
        <f>'Functional Levels Drone Survey'!DW18-'Existing Levels Drone Survey'!DW18</f>
        <v>-0.45030000000008386</v>
      </c>
      <c r="DX18" s="191">
        <f>'Functional Levels Drone Survey'!DX18-'Existing Levels Drone Survey'!DX18</f>
        <v>-0.65030000000012933</v>
      </c>
      <c r="DY18" s="191">
        <f>'Functional Levels Drone Survey'!DY18-'Existing Levels Drone Survey'!DY18</f>
        <v>-0.29550000000011778</v>
      </c>
      <c r="DZ18" s="191">
        <f>'Functional Levels Drone Survey'!DZ18-'Existing Levels Drone Survey'!DZ18</f>
        <v>-0.64020000000010668</v>
      </c>
      <c r="EA18" s="191">
        <f>'Functional Levels Drone Survey'!EA18-'Existing Levels Drone Survey'!EA18</f>
        <v>-0.69130000000012615</v>
      </c>
      <c r="EB18" s="191">
        <f>'Functional Levels Drone Survey'!EB18-'Existing Levels Drone Survey'!EB18</f>
        <v>-0.65030000000012933</v>
      </c>
      <c r="EC18" s="191">
        <f>'Functional Levels Drone Survey'!EC18-'Existing Levels Drone Survey'!EC18</f>
        <v>-0.71960000000012769</v>
      </c>
      <c r="ED18" s="191">
        <f>'Functional Levels Drone Survey'!ED18-'Existing Levels Drone Survey'!ED18</f>
        <v>-0.69510000000008176</v>
      </c>
      <c r="EE18" s="191">
        <f>'Functional Levels Drone Survey'!EE18-'Existing Levels Drone Survey'!EE18</f>
        <v>-0.52510000000012269</v>
      </c>
      <c r="EF18" s="191">
        <f>'Functional Levels Drone Survey'!EF18-'Existing Levels Drone Survey'!EF18</f>
        <v>-0.4060000000001196</v>
      </c>
      <c r="EG18" s="191">
        <f>'Functional Levels Drone Survey'!EG18-'Existing Levels Drone Survey'!EG18</f>
        <v>-0.35980000000012069</v>
      </c>
      <c r="EH18" s="191">
        <f>'Functional Levels Drone Survey'!EH18-'Existing Levels Drone Survey'!EH18</f>
        <v>-0.46270000000009759</v>
      </c>
      <c r="EI18" s="191">
        <f>'Functional Levels Drone Survey'!EI18-'Existing Levels Drone Survey'!EI18</f>
        <v>-0.49590000000011969</v>
      </c>
      <c r="EJ18" s="191">
        <f>'Functional Levels Drone Survey'!EJ18-'Existing Levels Drone Survey'!EJ18</f>
        <v>-0.38180000000011205</v>
      </c>
      <c r="EK18" s="191">
        <f>'Functional Levels Drone Survey'!EK18-'Existing Levels Drone Survey'!EK18</f>
        <v>5.3799999999910142E-2</v>
      </c>
      <c r="EL18" s="191">
        <f>'Functional Levels Drone Survey'!EL18-'Existing Levels Drone Survey'!EL18</f>
        <v>-4.2200000000093496E-2</v>
      </c>
      <c r="EM18" s="279">
        <f>'Functional Levels Drone Survey'!EM18-'Existing Levels Drone Survey'!EM18</f>
        <v>-0.28950000000008913</v>
      </c>
      <c r="EN18" s="191">
        <f>'Functional Levels Drone Survey'!EN18-'Existing Levels Drone Survey'!EN18</f>
        <v>-0.24390000000011014</v>
      </c>
      <c r="EO18" s="191">
        <f>'Functional Levels Drone Survey'!EO18-'Existing Levels Drone Survey'!EO18</f>
        <v>-0.43070000000011532</v>
      </c>
      <c r="EP18" s="191">
        <f>'Functional Levels Drone Survey'!EP18-'Existing Levels Drone Survey'!EP18</f>
        <v>-0.49120000000010577</v>
      </c>
      <c r="EQ18" s="278">
        <f>'Functional Levels Drone Survey'!EQ18-'Existing Levels Drone Survey'!EQ18</f>
        <v>-0.68540000000012924</v>
      </c>
      <c r="ER18" s="191">
        <f>'Functional Levels Drone Survey'!ER18-'Existing Levels Drone Survey'!ER18</f>
        <v>0</v>
      </c>
      <c r="ES18" s="191">
        <f>'Functional Levels Drone Survey'!ES18-'Existing Levels Drone Survey'!ES18</f>
        <v>0</v>
      </c>
      <c r="ET18" s="191">
        <f>'Functional Levels Drone Survey'!ET18-'Existing Levels Drone Survey'!ET18</f>
        <v>0</v>
      </c>
      <c r="EU18" s="191">
        <f>'Functional Levels Drone Survey'!EU18-'Existing Levels Drone Survey'!EU18</f>
        <v>0</v>
      </c>
      <c r="EV18" s="191">
        <f>'Functional Levels Drone Survey'!EV18-'Existing Levels Drone Survey'!EV18</f>
        <v>0</v>
      </c>
      <c r="EW18" s="191">
        <f>'Functional Levels Drone Survey'!EW18-'Existing Levels Drone Survey'!EW18</f>
        <v>0</v>
      </c>
      <c r="EX18" s="191">
        <f>'Functional Levels Drone Survey'!EX18-'Existing Levels Drone Survey'!EX18</f>
        <v>0</v>
      </c>
      <c r="EY18" s="191">
        <f>'Functional Levels Drone Survey'!EY18-'Existing Levels Drone Survey'!EY18</f>
        <v>0</v>
      </c>
    </row>
    <row r="19" spans="1:155" ht="45" customHeight="1" x14ac:dyDescent="0.45">
      <c r="A19" s="277">
        <v>90</v>
      </c>
      <c r="B19" s="191">
        <f>'Functional Levels Drone Survey'!B19-'Existing Levels Drone Survey'!B19</f>
        <v>0</v>
      </c>
      <c r="C19" s="191">
        <f>'Functional Levels Drone Survey'!C19-'Existing Levels Drone Survey'!C19</f>
        <v>0</v>
      </c>
      <c r="D19" s="191">
        <f>'Functional Levels Drone Survey'!D19-'Existing Levels Drone Survey'!D19</f>
        <v>0</v>
      </c>
      <c r="E19" s="191">
        <f>'Functional Levels Drone Survey'!E19-'Existing Levels Drone Survey'!E19</f>
        <v>0</v>
      </c>
      <c r="F19" s="191">
        <f>'Functional Levels Drone Survey'!F19-'Existing Levels Drone Survey'!F19</f>
        <v>0</v>
      </c>
      <c r="G19" s="191">
        <f>'Functional Levels Drone Survey'!G19-'Existing Levels Drone Survey'!G19</f>
        <v>0</v>
      </c>
      <c r="H19" s="191">
        <f>'Functional Levels Drone Survey'!H19-'Existing Levels Drone Survey'!H19</f>
        <v>0</v>
      </c>
      <c r="I19" s="191">
        <f>'Functional Levels Drone Survey'!I19-'Existing Levels Drone Survey'!I19</f>
        <v>0</v>
      </c>
      <c r="J19" s="191">
        <f>'Functional Levels Drone Survey'!J19-'Existing Levels Drone Survey'!J19</f>
        <v>0</v>
      </c>
      <c r="K19" s="191">
        <f>'Functional Levels Drone Survey'!K19-'Existing Levels Drone Survey'!K19</f>
        <v>0</v>
      </c>
      <c r="L19" s="191">
        <f>'Functional Levels Drone Survey'!L19-'Existing Levels Drone Survey'!L19</f>
        <v>0</v>
      </c>
      <c r="M19" s="191">
        <f>'Functional Levels Drone Survey'!M19-'Existing Levels Drone Survey'!M19</f>
        <v>0</v>
      </c>
      <c r="N19" s="191">
        <f>'Functional Levels Drone Survey'!N19-'Existing Levels Drone Survey'!N19</f>
        <v>0</v>
      </c>
      <c r="O19" s="191">
        <f>'Functional Levels Drone Survey'!O19-'Existing Levels Drone Survey'!O19</f>
        <v>0</v>
      </c>
      <c r="P19" s="191">
        <f>'Functional Levels Drone Survey'!P19-'Existing Levels Drone Survey'!P19</f>
        <v>0</v>
      </c>
      <c r="Q19" s="191">
        <f>'Functional Levels Drone Survey'!Q19-'Existing Levels Drone Survey'!Q19</f>
        <v>0</v>
      </c>
      <c r="R19" s="191">
        <f>'Functional Levels Drone Survey'!R19-'Existing Levels Drone Survey'!R19</f>
        <v>0</v>
      </c>
      <c r="S19" s="191">
        <f>'Functional Levels Drone Survey'!S19-'Existing Levels Drone Survey'!S19</f>
        <v>0</v>
      </c>
      <c r="T19" s="191">
        <f>'Functional Levels Drone Survey'!T19-'Existing Levels Drone Survey'!T19</f>
        <v>0</v>
      </c>
      <c r="U19" s="191">
        <f>'Functional Levels Drone Survey'!U19-'Existing Levels Drone Survey'!U19</f>
        <v>0</v>
      </c>
      <c r="V19" s="191">
        <f>'Functional Levels Drone Survey'!V19-'Existing Levels Drone Survey'!V19</f>
        <v>0</v>
      </c>
      <c r="W19" s="191">
        <f>'Functional Levels Drone Survey'!W19-'Existing Levels Drone Survey'!W19</f>
        <v>0</v>
      </c>
      <c r="X19" s="191">
        <f>'Functional Levels Drone Survey'!X19-'Existing Levels Drone Survey'!X19</f>
        <v>0</v>
      </c>
      <c r="Y19" s="191">
        <f>'Functional Levels Drone Survey'!Y19-'Existing Levels Drone Survey'!Y19</f>
        <v>0</v>
      </c>
      <c r="Z19" s="191">
        <f>'Functional Levels Drone Survey'!Z19-'Existing Levels Drone Survey'!Z19</f>
        <v>0</v>
      </c>
      <c r="AA19" s="191">
        <f>'Functional Levels Drone Survey'!AA19-'Existing Levels Drone Survey'!AA19</f>
        <v>0</v>
      </c>
      <c r="AB19" s="191">
        <f>'Functional Levels Drone Survey'!AB19-'Existing Levels Drone Survey'!AB19</f>
        <v>0</v>
      </c>
      <c r="AC19" s="191">
        <f>'Functional Levels Drone Survey'!AC19-'Existing Levels Drone Survey'!AC19</f>
        <v>0</v>
      </c>
      <c r="AD19" s="191">
        <f>'Functional Levels Drone Survey'!AD19-'Existing Levels Drone Survey'!AD19</f>
        <v>0</v>
      </c>
      <c r="AE19" s="191">
        <f>'Functional Levels Drone Survey'!AE19-'Existing Levels Drone Survey'!AE19</f>
        <v>0</v>
      </c>
      <c r="AF19" s="191">
        <f>'Functional Levels Drone Survey'!AF19-'Existing Levels Drone Survey'!AF19</f>
        <v>0</v>
      </c>
      <c r="AG19" s="191">
        <f>'Functional Levels Drone Survey'!AG19-'Existing Levels Drone Survey'!AG19</f>
        <v>0</v>
      </c>
      <c r="AH19" s="191">
        <f>'Functional Levels Drone Survey'!AH19-'Existing Levels Drone Survey'!AH19</f>
        <v>0</v>
      </c>
      <c r="AI19" s="191">
        <f>'Functional Levels Drone Survey'!AI19-'Existing Levels Drone Survey'!AI19</f>
        <v>0</v>
      </c>
      <c r="AJ19" s="191">
        <f>'Functional Levels Drone Survey'!AJ19-'Existing Levels Drone Survey'!AJ19</f>
        <v>0</v>
      </c>
      <c r="AK19" s="191">
        <f>'Functional Levels Drone Survey'!AK19-'Existing Levels Drone Survey'!AK19</f>
        <v>0</v>
      </c>
      <c r="AL19" s="191">
        <f>'Functional Levels Drone Survey'!AL19-'Existing Levels Drone Survey'!AL19</f>
        <v>0</v>
      </c>
      <c r="AM19" s="191">
        <f>'Functional Levels Drone Survey'!AM19-'Existing Levels Drone Survey'!AM19</f>
        <v>0</v>
      </c>
      <c r="AN19" s="191">
        <f>'Functional Levels Drone Survey'!AN19-'Existing Levels Drone Survey'!AN19</f>
        <v>0</v>
      </c>
      <c r="AO19" s="191">
        <f>'Functional Levels Drone Survey'!AO19-'Existing Levels Drone Survey'!AO19</f>
        <v>0</v>
      </c>
      <c r="AP19" s="191">
        <f>'Functional Levels Drone Survey'!AP19-'Existing Levels Drone Survey'!AP19</f>
        <v>0</v>
      </c>
      <c r="AQ19" s="191">
        <f>'Functional Levels Drone Survey'!AQ19-'Existing Levels Drone Survey'!AQ19</f>
        <v>0</v>
      </c>
      <c r="AR19" s="191">
        <f>'Functional Levels Drone Survey'!AR19-'Existing Levels Drone Survey'!AR19</f>
        <v>0</v>
      </c>
      <c r="AS19" s="191">
        <f>'Functional Levels Drone Survey'!AS19-'Existing Levels Drone Survey'!AS19</f>
        <v>0</v>
      </c>
      <c r="AT19" s="191">
        <f>'Functional Levels Drone Survey'!AT19-'Existing Levels Drone Survey'!AT19</f>
        <v>0</v>
      </c>
      <c r="AU19" s="191">
        <f>'Functional Levels Drone Survey'!AU19-'Existing Levels Drone Survey'!AU19</f>
        <v>0</v>
      </c>
      <c r="AV19" s="191">
        <f>'Functional Levels Drone Survey'!AV19-'Existing Levels Drone Survey'!AV19</f>
        <v>0</v>
      </c>
      <c r="AW19" s="191">
        <f>'Functional Levels Drone Survey'!AW19-'Existing Levels Drone Survey'!AW19</f>
        <v>0</v>
      </c>
      <c r="AX19" s="191">
        <f>'Functional Levels Drone Survey'!AX19-'Existing Levels Drone Survey'!AX19</f>
        <v>0</v>
      </c>
      <c r="AY19" s="191">
        <f>'Functional Levels Drone Survey'!AY19-'Existing Levels Drone Survey'!AY19</f>
        <v>0</v>
      </c>
      <c r="AZ19" s="191">
        <f>'Functional Levels Drone Survey'!AZ19-'Existing Levels Drone Survey'!AZ19</f>
        <v>0</v>
      </c>
      <c r="BA19" s="191">
        <f>'Functional Levels Drone Survey'!BA19-'Existing Levels Drone Survey'!BA19</f>
        <v>0</v>
      </c>
      <c r="BB19" s="191">
        <f>'Functional Levels Drone Survey'!BB19-'Existing Levels Drone Survey'!BB19</f>
        <v>0</v>
      </c>
      <c r="BC19" s="191">
        <f>'Functional Levels Drone Survey'!BC19-'Existing Levels Drone Survey'!BC19</f>
        <v>0</v>
      </c>
      <c r="BD19" s="191">
        <f>'Functional Levels Drone Survey'!BD19-'Existing Levels Drone Survey'!BD19</f>
        <v>0</v>
      </c>
      <c r="BE19" s="191">
        <f>'Functional Levels Drone Survey'!BE19-'Existing Levels Drone Survey'!BE19</f>
        <v>0</v>
      </c>
      <c r="BF19" s="191">
        <f>'Functional Levels Drone Survey'!BF19-'Existing Levels Drone Survey'!BF19</f>
        <v>0</v>
      </c>
      <c r="BG19" s="191">
        <f>'Functional Levels Drone Survey'!BG19-'Existing Levels Drone Survey'!BG19</f>
        <v>0</v>
      </c>
      <c r="BH19" s="191">
        <f>'Functional Levels Drone Survey'!BH19-'Existing Levels Drone Survey'!BH19</f>
        <v>0</v>
      </c>
      <c r="BI19" s="191">
        <f>'Functional Levels Drone Survey'!BI19-'Existing Levels Drone Survey'!BI19</f>
        <v>0</v>
      </c>
      <c r="BJ19" s="191">
        <f>'Functional Levels Drone Survey'!BJ19-'Existing Levels Drone Survey'!BJ19</f>
        <v>0</v>
      </c>
      <c r="BK19" s="191">
        <f>'Functional Levels Drone Survey'!BK19-'Existing Levels Drone Survey'!BK19</f>
        <v>0</v>
      </c>
      <c r="BL19" s="191">
        <f>'Functional Levels Drone Survey'!BL19-'Existing Levels Drone Survey'!BL19</f>
        <v>0</v>
      </c>
      <c r="BM19" s="191">
        <f>'Functional Levels Drone Survey'!BM19-'Existing Levels Drone Survey'!BM19</f>
        <v>0</v>
      </c>
      <c r="BN19" s="191">
        <f>'Functional Levels Drone Survey'!BN19-'Existing Levels Drone Survey'!BN19</f>
        <v>0</v>
      </c>
      <c r="BO19" s="191">
        <f>'Functional Levels Drone Survey'!BO19-'Existing Levels Drone Survey'!BO19</f>
        <v>0</v>
      </c>
      <c r="BP19" s="191">
        <f>'Functional Levels Drone Survey'!BP19-'Existing Levels Drone Survey'!BP19</f>
        <v>0</v>
      </c>
      <c r="BQ19" s="191">
        <f>'Functional Levels Drone Survey'!BQ19-'Existing Levels Drone Survey'!BQ19</f>
        <v>0</v>
      </c>
      <c r="BR19" s="191">
        <f>'Functional Levels Drone Survey'!BR19-'Existing Levels Drone Survey'!BR19</f>
        <v>0</v>
      </c>
      <c r="BS19" s="191">
        <f>'Functional Levels Drone Survey'!BS19-'Existing Levels Drone Survey'!BS19</f>
        <v>0</v>
      </c>
      <c r="BT19" s="191">
        <f>'Functional Levels Drone Survey'!BT19-'Existing Levels Drone Survey'!BT19</f>
        <v>0</v>
      </c>
      <c r="BU19" s="191">
        <f>'Functional Levels Drone Survey'!BU19-'Existing Levels Drone Survey'!BU19</f>
        <v>0</v>
      </c>
      <c r="BV19" s="191">
        <f>'Functional Levels Drone Survey'!BV19-'Existing Levels Drone Survey'!BV19</f>
        <v>0</v>
      </c>
      <c r="BW19" s="191">
        <f>'Functional Levels Drone Survey'!BW19-'Existing Levels Drone Survey'!BW19</f>
        <v>0</v>
      </c>
      <c r="BX19" s="191">
        <f>'Functional Levels Drone Survey'!BX19-'Existing Levels Drone Survey'!BX19</f>
        <v>0</v>
      </c>
      <c r="BY19" s="191">
        <f>'Functional Levels Drone Survey'!BY19-'Existing Levels Drone Survey'!BY19</f>
        <v>0</v>
      </c>
      <c r="BZ19" s="191">
        <f>'Functional Levels Drone Survey'!BZ19-'Existing Levels Drone Survey'!BZ19</f>
        <v>0</v>
      </c>
      <c r="CA19" s="191">
        <f>'Functional Levels Drone Survey'!CA19-'Existing Levels Drone Survey'!CA19</f>
        <v>0</v>
      </c>
      <c r="CB19" s="191">
        <f>'Functional Levels Drone Survey'!CB19-'Existing Levels Drone Survey'!CB19</f>
        <v>0</v>
      </c>
      <c r="CC19" s="191">
        <f>'Functional Levels Drone Survey'!CC19-'Existing Levels Drone Survey'!CC19</f>
        <v>0</v>
      </c>
      <c r="CD19" s="191">
        <f>'Functional Levels Drone Survey'!CD19-'Existing Levels Drone Survey'!CD19</f>
        <v>0</v>
      </c>
      <c r="CE19" s="191">
        <f>'Functional Levels Drone Survey'!CE19-'Existing Levels Drone Survey'!CE19</f>
        <v>0</v>
      </c>
      <c r="CF19" s="191">
        <f>'Functional Levels Drone Survey'!CF19-'Existing Levels Drone Survey'!CF19</f>
        <v>0</v>
      </c>
      <c r="CG19" s="191">
        <f>'Functional Levels Drone Survey'!CG19-'Existing Levels Drone Survey'!CG19</f>
        <v>0</v>
      </c>
      <c r="CH19" s="191">
        <f>'Functional Levels Drone Survey'!CH19-'Existing Levels Drone Survey'!CH19</f>
        <v>0</v>
      </c>
      <c r="CI19" s="191">
        <f>'Functional Levels Drone Survey'!CI19-'Existing Levels Drone Survey'!CI19</f>
        <v>0</v>
      </c>
      <c r="CJ19" s="191">
        <f>'Functional Levels Drone Survey'!CJ19-'Existing Levels Drone Survey'!CJ19</f>
        <v>0</v>
      </c>
      <c r="CK19" s="191">
        <f>'Functional Levels Drone Survey'!CK19-'Existing Levels Drone Survey'!CK19</f>
        <v>0</v>
      </c>
      <c r="CL19" s="278">
        <f>'Functional Levels Drone Survey'!CL19-'Existing Levels Drone Survey'!CL19</f>
        <v>-1.1702000000000794</v>
      </c>
      <c r="CM19" s="191">
        <f>'Functional Levels Drone Survey'!CM19-'Existing Levels Drone Survey'!CM19</f>
        <v>-1.7426000000000954</v>
      </c>
      <c r="CN19" s="191">
        <f>'Functional Levels Drone Survey'!CN19-'Existing Levels Drone Survey'!CN19</f>
        <v>-0.8839000000000965</v>
      </c>
      <c r="CO19" s="191">
        <f>'Functional Levels Drone Survey'!CO19-'Existing Levels Drone Survey'!CO19</f>
        <v>-0.86110000000007858</v>
      </c>
      <c r="CP19" s="191">
        <f>'Functional Levels Drone Survey'!CP19-'Existing Levels Drone Survey'!CP19</f>
        <v>-0.75160000000010996</v>
      </c>
      <c r="CQ19" s="191">
        <f>'Functional Levels Drone Survey'!CQ19-'Existing Levels Drone Survey'!CQ19</f>
        <v>-0.54080000000010386</v>
      </c>
      <c r="CR19" s="191">
        <f>'Functional Levels Drone Survey'!CR19-'Existing Levels Drone Survey'!CR19</f>
        <v>-1.0788000000001148</v>
      </c>
      <c r="CS19" s="191">
        <f>'Functional Levels Drone Survey'!CS19-'Existing Levels Drone Survey'!CS19</f>
        <v>-0.98200000000008458</v>
      </c>
      <c r="CT19" s="278">
        <f>'Functional Levels Drone Survey'!CT19-'Existing Levels Drone Survey'!CT19</f>
        <v>0</v>
      </c>
      <c r="CU19" s="191">
        <f>'Functional Levels Drone Survey'!CU19-'Existing Levels Drone Survey'!CU19</f>
        <v>0</v>
      </c>
      <c r="CV19" s="191">
        <f>'Functional Levels Drone Survey'!CV19-'Existing Levels Drone Survey'!CV19</f>
        <v>0</v>
      </c>
      <c r="CW19" s="191">
        <f>'Functional Levels Drone Survey'!CW19-'Existing Levels Drone Survey'!CW19</f>
        <v>0</v>
      </c>
      <c r="CX19" s="191">
        <f>'Functional Levels Drone Survey'!CX19-'Existing Levels Drone Survey'!CX19</f>
        <v>0</v>
      </c>
      <c r="CY19" s="191">
        <f>'Functional Levels Drone Survey'!CY19-'Existing Levels Drone Survey'!CY19</f>
        <v>0</v>
      </c>
      <c r="CZ19" s="191">
        <f>'Functional Levels Drone Survey'!CZ19-'Existing Levels Drone Survey'!CZ19</f>
        <v>0</v>
      </c>
      <c r="DA19" s="191">
        <f>'Functional Levels Drone Survey'!DA19-'Existing Levels Drone Survey'!DA19</f>
        <v>0</v>
      </c>
      <c r="DB19" s="191">
        <f>'Functional Levels Drone Survey'!DB19-'Existing Levels Drone Survey'!DB19</f>
        <v>0</v>
      </c>
      <c r="DC19" s="278">
        <f>'Functional Levels Drone Survey'!DC19-'Existing Levels Drone Survey'!DC19</f>
        <v>-0.92460000000005493</v>
      </c>
      <c r="DD19" s="191">
        <f>'Functional Levels Drone Survey'!DD19-'Existing Levels Drone Survey'!DD19</f>
        <v>-0.80790000000007467</v>
      </c>
      <c r="DE19" s="191">
        <f>'Functional Levels Drone Survey'!DE19-'Existing Levels Drone Survey'!DE19</f>
        <v>-0.78070000000008122</v>
      </c>
      <c r="DF19" s="191">
        <f>'Functional Levels Drone Survey'!DF19-'Existing Levels Drone Survey'!DF19</f>
        <v>-0.88190000000008695</v>
      </c>
      <c r="DG19" s="191">
        <f>'Functional Levels Drone Survey'!DG19-'Existing Levels Drone Survey'!DG19</f>
        <v>-0.86950000000007321</v>
      </c>
      <c r="DH19" s="191">
        <f>'Functional Levels Drone Survey'!DH19-'Existing Levels Drone Survey'!DH19</f>
        <v>-0.64120000000008304</v>
      </c>
      <c r="DI19" s="191">
        <f>'Functional Levels Drone Survey'!DI19-'Existing Levels Drone Survey'!DI19</f>
        <v>-0.76930000000010068</v>
      </c>
      <c r="DJ19" s="191">
        <f>'Functional Levels Drone Survey'!DJ19-'Existing Levels Drone Survey'!DJ19</f>
        <v>-1.0906777777778416</v>
      </c>
      <c r="DK19" s="191">
        <f>'Functional Levels Drone Survey'!DK19-'Existing Levels Drone Survey'!DK19</f>
        <v>-0.8998777777778173</v>
      </c>
      <c r="DL19" s="278">
        <f>'Functional Levels Drone Survey'!DL19-'Existing Levels Drone Survey'!DL19</f>
        <v>-1.1700777777778626</v>
      </c>
      <c r="DM19" s="278">
        <f>'Functional Levels Drone Survey'!DM19-'Existing Levels Drone Survey'!DM19</f>
        <v>-1.4194777777778427</v>
      </c>
      <c r="DN19" s="278">
        <f>'Functional Levels Drone Survey'!DN19-'Existing Levels Drone Survey'!DN19</f>
        <v>-1.7427777777778601</v>
      </c>
      <c r="DO19" s="278">
        <f>'Functional Levels Drone Survey'!DO19-'Existing Levels Drone Survey'!DO19</f>
        <v>-2.047777777777867</v>
      </c>
      <c r="DP19" s="278">
        <f>'Functional Levels Drone Survey'!DP19-'Existing Levels Drone Survey'!DP19</f>
        <v>-1.7899777777778354</v>
      </c>
      <c r="DQ19" s="278">
        <f>'Functional Levels Drone Survey'!DQ19-'Existing Levels Drone Survey'!DQ19</f>
        <v>-1.695577777777828</v>
      </c>
      <c r="DR19" s="278">
        <f>'Functional Levels Drone Survey'!DR19-'Existing Levels Drone Survey'!DR19</f>
        <v>-1.6524777777778468</v>
      </c>
      <c r="DS19" s="191">
        <f>'Functional Levels Drone Survey'!DS19-'Existing Levels Drone Survey'!DS19</f>
        <v>0</v>
      </c>
      <c r="DT19" s="191">
        <f>'Functional Levels Drone Survey'!DT19-'Existing Levels Drone Survey'!DT19</f>
        <v>0</v>
      </c>
      <c r="DU19" s="278">
        <f>'Functional Levels Drone Survey'!DU19-'Existing Levels Drone Survey'!DU19</f>
        <v>-1.6443000000001007</v>
      </c>
      <c r="DV19" s="191">
        <f>'Functional Levels Drone Survey'!DV19-'Existing Levels Drone Survey'!DV19</f>
        <v>-0.81240000000013879</v>
      </c>
      <c r="DW19" s="279">
        <f>'Functional Levels Drone Survey'!DW19-'Existing Levels Drone Survey'!DW19</f>
        <v>-0.49140000000011241</v>
      </c>
      <c r="DX19" s="279">
        <f>'Functional Levels Drone Survey'!DX19-'Existing Levels Drone Survey'!DX19</f>
        <v>-0.39850000000012642</v>
      </c>
      <c r="DY19" s="279">
        <f>'Functional Levels Drone Survey'!DY19-'Existing Levels Drone Survey'!DY19</f>
        <v>-0.74250000000012051</v>
      </c>
      <c r="DZ19" s="279">
        <f>'Functional Levels Drone Survey'!DZ19-'Existing Levels Drone Survey'!DZ19</f>
        <v>-0.71680000000009159</v>
      </c>
      <c r="EA19" s="279">
        <f>'Functional Levels Drone Survey'!EA19-'Existing Levels Drone Survey'!EA19</f>
        <v>-0.73600000000010368</v>
      </c>
      <c r="EB19" s="279">
        <f>'Functional Levels Drone Survey'!EB19-'Existing Levels Drone Survey'!EB19</f>
        <v>-0.74950000000012551</v>
      </c>
      <c r="EC19" s="279">
        <f>'Functional Levels Drone Survey'!EC19-'Existing Levels Drone Survey'!EC19</f>
        <v>-0.74390000000011014</v>
      </c>
      <c r="ED19" s="279">
        <f>'Functional Levels Drone Survey'!ED19-'Existing Levels Drone Survey'!ED19</f>
        <v>-0.75850000000014006</v>
      </c>
      <c r="EE19" s="279">
        <f>'Functional Levels Drone Survey'!EE19-'Existing Levels Drone Survey'!EE19</f>
        <v>-0.73080000000010159</v>
      </c>
      <c r="EF19" s="279">
        <f>'Functional Levels Drone Survey'!EF19-'Existing Levels Drone Survey'!EF19</f>
        <v>-0.48090000000013333</v>
      </c>
      <c r="EG19" s="279">
        <f>'Functional Levels Drone Survey'!EG19-'Existing Levels Drone Survey'!EG19</f>
        <v>-0.4020000000001005</v>
      </c>
      <c r="EH19" s="279">
        <f>'Functional Levels Drone Survey'!EH19-'Existing Levels Drone Survey'!EH19</f>
        <v>-0.42280000000010887</v>
      </c>
      <c r="EI19" s="279">
        <f>'Functional Levels Drone Survey'!EI19-'Existing Levels Drone Survey'!EI19</f>
        <v>-0.35660000000012815</v>
      </c>
      <c r="EJ19" s="279">
        <f>'Functional Levels Drone Survey'!EJ19-'Existing Levels Drone Survey'!EJ19</f>
        <v>-0.35880000000008749</v>
      </c>
      <c r="EK19" s="279">
        <f>'Functional Levels Drone Survey'!EK19-'Existing Levels Drone Survey'!EK19</f>
        <v>-9.130000000010341E-2</v>
      </c>
      <c r="EL19" s="279">
        <f>'Functional Levels Drone Survey'!EL19-'Existing Levels Drone Survey'!EL19</f>
        <v>-6.930000000011205E-2</v>
      </c>
      <c r="EM19" s="279">
        <f>'Functional Levels Drone Survey'!EM19-'Existing Levels Drone Survey'!EM19</f>
        <v>-0.12480000000010705</v>
      </c>
      <c r="EN19" s="191">
        <f>'Functional Levels Drone Survey'!EN19-'Existing Levels Drone Survey'!EN19</f>
        <v>-0.37320000000011078</v>
      </c>
      <c r="EO19" s="191">
        <f>'Functional Levels Drone Survey'!EO19-'Existing Levels Drone Survey'!EO19</f>
        <v>-0.45550000000014279</v>
      </c>
      <c r="EP19" s="191">
        <f>'Functional Levels Drone Survey'!EP19-'Existing Levels Drone Survey'!EP19</f>
        <v>-0.18910000000010996</v>
      </c>
      <c r="EQ19" s="191">
        <f>'Functional Levels Drone Survey'!EQ19-'Existing Levels Drone Survey'!EQ19</f>
        <v>-0.51870000000013761</v>
      </c>
      <c r="ER19" s="278">
        <f>'Functional Levels Drone Survey'!ER19-'Existing Levels Drone Survey'!ER19</f>
        <v>-0.88060000000012906</v>
      </c>
      <c r="ES19" s="191">
        <f>'Functional Levels Drone Survey'!ES19-'Existing Levels Drone Survey'!ES19</f>
        <v>0</v>
      </c>
      <c r="ET19" s="191">
        <f>'Functional Levels Drone Survey'!ET19-'Existing Levels Drone Survey'!ET19</f>
        <v>0</v>
      </c>
      <c r="EU19" s="191">
        <f>'Functional Levels Drone Survey'!EU19-'Existing Levels Drone Survey'!EU19</f>
        <v>0</v>
      </c>
      <c r="EV19" s="191">
        <f>'Functional Levels Drone Survey'!EV19-'Existing Levels Drone Survey'!EV19</f>
        <v>0</v>
      </c>
      <c r="EW19" s="191">
        <f>'Functional Levels Drone Survey'!EW19-'Existing Levels Drone Survey'!EW19</f>
        <v>0</v>
      </c>
      <c r="EX19" s="191">
        <f>'Functional Levels Drone Survey'!EX19-'Existing Levels Drone Survey'!EX19</f>
        <v>0</v>
      </c>
      <c r="EY19" s="191">
        <f>'Functional Levels Drone Survey'!EY19-'Existing Levels Drone Survey'!EY19</f>
        <v>0</v>
      </c>
    </row>
    <row r="20" spans="1:155" ht="45" customHeight="1" x14ac:dyDescent="0.45">
      <c r="A20" s="277">
        <v>95</v>
      </c>
      <c r="B20" s="191">
        <f>'Functional Levels Drone Survey'!B20-'Existing Levels Drone Survey'!B20</f>
        <v>0</v>
      </c>
      <c r="C20" s="191">
        <f>'Functional Levels Drone Survey'!C20-'Existing Levels Drone Survey'!C20</f>
        <v>0</v>
      </c>
      <c r="D20" s="191">
        <f>'Functional Levels Drone Survey'!D20-'Existing Levels Drone Survey'!D20</f>
        <v>0</v>
      </c>
      <c r="E20" s="191">
        <f>'Functional Levels Drone Survey'!E20-'Existing Levels Drone Survey'!E20</f>
        <v>0</v>
      </c>
      <c r="F20" s="191">
        <f>'Functional Levels Drone Survey'!F20-'Existing Levels Drone Survey'!F20</f>
        <v>0</v>
      </c>
      <c r="G20" s="191">
        <f>'Functional Levels Drone Survey'!G20-'Existing Levels Drone Survey'!G20</f>
        <v>0</v>
      </c>
      <c r="H20" s="191">
        <f>'Functional Levels Drone Survey'!H20-'Existing Levels Drone Survey'!H20</f>
        <v>0</v>
      </c>
      <c r="I20" s="191">
        <f>'Functional Levels Drone Survey'!I20-'Existing Levels Drone Survey'!I20</f>
        <v>0</v>
      </c>
      <c r="J20" s="191">
        <f>'Functional Levels Drone Survey'!J20-'Existing Levels Drone Survey'!J20</f>
        <v>0</v>
      </c>
      <c r="K20" s="191">
        <f>'Functional Levels Drone Survey'!K20-'Existing Levels Drone Survey'!K20</f>
        <v>0</v>
      </c>
      <c r="L20" s="191">
        <f>'Functional Levels Drone Survey'!L20-'Existing Levels Drone Survey'!L20</f>
        <v>0</v>
      </c>
      <c r="M20" s="191">
        <f>'Functional Levels Drone Survey'!M20-'Existing Levels Drone Survey'!M20</f>
        <v>0</v>
      </c>
      <c r="N20" s="191">
        <f>'Functional Levels Drone Survey'!N20-'Existing Levels Drone Survey'!N20</f>
        <v>0</v>
      </c>
      <c r="O20" s="191">
        <f>'Functional Levels Drone Survey'!O20-'Existing Levels Drone Survey'!O20</f>
        <v>0</v>
      </c>
      <c r="P20" s="191">
        <f>'Functional Levels Drone Survey'!P20-'Existing Levels Drone Survey'!P20</f>
        <v>0</v>
      </c>
      <c r="Q20" s="191">
        <f>'Functional Levels Drone Survey'!Q20-'Existing Levels Drone Survey'!Q20</f>
        <v>0</v>
      </c>
      <c r="R20" s="191">
        <f>'Functional Levels Drone Survey'!R20-'Existing Levels Drone Survey'!R20</f>
        <v>0</v>
      </c>
      <c r="S20" s="191">
        <f>'Functional Levels Drone Survey'!S20-'Existing Levels Drone Survey'!S20</f>
        <v>0</v>
      </c>
      <c r="T20" s="191">
        <f>'Functional Levels Drone Survey'!T20-'Existing Levels Drone Survey'!T20</f>
        <v>0</v>
      </c>
      <c r="U20" s="191">
        <f>'Functional Levels Drone Survey'!U20-'Existing Levels Drone Survey'!U20</f>
        <v>0</v>
      </c>
      <c r="V20" s="191">
        <f>'Functional Levels Drone Survey'!V20-'Existing Levels Drone Survey'!V20</f>
        <v>0</v>
      </c>
      <c r="W20" s="191">
        <f>'Functional Levels Drone Survey'!W20-'Existing Levels Drone Survey'!W20</f>
        <v>0</v>
      </c>
      <c r="X20" s="191">
        <f>'Functional Levels Drone Survey'!X20-'Existing Levels Drone Survey'!X20</f>
        <v>0</v>
      </c>
      <c r="Y20" s="191">
        <f>'Functional Levels Drone Survey'!Y20-'Existing Levels Drone Survey'!Y20</f>
        <v>0</v>
      </c>
      <c r="Z20" s="191">
        <f>'Functional Levels Drone Survey'!Z20-'Existing Levels Drone Survey'!Z20</f>
        <v>0</v>
      </c>
      <c r="AA20" s="191">
        <f>'Functional Levels Drone Survey'!AA20-'Existing Levels Drone Survey'!AA20</f>
        <v>0</v>
      </c>
      <c r="AB20" s="191">
        <f>'Functional Levels Drone Survey'!AB20-'Existing Levels Drone Survey'!AB20</f>
        <v>0</v>
      </c>
      <c r="AC20" s="191">
        <f>'Functional Levels Drone Survey'!AC20-'Existing Levels Drone Survey'!AC20</f>
        <v>0</v>
      </c>
      <c r="AD20" s="191">
        <f>'Functional Levels Drone Survey'!AD20-'Existing Levels Drone Survey'!AD20</f>
        <v>0</v>
      </c>
      <c r="AE20" s="191">
        <f>'Functional Levels Drone Survey'!AE20-'Existing Levels Drone Survey'!AE20</f>
        <v>0</v>
      </c>
      <c r="AF20" s="191">
        <f>'Functional Levels Drone Survey'!AF20-'Existing Levels Drone Survey'!AF20</f>
        <v>0</v>
      </c>
      <c r="AG20" s="191">
        <f>'Functional Levels Drone Survey'!AG20-'Existing Levels Drone Survey'!AG20</f>
        <v>0</v>
      </c>
      <c r="AH20" s="191">
        <f>'Functional Levels Drone Survey'!AH20-'Existing Levels Drone Survey'!AH20</f>
        <v>0</v>
      </c>
      <c r="AI20" s="191">
        <f>'Functional Levels Drone Survey'!AI20-'Existing Levels Drone Survey'!AI20</f>
        <v>0</v>
      </c>
      <c r="AJ20" s="191">
        <f>'Functional Levels Drone Survey'!AJ20-'Existing Levels Drone Survey'!AJ20</f>
        <v>0</v>
      </c>
      <c r="AK20" s="191">
        <f>'Functional Levels Drone Survey'!AK20-'Existing Levels Drone Survey'!AK20</f>
        <v>0</v>
      </c>
      <c r="AL20" s="191">
        <f>'Functional Levels Drone Survey'!AL20-'Existing Levels Drone Survey'!AL20</f>
        <v>0</v>
      </c>
      <c r="AM20" s="191">
        <f>'Functional Levels Drone Survey'!AM20-'Existing Levels Drone Survey'!AM20</f>
        <v>0</v>
      </c>
      <c r="AN20" s="191">
        <f>'Functional Levels Drone Survey'!AN20-'Existing Levels Drone Survey'!AN20</f>
        <v>0</v>
      </c>
      <c r="AO20" s="191">
        <f>'Functional Levels Drone Survey'!AO20-'Existing Levels Drone Survey'!AO20</f>
        <v>0</v>
      </c>
      <c r="AP20" s="191">
        <f>'Functional Levels Drone Survey'!AP20-'Existing Levels Drone Survey'!AP20</f>
        <v>0</v>
      </c>
      <c r="AQ20" s="191">
        <f>'Functional Levels Drone Survey'!AQ20-'Existing Levels Drone Survey'!AQ20</f>
        <v>0</v>
      </c>
      <c r="AR20" s="191">
        <f>'Functional Levels Drone Survey'!AR20-'Existing Levels Drone Survey'!AR20</f>
        <v>0</v>
      </c>
      <c r="AS20" s="191">
        <f>'Functional Levels Drone Survey'!AS20-'Existing Levels Drone Survey'!AS20</f>
        <v>0</v>
      </c>
      <c r="AT20" s="191">
        <f>'Functional Levels Drone Survey'!AT20-'Existing Levels Drone Survey'!AT20</f>
        <v>0</v>
      </c>
      <c r="AU20" s="191">
        <f>'Functional Levels Drone Survey'!AU20-'Existing Levels Drone Survey'!AU20</f>
        <v>0</v>
      </c>
      <c r="AV20" s="191">
        <f>'Functional Levels Drone Survey'!AV20-'Existing Levels Drone Survey'!AV20</f>
        <v>0</v>
      </c>
      <c r="AW20" s="191">
        <f>'Functional Levels Drone Survey'!AW20-'Existing Levels Drone Survey'!AW20</f>
        <v>0</v>
      </c>
      <c r="AX20" s="191">
        <f>'Functional Levels Drone Survey'!AX20-'Existing Levels Drone Survey'!AX20</f>
        <v>0</v>
      </c>
      <c r="AY20" s="191">
        <f>'Functional Levels Drone Survey'!AY20-'Existing Levels Drone Survey'!AY20</f>
        <v>0</v>
      </c>
      <c r="AZ20" s="191">
        <f>'Functional Levels Drone Survey'!AZ20-'Existing Levels Drone Survey'!AZ20</f>
        <v>0</v>
      </c>
      <c r="BA20" s="191">
        <f>'Functional Levels Drone Survey'!BA20-'Existing Levels Drone Survey'!BA20</f>
        <v>0</v>
      </c>
      <c r="BB20" s="191">
        <f>'Functional Levels Drone Survey'!BB20-'Existing Levels Drone Survey'!BB20</f>
        <v>0</v>
      </c>
      <c r="BC20" s="191">
        <f>'Functional Levels Drone Survey'!BC20-'Existing Levels Drone Survey'!BC20</f>
        <v>0</v>
      </c>
      <c r="BD20" s="191">
        <f>'Functional Levels Drone Survey'!BD20-'Existing Levels Drone Survey'!BD20</f>
        <v>0</v>
      </c>
      <c r="BE20" s="191">
        <f>'Functional Levels Drone Survey'!BE20-'Existing Levels Drone Survey'!BE20</f>
        <v>0</v>
      </c>
      <c r="BF20" s="191">
        <f>'Functional Levels Drone Survey'!BF20-'Existing Levels Drone Survey'!BF20</f>
        <v>0</v>
      </c>
      <c r="BG20" s="191">
        <f>'Functional Levels Drone Survey'!BG20-'Existing Levels Drone Survey'!BG20</f>
        <v>0</v>
      </c>
      <c r="BH20" s="191">
        <f>'Functional Levels Drone Survey'!BH20-'Existing Levels Drone Survey'!BH20</f>
        <v>0</v>
      </c>
      <c r="BI20" s="191">
        <f>'Functional Levels Drone Survey'!BI20-'Existing Levels Drone Survey'!BI20</f>
        <v>0</v>
      </c>
      <c r="BJ20" s="191">
        <f>'Functional Levels Drone Survey'!BJ20-'Existing Levels Drone Survey'!BJ20</f>
        <v>0</v>
      </c>
      <c r="BK20" s="191">
        <f>'Functional Levels Drone Survey'!BK20-'Existing Levels Drone Survey'!BK20</f>
        <v>0</v>
      </c>
      <c r="BL20" s="191">
        <f>'Functional Levels Drone Survey'!BL20-'Existing Levels Drone Survey'!BL20</f>
        <v>0</v>
      </c>
      <c r="BM20" s="191">
        <f>'Functional Levels Drone Survey'!BM20-'Existing Levels Drone Survey'!BM20</f>
        <v>0</v>
      </c>
      <c r="BN20" s="191">
        <f>'Functional Levels Drone Survey'!BN20-'Existing Levels Drone Survey'!BN20</f>
        <v>0</v>
      </c>
      <c r="BO20" s="191">
        <f>'Functional Levels Drone Survey'!BO20-'Existing Levels Drone Survey'!BO20</f>
        <v>0</v>
      </c>
      <c r="BP20" s="191">
        <f>'Functional Levels Drone Survey'!BP20-'Existing Levels Drone Survey'!BP20</f>
        <v>0</v>
      </c>
      <c r="BQ20" s="191">
        <f>'Functional Levels Drone Survey'!BQ20-'Existing Levels Drone Survey'!BQ20</f>
        <v>0</v>
      </c>
      <c r="BR20" s="191">
        <f>'Functional Levels Drone Survey'!BR20-'Existing Levels Drone Survey'!BR20</f>
        <v>0</v>
      </c>
      <c r="BS20" s="191">
        <f>'Functional Levels Drone Survey'!BS20-'Existing Levels Drone Survey'!BS20</f>
        <v>0</v>
      </c>
      <c r="BT20" s="191">
        <f>'Functional Levels Drone Survey'!BT20-'Existing Levels Drone Survey'!BT20</f>
        <v>0</v>
      </c>
      <c r="BU20" s="191">
        <f>'Functional Levels Drone Survey'!BU20-'Existing Levels Drone Survey'!BU20</f>
        <v>0</v>
      </c>
      <c r="BV20" s="191">
        <f>'Functional Levels Drone Survey'!BV20-'Existing Levels Drone Survey'!BV20</f>
        <v>0</v>
      </c>
      <c r="BW20" s="191">
        <f>'Functional Levels Drone Survey'!BW20-'Existing Levels Drone Survey'!BW20</f>
        <v>0</v>
      </c>
      <c r="BX20" s="191">
        <f>'Functional Levels Drone Survey'!BX20-'Existing Levels Drone Survey'!BX20</f>
        <v>0</v>
      </c>
      <c r="BY20" s="191">
        <f>'Functional Levels Drone Survey'!BY20-'Existing Levels Drone Survey'!BY20</f>
        <v>0</v>
      </c>
      <c r="BZ20" s="191">
        <f>'Functional Levels Drone Survey'!BZ20-'Existing Levels Drone Survey'!BZ20</f>
        <v>0</v>
      </c>
      <c r="CA20" s="191">
        <f>'Functional Levels Drone Survey'!CA20-'Existing Levels Drone Survey'!CA20</f>
        <v>0</v>
      </c>
      <c r="CB20" s="191">
        <f>'Functional Levels Drone Survey'!CB20-'Existing Levels Drone Survey'!CB20</f>
        <v>0</v>
      </c>
      <c r="CC20" s="191">
        <f>'Functional Levels Drone Survey'!CC20-'Existing Levels Drone Survey'!CC20</f>
        <v>0</v>
      </c>
      <c r="CD20" s="191">
        <f>'Functional Levels Drone Survey'!CD20-'Existing Levels Drone Survey'!CD20</f>
        <v>0</v>
      </c>
      <c r="CE20" s="191">
        <f>'Functional Levels Drone Survey'!CE20-'Existing Levels Drone Survey'!CE20</f>
        <v>0</v>
      </c>
      <c r="CF20" s="191">
        <f>'Functional Levels Drone Survey'!CF20-'Existing Levels Drone Survey'!CF20</f>
        <v>0</v>
      </c>
      <c r="CG20" s="191">
        <f>'Functional Levels Drone Survey'!CG20-'Existing Levels Drone Survey'!CG20</f>
        <v>0</v>
      </c>
      <c r="CH20" s="191">
        <f>'Functional Levels Drone Survey'!CH20-'Existing Levels Drone Survey'!CH20</f>
        <v>0</v>
      </c>
      <c r="CI20" s="191">
        <f>'Functional Levels Drone Survey'!CI20-'Existing Levels Drone Survey'!CI20</f>
        <v>0</v>
      </c>
      <c r="CJ20" s="278">
        <f>'Functional Levels Drone Survey'!CJ20-'Existing Levels Drone Survey'!CJ20</f>
        <v>-1.0031000000000745</v>
      </c>
      <c r="CK20" s="278">
        <f>'Functional Levels Drone Survey'!CK20-'Existing Levels Drone Survey'!CK20</f>
        <v>-1.6150000000000659</v>
      </c>
      <c r="CL20" s="191">
        <f>'Functional Levels Drone Survey'!CL20-'Existing Levels Drone Survey'!CL20</f>
        <v>-1.2320000000000846</v>
      </c>
      <c r="CM20" s="191">
        <f>'Functional Levels Drone Survey'!CM20-'Existing Levels Drone Survey'!CM20</f>
        <v>-0.56450000000006639</v>
      </c>
      <c r="CN20" s="191">
        <f>'Functional Levels Drone Survey'!CN20-'Existing Levels Drone Survey'!CN20</f>
        <v>-0.84790000000009513</v>
      </c>
      <c r="CO20" s="191">
        <f>'Functional Levels Drone Survey'!CO20-'Existing Levels Drone Survey'!CO20</f>
        <v>-0.7760000000000673</v>
      </c>
      <c r="CP20" s="191">
        <f>'Functional Levels Drone Survey'!CP20-'Existing Levels Drone Survey'!CP20</f>
        <v>-0.73120000000011487</v>
      </c>
      <c r="CQ20" s="191">
        <f>'Functional Levels Drone Survey'!CQ20-'Existing Levels Drone Survey'!CQ20</f>
        <v>-0.66930000000007794</v>
      </c>
      <c r="CR20" s="191">
        <f>'Functional Levels Drone Survey'!CR20-'Existing Levels Drone Survey'!CR20</f>
        <v>-0.52750000000008868</v>
      </c>
      <c r="CS20" s="191">
        <f>'Functional Levels Drone Survey'!CS20-'Existing Levels Drone Survey'!CS20</f>
        <v>-0.97040000000009741</v>
      </c>
      <c r="CT20" s="278">
        <f>'Functional Levels Drone Survey'!CT20-'Existing Levels Drone Survey'!CT20</f>
        <v>0</v>
      </c>
      <c r="CU20" s="191">
        <f>'Functional Levels Drone Survey'!CU20-'Existing Levels Drone Survey'!CU20</f>
        <v>0</v>
      </c>
      <c r="CV20" s="191">
        <f>'Functional Levels Drone Survey'!CV20-'Existing Levels Drone Survey'!CV20</f>
        <v>0</v>
      </c>
      <c r="CW20" s="191">
        <f>'Functional Levels Drone Survey'!CW20-'Existing Levels Drone Survey'!CW20</f>
        <v>0</v>
      </c>
      <c r="CX20" s="191">
        <f>'Functional Levels Drone Survey'!CX20-'Existing Levels Drone Survey'!CX20</f>
        <v>0</v>
      </c>
      <c r="CY20" s="191">
        <f>'Functional Levels Drone Survey'!CY20-'Existing Levels Drone Survey'!CY20</f>
        <v>0</v>
      </c>
      <c r="CZ20" s="191">
        <f>'Functional Levels Drone Survey'!CZ20-'Existing Levels Drone Survey'!CZ20</f>
        <v>0</v>
      </c>
      <c r="DA20" s="191">
        <f>'Functional Levels Drone Survey'!DA20-'Existing Levels Drone Survey'!DA20</f>
        <v>0</v>
      </c>
      <c r="DB20" s="278">
        <f>'Functional Levels Drone Survey'!DB20-'Existing Levels Drone Survey'!DB20</f>
        <v>-0.67130000000008749</v>
      </c>
      <c r="DC20" s="191">
        <f>'Functional Levels Drone Survey'!DC20-'Existing Levels Drone Survey'!DC20</f>
        <v>-0.85460000000006175</v>
      </c>
      <c r="DD20" s="191">
        <f>'Functional Levels Drone Survey'!DD20-'Existing Levels Drone Survey'!DD20</f>
        <v>-0.89300000000008595</v>
      </c>
      <c r="DE20" s="191">
        <f>'Functional Levels Drone Survey'!DE20-'Existing Levels Drone Survey'!DE20</f>
        <v>-0.84990000000004784</v>
      </c>
      <c r="DF20" s="191">
        <f>'Functional Levels Drone Survey'!DF20-'Existing Levels Drone Survey'!DF20</f>
        <v>-0.92110000000008085</v>
      </c>
      <c r="DG20" s="191">
        <f>'Functional Levels Drone Survey'!DG20-'Existing Levels Drone Survey'!DG20</f>
        <v>-0.80030000000004975</v>
      </c>
      <c r="DH20" s="191">
        <f>'Functional Levels Drone Survey'!DH20-'Existing Levels Drone Survey'!DH20</f>
        <v>-0.74700000000007094</v>
      </c>
      <c r="DI20" s="191">
        <f>'Functional Levels Drone Survey'!DI20-'Existing Levels Drone Survey'!DI20</f>
        <v>-0.77960000000007312</v>
      </c>
      <c r="DJ20" s="191">
        <f>'Functional Levels Drone Survey'!DJ20-'Existing Levels Drone Survey'!DJ20</f>
        <v>-1.170977777777864</v>
      </c>
      <c r="DK20" s="191">
        <f>'Functional Levels Drone Survey'!DK20-'Existing Levels Drone Survey'!DK20</f>
        <v>-1.1074777777778309</v>
      </c>
      <c r="DL20" s="191">
        <f>'Functional Levels Drone Survey'!DL20-'Existing Levels Drone Survey'!DL20</f>
        <v>-1.0450777777778626</v>
      </c>
      <c r="DM20" s="191">
        <f>'Functional Levels Drone Survey'!DM20-'Existing Levels Drone Survey'!DM20</f>
        <v>-0.87737777777783776</v>
      </c>
      <c r="DN20" s="191">
        <f>'Functional Levels Drone Survey'!DN20-'Existing Levels Drone Survey'!DN20</f>
        <v>-1.089877777777815</v>
      </c>
      <c r="DO20" s="191">
        <f>'Functional Levels Drone Survey'!DO20-'Existing Levels Drone Survey'!DO20</f>
        <v>-1.0082777777778347</v>
      </c>
      <c r="DP20" s="191">
        <f>'Functional Levels Drone Survey'!DP20-'Existing Levels Drone Survey'!DP20</f>
        <v>-1.0000777777778467</v>
      </c>
      <c r="DQ20" s="191">
        <f>'Functional Levels Drone Survey'!DQ20-'Existing Levels Drone Survey'!DQ20</f>
        <v>-0.9119777777778495</v>
      </c>
      <c r="DR20" s="191">
        <f>'Functional Levels Drone Survey'!DR20-'Existing Levels Drone Survey'!DR20</f>
        <v>-0.59657777777783849</v>
      </c>
      <c r="DS20" s="278">
        <f>'Functional Levels Drone Survey'!DS20-'Existing Levels Drone Survey'!DS20</f>
        <v>-0.39167777777782931</v>
      </c>
      <c r="DT20" s="278">
        <f>'Functional Levels Drone Survey'!DT20-'Existing Levels Drone Survey'!DT20</f>
        <v>-0.32987777777782412</v>
      </c>
      <c r="DU20" s="278">
        <f>'Functional Levels Drone Survey'!DU20-'Existing Levels Drone Survey'!DU20</f>
        <v>-0.38817777777785523</v>
      </c>
      <c r="DV20" s="191">
        <f>'Functional Levels Drone Survey'!DV20-'Existing Levels Drone Survey'!DV20</f>
        <v>-0.72927777777783831</v>
      </c>
      <c r="DW20" s="191">
        <f>'Functional Levels Drone Survey'!DW20-'Existing Levels Drone Survey'!DW20</f>
        <v>-0.48397777777785222</v>
      </c>
      <c r="DX20" s="191">
        <f>'Functional Levels Drone Survey'!DX20-'Existing Levels Drone Survey'!DX20</f>
        <v>-0.38887777777785004</v>
      </c>
      <c r="DY20" s="191">
        <f>'Functional Levels Drone Survey'!DY20-'Existing Levels Drone Survey'!DY20</f>
        <v>-0.76177777777786559</v>
      </c>
      <c r="DZ20" s="191">
        <f>'Functional Levels Drone Survey'!DZ20-'Existing Levels Drone Survey'!DZ20</f>
        <v>-0.62947777777782221</v>
      </c>
      <c r="EA20" s="191">
        <f>'Functional Levels Drone Survey'!EA20-'Existing Levels Drone Survey'!EA20</f>
        <v>-0.65267777777785341</v>
      </c>
      <c r="EB20" s="191">
        <f>'Functional Levels Drone Survey'!EB20-'Existing Levels Drone Survey'!EB20</f>
        <v>-0.63377777777782285</v>
      </c>
      <c r="EC20" s="191">
        <f>'Functional Levels Drone Survey'!EC20-'Existing Levels Drone Survey'!EC20</f>
        <v>-0.6438000000001125</v>
      </c>
      <c r="ED20" s="191">
        <f>'Functional Levels Drone Survey'!ED20-'Existing Levels Drone Survey'!ED20</f>
        <v>-0.59650000000016234</v>
      </c>
      <c r="EE20" s="191">
        <f>'Functional Levels Drone Survey'!EE20-'Existing Levels Drone Survey'!EE20</f>
        <v>-0.65350000000012187</v>
      </c>
      <c r="EF20" s="191">
        <f>'Functional Levels Drone Survey'!EF20-'Existing Levels Drone Survey'!EF20</f>
        <v>-0.66680000000013706</v>
      </c>
      <c r="EG20" s="191">
        <f>'Functional Levels Drone Survey'!EG20-'Existing Levels Drone Survey'!EG20</f>
        <v>-0.69470000000012533</v>
      </c>
      <c r="EH20" s="191">
        <f>'Functional Levels Drone Survey'!EH20-'Existing Levels Drone Survey'!EH20</f>
        <v>-0.42600000000015825</v>
      </c>
      <c r="EI20" s="191">
        <f>'Functional Levels Drone Survey'!EI20-'Existing Levels Drone Survey'!EI20</f>
        <v>-0.38160000000016225</v>
      </c>
      <c r="EJ20" s="191">
        <f>'Functional Levels Drone Survey'!EJ20-'Existing Levels Drone Survey'!EJ20</f>
        <v>-0.18390000000016471</v>
      </c>
      <c r="EK20" s="191">
        <f>'Functional Levels Drone Survey'!EK20-'Existing Levels Drone Survey'!EK20</f>
        <v>-0.39340000000015607</v>
      </c>
      <c r="EL20" s="191">
        <f>'Functional Levels Drone Survey'!EL20-'Existing Levels Drone Survey'!EL20</f>
        <v>-0.16320000000013124</v>
      </c>
      <c r="EM20" s="191">
        <f>'Functional Levels Drone Survey'!EM20-'Existing Levels Drone Survey'!EM20</f>
        <v>-0.27360000000015816</v>
      </c>
      <c r="EN20" s="191">
        <f>'Functional Levels Drone Survey'!EN20-'Existing Levels Drone Survey'!EN20</f>
        <v>-0.35790000000014288</v>
      </c>
      <c r="EO20" s="191">
        <f>'Functional Levels Drone Survey'!EO20-'Existing Levels Drone Survey'!EO20</f>
        <v>-0.15510000000011814</v>
      </c>
      <c r="EP20" s="191">
        <f>'Functional Levels Drone Survey'!EP20-'Existing Levels Drone Survey'!EP20</f>
        <v>-0.26790000000011105</v>
      </c>
      <c r="EQ20" s="191">
        <f>'Functional Levels Drone Survey'!EQ20-'Existing Levels Drone Survey'!EQ20</f>
        <v>4.4899999999870488E-2</v>
      </c>
      <c r="ER20" s="191">
        <f>'Functional Levels Drone Survey'!ER20-'Existing Levels Drone Survey'!ER20</f>
        <v>-0.22080000000011069</v>
      </c>
      <c r="ES20" s="278">
        <f>'Functional Levels Drone Survey'!ES20-'Existing Levels Drone Survey'!ES20</f>
        <v>-0.80100000000010141</v>
      </c>
      <c r="ET20" s="278">
        <f>'Functional Levels Drone Survey'!ET20-'Existing Levels Drone Survey'!ET20</f>
        <v>0.9256999999998925</v>
      </c>
      <c r="EU20" s="278">
        <f>'Functional Levels Drone Survey'!EU20-'Existing Levels Drone Survey'!EU20</f>
        <v>-0.52490000000011605</v>
      </c>
      <c r="EV20" s="191">
        <f>'Functional Levels Drone Survey'!EV20-'Existing Levels Drone Survey'!EV20</f>
        <v>0</v>
      </c>
      <c r="EW20" s="191">
        <f>'Functional Levels Drone Survey'!EW20-'Existing Levels Drone Survey'!EW20</f>
        <v>0</v>
      </c>
      <c r="EX20" s="191">
        <f>'Functional Levels Drone Survey'!EX20-'Existing Levels Drone Survey'!EX20</f>
        <v>0</v>
      </c>
      <c r="EY20" s="191">
        <f>'Functional Levels Drone Survey'!EY20-'Existing Levels Drone Survey'!EY20</f>
        <v>0</v>
      </c>
    </row>
    <row r="21" spans="1:155" ht="45" customHeight="1" x14ac:dyDescent="0.45">
      <c r="A21" s="277">
        <v>100</v>
      </c>
      <c r="B21" s="191">
        <f>'Functional Levels Drone Survey'!B21-'Existing Levels Drone Survey'!B21</f>
        <v>0</v>
      </c>
      <c r="C21" s="191">
        <f>'Functional Levels Drone Survey'!C21-'Existing Levels Drone Survey'!C21</f>
        <v>0</v>
      </c>
      <c r="D21" s="191">
        <f>'Functional Levels Drone Survey'!D21-'Existing Levels Drone Survey'!D21</f>
        <v>0</v>
      </c>
      <c r="E21" s="191">
        <f>'Functional Levels Drone Survey'!E21-'Existing Levels Drone Survey'!E21</f>
        <v>0</v>
      </c>
      <c r="F21" s="191">
        <f>'Functional Levels Drone Survey'!F21-'Existing Levels Drone Survey'!F21</f>
        <v>0</v>
      </c>
      <c r="G21" s="191">
        <f>'Functional Levels Drone Survey'!G21-'Existing Levels Drone Survey'!G21</f>
        <v>0</v>
      </c>
      <c r="H21" s="191">
        <f>'Functional Levels Drone Survey'!H21-'Existing Levels Drone Survey'!H21</f>
        <v>0</v>
      </c>
      <c r="I21" s="191">
        <f>'Functional Levels Drone Survey'!I21-'Existing Levels Drone Survey'!I21</f>
        <v>0</v>
      </c>
      <c r="J21" s="191">
        <f>'Functional Levels Drone Survey'!J21-'Existing Levels Drone Survey'!J21</f>
        <v>0</v>
      </c>
      <c r="K21" s="191">
        <f>'Functional Levels Drone Survey'!K21-'Existing Levels Drone Survey'!K21</f>
        <v>0</v>
      </c>
      <c r="L21" s="191">
        <f>'Functional Levels Drone Survey'!L21-'Existing Levels Drone Survey'!L21</f>
        <v>0</v>
      </c>
      <c r="M21" s="191">
        <f>'Functional Levels Drone Survey'!M21-'Existing Levels Drone Survey'!M21</f>
        <v>0</v>
      </c>
      <c r="N21" s="191">
        <f>'Functional Levels Drone Survey'!N21-'Existing Levels Drone Survey'!N21</f>
        <v>0</v>
      </c>
      <c r="O21" s="191">
        <f>'Functional Levels Drone Survey'!O21-'Existing Levels Drone Survey'!O21</f>
        <v>0</v>
      </c>
      <c r="P21" s="191">
        <f>'Functional Levels Drone Survey'!P21-'Existing Levels Drone Survey'!P21</f>
        <v>0</v>
      </c>
      <c r="Q21" s="191">
        <f>'Functional Levels Drone Survey'!Q21-'Existing Levels Drone Survey'!Q21</f>
        <v>0</v>
      </c>
      <c r="R21" s="191">
        <f>'Functional Levels Drone Survey'!R21-'Existing Levels Drone Survey'!R21</f>
        <v>0</v>
      </c>
      <c r="S21" s="191">
        <f>'Functional Levels Drone Survey'!S21-'Existing Levels Drone Survey'!S21</f>
        <v>0</v>
      </c>
      <c r="T21" s="191">
        <f>'Functional Levels Drone Survey'!T21-'Existing Levels Drone Survey'!T21</f>
        <v>0</v>
      </c>
      <c r="U21" s="191">
        <f>'Functional Levels Drone Survey'!U21-'Existing Levels Drone Survey'!U21</f>
        <v>0</v>
      </c>
      <c r="V21" s="191">
        <f>'Functional Levels Drone Survey'!V21-'Existing Levels Drone Survey'!V21</f>
        <v>0</v>
      </c>
      <c r="W21" s="191">
        <f>'Functional Levels Drone Survey'!W21-'Existing Levels Drone Survey'!W21</f>
        <v>0</v>
      </c>
      <c r="X21" s="191">
        <f>'Functional Levels Drone Survey'!X21-'Existing Levels Drone Survey'!X21</f>
        <v>0</v>
      </c>
      <c r="Y21" s="191">
        <f>'Functional Levels Drone Survey'!Y21-'Existing Levels Drone Survey'!Y21</f>
        <v>0</v>
      </c>
      <c r="Z21" s="191">
        <f>'Functional Levels Drone Survey'!Z21-'Existing Levels Drone Survey'!Z21</f>
        <v>0</v>
      </c>
      <c r="AA21" s="191">
        <f>'Functional Levels Drone Survey'!AA21-'Existing Levels Drone Survey'!AA21</f>
        <v>0</v>
      </c>
      <c r="AB21" s="191">
        <f>'Functional Levels Drone Survey'!AB21-'Existing Levels Drone Survey'!AB21</f>
        <v>0</v>
      </c>
      <c r="AC21" s="191">
        <f>'Functional Levels Drone Survey'!AC21-'Existing Levels Drone Survey'!AC21</f>
        <v>0</v>
      </c>
      <c r="AD21" s="191">
        <f>'Functional Levels Drone Survey'!AD21-'Existing Levels Drone Survey'!AD21</f>
        <v>0</v>
      </c>
      <c r="AE21" s="191">
        <f>'Functional Levels Drone Survey'!AE21-'Existing Levels Drone Survey'!AE21</f>
        <v>0</v>
      </c>
      <c r="AF21" s="191">
        <f>'Functional Levels Drone Survey'!AF21-'Existing Levels Drone Survey'!AF21</f>
        <v>0</v>
      </c>
      <c r="AG21" s="191">
        <f>'Functional Levels Drone Survey'!AG21-'Existing Levels Drone Survey'!AG21</f>
        <v>0</v>
      </c>
      <c r="AH21" s="191">
        <f>'Functional Levels Drone Survey'!AH21-'Existing Levels Drone Survey'!AH21</f>
        <v>0</v>
      </c>
      <c r="AI21" s="191">
        <f>'Functional Levels Drone Survey'!AI21-'Existing Levels Drone Survey'!AI21</f>
        <v>0</v>
      </c>
      <c r="AJ21" s="191">
        <f>'Functional Levels Drone Survey'!AJ21-'Existing Levels Drone Survey'!AJ21</f>
        <v>0</v>
      </c>
      <c r="AK21" s="191">
        <f>'Functional Levels Drone Survey'!AK21-'Existing Levels Drone Survey'!AK21</f>
        <v>0</v>
      </c>
      <c r="AL21" s="191">
        <f>'Functional Levels Drone Survey'!AL21-'Existing Levels Drone Survey'!AL21</f>
        <v>0</v>
      </c>
      <c r="AM21" s="191">
        <f>'Functional Levels Drone Survey'!AM21-'Existing Levels Drone Survey'!AM21</f>
        <v>0</v>
      </c>
      <c r="AN21" s="191">
        <f>'Functional Levels Drone Survey'!AN21-'Existing Levels Drone Survey'!AN21</f>
        <v>0</v>
      </c>
      <c r="AO21" s="191">
        <f>'Functional Levels Drone Survey'!AO21-'Existing Levels Drone Survey'!AO21</f>
        <v>0</v>
      </c>
      <c r="AP21" s="191">
        <f>'Functional Levels Drone Survey'!AP21-'Existing Levels Drone Survey'!AP21</f>
        <v>0</v>
      </c>
      <c r="AQ21" s="191">
        <f>'Functional Levels Drone Survey'!AQ21-'Existing Levels Drone Survey'!AQ21</f>
        <v>0</v>
      </c>
      <c r="AR21" s="191">
        <f>'Functional Levels Drone Survey'!AR21-'Existing Levels Drone Survey'!AR21</f>
        <v>0</v>
      </c>
      <c r="AS21" s="191">
        <f>'Functional Levels Drone Survey'!AS21-'Existing Levels Drone Survey'!AS21</f>
        <v>0</v>
      </c>
      <c r="AT21" s="191">
        <f>'Functional Levels Drone Survey'!AT21-'Existing Levels Drone Survey'!AT21</f>
        <v>0</v>
      </c>
      <c r="AU21" s="191">
        <f>'Functional Levels Drone Survey'!AU21-'Existing Levels Drone Survey'!AU21</f>
        <v>0</v>
      </c>
      <c r="AV21" s="191">
        <f>'Functional Levels Drone Survey'!AV21-'Existing Levels Drone Survey'!AV21</f>
        <v>0</v>
      </c>
      <c r="AW21" s="191">
        <f>'Functional Levels Drone Survey'!AW21-'Existing Levels Drone Survey'!AW21</f>
        <v>0</v>
      </c>
      <c r="AX21" s="191">
        <f>'Functional Levels Drone Survey'!AX21-'Existing Levels Drone Survey'!AX21</f>
        <v>0</v>
      </c>
      <c r="AY21" s="191">
        <f>'Functional Levels Drone Survey'!AY21-'Existing Levels Drone Survey'!AY21</f>
        <v>0</v>
      </c>
      <c r="AZ21" s="191">
        <f>'Functional Levels Drone Survey'!AZ21-'Existing Levels Drone Survey'!AZ21</f>
        <v>0</v>
      </c>
      <c r="BA21" s="191">
        <f>'Functional Levels Drone Survey'!BA21-'Existing Levels Drone Survey'!BA21</f>
        <v>0</v>
      </c>
      <c r="BB21" s="191">
        <f>'Functional Levels Drone Survey'!BB21-'Existing Levels Drone Survey'!BB21</f>
        <v>0</v>
      </c>
      <c r="BC21" s="191">
        <f>'Functional Levels Drone Survey'!BC21-'Existing Levels Drone Survey'!BC21</f>
        <v>0</v>
      </c>
      <c r="BD21" s="191">
        <f>'Functional Levels Drone Survey'!BD21-'Existing Levels Drone Survey'!BD21</f>
        <v>0</v>
      </c>
      <c r="BE21" s="191">
        <f>'Functional Levels Drone Survey'!BE21-'Existing Levels Drone Survey'!BE21</f>
        <v>0</v>
      </c>
      <c r="BF21" s="191">
        <f>'Functional Levels Drone Survey'!BF21-'Existing Levels Drone Survey'!BF21</f>
        <v>0</v>
      </c>
      <c r="BG21" s="191">
        <f>'Functional Levels Drone Survey'!BG21-'Existing Levels Drone Survey'!BG21</f>
        <v>0</v>
      </c>
      <c r="BH21" s="191">
        <f>'Functional Levels Drone Survey'!BH21-'Existing Levels Drone Survey'!BH21</f>
        <v>0</v>
      </c>
      <c r="BI21" s="191">
        <f>'Functional Levels Drone Survey'!BI21-'Existing Levels Drone Survey'!BI21</f>
        <v>0</v>
      </c>
      <c r="BJ21" s="191">
        <f>'Functional Levels Drone Survey'!BJ21-'Existing Levels Drone Survey'!BJ21</f>
        <v>0</v>
      </c>
      <c r="BK21" s="191">
        <f>'Functional Levels Drone Survey'!BK21-'Existing Levels Drone Survey'!BK21</f>
        <v>0</v>
      </c>
      <c r="BL21" s="191">
        <f>'Functional Levels Drone Survey'!BL21-'Existing Levels Drone Survey'!BL21</f>
        <v>0</v>
      </c>
      <c r="BM21" s="191">
        <f>'Functional Levels Drone Survey'!BM21-'Existing Levels Drone Survey'!BM21</f>
        <v>0</v>
      </c>
      <c r="BN21" s="191">
        <f>'Functional Levels Drone Survey'!BN21-'Existing Levels Drone Survey'!BN21</f>
        <v>0</v>
      </c>
      <c r="BO21" s="191">
        <f>'Functional Levels Drone Survey'!BO21-'Existing Levels Drone Survey'!BO21</f>
        <v>0</v>
      </c>
      <c r="BP21" s="191">
        <f>'Functional Levels Drone Survey'!BP21-'Existing Levels Drone Survey'!BP21</f>
        <v>0</v>
      </c>
      <c r="BQ21" s="191">
        <f>'Functional Levels Drone Survey'!BQ21-'Existing Levels Drone Survey'!BQ21</f>
        <v>0</v>
      </c>
      <c r="BR21" s="191">
        <f>'Functional Levels Drone Survey'!BR21-'Existing Levels Drone Survey'!BR21</f>
        <v>0</v>
      </c>
      <c r="BS21" s="191">
        <f>'Functional Levels Drone Survey'!BS21-'Existing Levels Drone Survey'!BS21</f>
        <v>0</v>
      </c>
      <c r="BT21" s="191">
        <f>'Functional Levels Drone Survey'!BT21-'Existing Levels Drone Survey'!BT21</f>
        <v>0</v>
      </c>
      <c r="BU21" s="191">
        <f>'Functional Levels Drone Survey'!BU21-'Existing Levels Drone Survey'!BU21</f>
        <v>0</v>
      </c>
      <c r="BV21" s="191">
        <f>'Functional Levels Drone Survey'!BV21-'Existing Levels Drone Survey'!BV21</f>
        <v>0</v>
      </c>
      <c r="BW21" s="191">
        <f>'Functional Levels Drone Survey'!BW21-'Existing Levels Drone Survey'!BW21</f>
        <v>0</v>
      </c>
      <c r="BX21" s="191">
        <f>'Functional Levels Drone Survey'!BX21-'Existing Levels Drone Survey'!BX21</f>
        <v>0</v>
      </c>
      <c r="BY21" s="191">
        <f>'Functional Levels Drone Survey'!BY21-'Existing Levels Drone Survey'!BY21</f>
        <v>0</v>
      </c>
      <c r="BZ21" s="191">
        <f>'Functional Levels Drone Survey'!BZ21-'Existing Levels Drone Survey'!BZ21</f>
        <v>0</v>
      </c>
      <c r="CA21" s="191">
        <f>'Functional Levels Drone Survey'!CA21-'Existing Levels Drone Survey'!CA21</f>
        <v>0</v>
      </c>
      <c r="CB21" s="191">
        <f>'Functional Levels Drone Survey'!CB21-'Existing Levels Drone Survey'!CB21</f>
        <v>0</v>
      </c>
      <c r="CC21" s="191">
        <f>'Functional Levels Drone Survey'!CC21-'Existing Levels Drone Survey'!CC21</f>
        <v>0</v>
      </c>
      <c r="CD21" s="191">
        <f>'Functional Levels Drone Survey'!CD21-'Existing Levels Drone Survey'!CD21</f>
        <v>0</v>
      </c>
      <c r="CE21" s="191">
        <f>'Functional Levels Drone Survey'!CE21-'Existing Levels Drone Survey'!CE21</f>
        <v>0</v>
      </c>
      <c r="CF21" s="191">
        <f>'Functional Levels Drone Survey'!CF21-'Existing Levels Drone Survey'!CF21</f>
        <v>0</v>
      </c>
      <c r="CG21" s="191">
        <f>'Functional Levels Drone Survey'!CG21-'Existing Levels Drone Survey'!CG21</f>
        <v>0</v>
      </c>
      <c r="CH21" s="191">
        <f>'Functional Levels Drone Survey'!CH21-'Existing Levels Drone Survey'!CH21</f>
        <v>0</v>
      </c>
      <c r="CI21" s="278">
        <f>'Functional Levels Drone Survey'!CI21-'Existing Levels Drone Survey'!CI21</f>
        <v>-1.0475000000000705</v>
      </c>
      <c r="CJ21" s="191">
        <f>'Functional Levels Drone Survey'!CJ21-'Existing Levels Drone Survey'!CJ21</f>
        <v>-1.2676000000000727</v>
      </c>
      <c r="CK21" s="191">
        <f>'Functional Levels Drone Survey'!CK21-'Existing Levels Drone Survey'!CK21</f>
        <v>-1.0330000000000723</v>
      </c>
      <c r="CL21" s="191">
        <f>'Functional Levels Drone Survey'!CL21-'Existing Levels Drone Survey'!CL21</f>
        <v>-0.58730000000008431</v>
      </c>
      <c r="CM21" s="191">
        <f>'Functional Levels Drone Survey'!CM21-'Existing Levels Drone Survey'!CM21</f>
        <v>-0.78910000000007585</v>
      </c>
      <c r="CN21" s="191">
        <f>'Functional Levels Drone Survey'!CN21-'Existing Levels Drone Survey'!CN21</f>
        <v>-0.73420000000010077</v>
      </c>
      <c r="CO21" s="191">
        <f>'Functional Levels Drone Survey'!CO21-'Existing Levels Drone Survey'!CO21</f>
        <v>-0.72800000000006548</v>
      </c>
      <c r="CP21" s="191">
        <f>'Functional Levels Drone Survey'!CP21-'Existing Levels Drone Survey'!CP21</f>
        <v>-0.79300000000006321</v>
      </c>
      <c r="CQ21" s="191">
        <f>'Functional Levels Drone Survey'!CQ21-'Existing Levels Drone Survey'!CQ21</f>
        <v>-0.73860000000007631</v>
      </c>
      <c r="CR21" s="191">
        <f>'Functional Levels Drone Survey'!CR21-'Existing Levels Drone Survey'!CR21</f>
        <v>-0.60180000000008249</v>
      </c>
      <c r="CS21" s="191">
        <f>'Functional Levels Drone Survey'!CS21-'Existing Levels Drone Survey'!CS21</f>
        <v>-1.0130000000000905</v>
      </c>
      <c r="CT21" s="278">
        <f>'Functional Levels Drone Survey'!CT21-'Existing Levels Drone Survey'!CT21</f>
        <v>0</v>
      </c>
      <c r="CU21" s="191">
        <f>'Functional Levels Drone Survey'!CU21-'Existing Levels Drone Survey'!CU21</f>
        <v>0</v>
      </c>
      <c r="CV21" s="191">
        <f>'Functional Levels Drone Survey'!CV21-'Existing Levels Drone Survey'!CV21</f>
        <v>0</v>
      </c>
      <c r="CW21" s="191">
        <f>'Functional Levels Drone Survey'!CW21-'Existing Levels Drone Survey'!CW21</f>
        <v>0</v>
      </c>
      <c r="CX21" s="191">
        <f>'Functional Levels Drone Survey'!CX21-'Existing Levels Drone Survey'!CX21</f>
        <v>0</v>
      </c>
      <c r="CY21" s="191">
        <f>'Functional Levels Drone Survey'!CY21-'Existing Levels Drone Survey'!CY21</f>
        <v>0</v>
      </c>
      <c r="CZ21" s="191">
        <f>'Functional Levels Drone Survey'!CZ21-'Existing Levels Drone Survey'!CZ21</f>
        <v>0</v>
      </c>
      <c r="DA21" s="191">
        <f>'Functional Levels Drone Survey'!DA21-'Existing Levels Drone Survey'!DA21</f>
        <v>0</v>
      </c>
      <c r="DB21" s="278">
        <f>'Functional Levels Drone Survey'!DB21-'Existing Levels Drone Survey'!DB21</f>
        <v>-0.67670000000009622</v>
      </c>
      <c r="DC21" s="191">
        <f>'Functional Levels Drone Survey'!DC21-'Existing Levels Drone Survey'!DC21</f>
        <v>-0.87780000000009295</v>
      </c>
      <c r="DD21" s="191">
        <f>'Functional Levels Drone Survey'!DD21-'Existing Levels Drone Survey'!DD21</f>
        <v>-0.80960000000010268</v>
      </c>
      <c r="DE21" s="191">
        <f>'Functional Levels Drone Survey'!DE21-'Existing Levels Drone Survey'!DE21</f>
        <v>-0.93060000000008358</v>
      </c>
      <c r="DF21" s="191">
        <f>'Functional Levels Drone Survey'!DF21-'Existing Levels Drone Survey'!DF21</f>
        <v>-0.91850000000005139</v>
      </c>
      <c r="DG21" s="191">
        <f>'Functional Levels Drone Survey'!DG21-'Existing Levels Drone Survey'!DG21</f>
        <v>-0.84520000000009077</v>
      </c>
      <c r="DH21" s="191">
        <f>'Functional Levels Drone Survey'!DH21-'Existing Levels Drone Survey'!DH21</f>
        <v>-0.82640000000009195</v>
      </c>
      <c r="DI21" s="191">
        <f>'Functional Levels Drone Survey'!DI21-'Existing Levels Drone Survey'!DI21</f>
        <v>-0.75650000000007367</v>
      </c>
      <c r="DJ21" s="279">
        <f>'Functional Levels Drone Survey'!DJ21-'Existing Levels Drone Survey'!DJ21</f>
        <v>-0.87747777777781266</v>
      </c>
      <c r="DK21" s="279">
        <f>'Functional Levels Drone Survey'!DK21-'Existing Levels Drone Survey'!DK21</f>
        <v>-0.74327777777784831</v>
      </c>
      <c r="DL21" s="279">
        <f>'Functional Levels Drone Survey'!DL21-'Existing Levels Drone Survey'!DL21</f>
        <v>-0.80987777777784231</v>
      </c>
      <c r="DM21" s="279">
        <f>'Functional Levels Drone Survey'!DM21-'Existing Levels Drone Survey'!DM21</f>
        <v>-0.78977777777782876</v>
      </c>
      <c r="DN21" s="279">
        <f>'Functional Levels Drone Survey'!DN21-'Existing Levels Drone Survey'!DN21</f>
        <v>-0.74727777777781057</v>
      </c>
      <c r="DO21" s="279">
        <f>'Functional Levels Drone Survey'!DO21-'Existing Levels Drone Survey'!DO21</f>
        <v>-0.73567777777782339</v>
      </c>
      <c r="DP21" s="279">
        <f>'Functional Levels Drone Survey'!DP21-'Existing Levels Drone Survey'!DP21</f>
        <v>-0.7082777777778233</v>
      </c>
      <c r="DQ21" s="279">
        <f>'Functional Levels Drone Survey'!DQ21-'Existing Levels Drone Survey'!DQ21</f>
        <v>-0.63917777777783158</v>
      </c>
      <c r="DR21" s="279">
        <f>'Functional Levels Drone Survey'!DR21-'Existing Levels Drone Survey'!DR21</f>
        <v>-0.48097777777780948</v>
      </c>
      <c r="DS21" s="279">
        <f>'Functional Levels Drone Survey'!DS21-'Existing Levels Drone Survey'!DS21</f>
        <v>-0.17117777777781384</v>
      </c>
      <c r="DT21" s="279">
        <f>'Functional Levels Drone Survey'!DT21-'Existing Levels Drone Survey'!DT21</f>
        <v>-0.19087777777781412</v>
      </c>
      <c r="DU21" s="279">
        <f>'Functional Levels Drone Survey'!DU21-'Existing Levels Drone Survey'!DU21</f>
        <v>-0.20897777777781812</v>
      </c>
      <c r="DV21" s="279">
        <f>'Functional Levels Drone Survey'!DV21-'Existing Levels Drone Survey'!DV21</f>
        <v>-0.5622777777778083</v>
      </c>
      <c r="DW21" s="279">
        <f>'Functional Levels Drone Survey'!DW21-'Existing Levels Drone Survey'!DW21</f>
        <v>-0.2900777777778103</v>
      </c>
      <c r="DX21" s="279">
        <f>'Functional Levels Drone Survey'!DX21-'Existing Levels Drone Survey'!DX21</f>
        <v>-0.47517777777784431</v>
      </c>
      <c r="DY21" s="279">
        <f>'Functional Levels Drone Survey'!DY21-'Existing Levels Drone Survey'!DY21</f>
        <v>-0.31497777777781266</v>
      </c>
      <c r="DZ21" s="279">
        <f>'Functional Levels Drone Survey'!DZ21-'Existing Levels Drone Survey'!DZ21</f>
        <v>-0.3635777777778344</v>
      </c>
      <c r="EA21" s="279">
        <f>'Functional Levels Drone Survey'!EA21-'Existing Levels Drone Survey'!EA21</f>
        <v>-0.40597777777782085</v>
      </c>
      <c r="EB21" s="191">
        <f>'Functional Levels Drone Survey'!EB21-'Existing Levels Drone Survey'!EB21</f>
        <v>-0.51353684210539541</v>
      </c>
      <c r="EC21" s="279">
        <f>'Functional Levels Drone Survey'!EC21-'Existing Levels Drone Survey'!EC21</f>
        <v>-0.45073684210535703</v>
      </c>
      <c r="ED21" s="279">
        <f>'Functional Levels Drone Survey'!ED21-'Existing Levels Drone Survey'!ED21</f>
        <v>-0.49283684210536194</v>
      </c>
      <c r="EE21" s="279">
        <f>'Functional Levels Drone Survey'!EE21-'Existing Levels Drone Survey'!EE21</f>
        <v>-0.51993684210538049</v>
      </c>
      <c r="EF21" s="279">
        <f>'Functional Levels Drone Survey'!EF21-'Existing Levels Drone Survey'!EF21</f>
        <v>-0.42433684210539013</v>
      </c>
      <c r="EG21" s="279">
        <f>'Functional Levels Drone Survey'!EG21-'Existing Levels Drone Survey'!EG21</f>
        <v>-0.41513684210536894</v>
      </c>
      <c r="EH21" s="279">
        <f>'Functional Levels Drone Survey'!EH21-'Existing Levels Drone Survey'!EH21</f>
        <v>-0.30283684210536421</v>
      </c>
      <c r="EI21" s="279">
        <f>'Functional Levels Drone Survey'!EI21-'Existing Levels Drone Survey'!EI21</f>
        <v>-0.3343368421053583</v>
      </c>
      <c r="EJ21" s="279">
        <f>'Functional Levels Drone Survey'!EJ21-'Existing Levels Drone Survey'!EJ21</f>
        <v>5.9663157894647156E-2</v>
      </c>
      <c r="EK21" s="279">
        <f>'Functional Levels Drone Survey'!EK21-'Existing Levels Drone Survey'!EK21</f>
        <v>-0.24653684210534266</v>
      </c>
      <c r="EL21" s="279">
        <f>'Functional Levels Drone Survey'!EL21-'Existing Levels Drone Survey'!EL21</f>
        <v>-9.4736842105362484E-2</v>
      </c>
      <c r="EM21" s="279">
        <f>'Functional Levels Drone Survey'!EM21-'Existing Levels Drone Survey'!EM21</f>
        <v>-0.14853684210538631</v>
      </c>
      <c r="EN21" s="279">
        <f>'Functional Levels Drone Survey'!EN21-'Existing Levels Drone Survey'!EN21</f>
        <v>-0.23813684210534802</v>
      </c>
      <c r="EO21" s="279">
        <f>'Functional Levels Drone Survey'!EO21-'Existing Levels Drone Survey'!EO21</f>
        <v>-0.14593684210535685</v>
      </c>
      <c r="EP21" s="279">
        <f>'Functional Levels Drone Survey'!EP21-'Existing Levels Drone Survey'!EP21</f>
        <v>0.15886315789464334</v>
      </c>
      <c r="EQ21" s="279">
        <f>'Functional Levels Drone Survey'!EQ21-'Existing Levels Drone Survey'!EQ21</f>
        <v>0.16486315789461514</v>
      </c>
      <c r="ER21" s="191">
        <f>'Functional Levels Drone Survey'!ER21-'Existing Levels Drone Survey'!ER21</f>
        <v>8.6099999999873944E-2</v>
      </c>
      <c r="ES21" s="191">
        <f>'Functional Levels Drone Survey'!ES21-'Existing Levels Drone Survey'!ES21</f>
        <v>5.4899999999861393E-2</v>
      </c>
      <c r="ET21" s="191">
        <f>'Functional Levels Drone Survey'!ET21-'Existing Levels Drone Survey'!ET21</f>
        <v>3.5099999999886222E-2</v>
      </c>
      <c r="EU21" s="191">
        <f>'Functional Levels Drone Survey'!EU21-'Existing Levels Drone Survey'!EU21</f>
        <v>-0.44860000000011269</v>
      </c>
      <c r="EV21" s="278">
        <f>'Functional Levels Drone Survey'!EV21-'Existing Levels Drone Survey'!EV21</f>
        <v>0.82469999999989341</v>
      </c>
      <c r="EW21" s="278">
        <f>'Functional Levels Drone Survey'!EW21-'Existing Levels Drone Survey'!EW21</f>
        <v>0.2662999999998874</v>
      </c>
      <c r="EX21" s="191">
        <f>'Functional Levels Drone Survey'!EX21-'Existing Levels Drone Survey'!EX21</f>
        <v>0</v>
      </c>
      <c r="EY21" s="191">
        <f>'Functional Levels Drone Survey'!EY21-'Existing Levels Drone Survey'!EY21</f>
        <v>0</v>
      </c>
    </row>
    <row r="22" spans="1:155" ht="45" customHeight="1" x14ac:dyDescent="0.45">
      <c r="A22" s="277">
        <v>105</v>
      </c>
      <c r="B22" s="191">
        <f>'Functional Levels Drone Survey'!B22-'Existing Levels Drone Survey'!B22</f>
        <v>0</v>
      </c>
      <c r="C22" s="191">
        <f>'Functional Levels Drone Survey'!C22-'Existing Levels Drone Survey'!C22</f>
        <v>0</v>
      </c>
      <c r="D22" s="191">
        <f>'Functional Levels Drone Survey'!D22-'Existing Levels Drone Survey'!D22</f>
        <v>0</v>
      </c>
      <c r="E22" s="191">
        <f>'Functional Levels Drone Survey'!E22-'Existing Levels Drone Survey'!E22</f>
        <v>0</v>
      </c>
      <c r="F22" s="191">
        <f>'Functional Levels Drone Survey'!F22-'Existing Levels Drone Survey'!F22</f>
        <v>0</v>
      </c>
      <c r="G22" s="191">
        <f>'Functional Levels Drone Survey'!G22-'Existing Levels Drone Survey'!G22</f>
        <v>0</v>
      </c>
      <c r="H22" s="191">
        <f>'Functional Levels Drone Survey'!H22-'Existing Levels Drone Survey'!H22</f>
        <v>0</v>
      </c>
      <c r="I22" s="191">
        <f>'Functional Levels Drone Survey'!I22-'Existing Levels Drone Survey'!I22</f>
        <v>0</v>
      </c>
      <c r="J22" s="191">
        <f>'Functional Levels Drone Survey'!J22-'Existing Levels Drone Survey'!J22</f>
        <v>0</v>
      </c>
      <c r="K22" s="191">
        <f>'Functional Levels Drone Survey'!K22-'Existing Levels Drone Survey'!K22</f>
        <v>0</v>
      </c>
      <c r="L22" s="191">
        <f>'Functional Levels Drone Survey'!L22-'Existing Levels Drone Survey'!L22</f>
        <v>0</v>
      </c>
      <c r="M22" s="191">
        <f>'Functional Levels Drone Survey'!M22-'Existing Levels Drone Survey'!M22</f>
        <v>0</v>
      </c>
      <c r="N22" s="191">
        <f>'Functional Levels Drone Survey'!N22-'Existing Levels Drone Survey'!N22</f>
        <v>0</v>
      </c>
      <c r="O22" s="191">
        <f>'Functional Levels Drone Survey'!O22-'Existing Levels Drone Survey'!O22</f>
        <v>0</v>
      </c>
      <c r="P22" s="191">
        <f>'Functional Levels Drone Survey'!P22-'Existing Levels Drone Survey'!P22</f>
        <v>0</v>
      </c>
      <c r="Q22" s="191">
        <f>'Functional Levels Drone Survey'!Q22-'Existing Levels Drone Survey'!Q22</f>
        <v>0</v>
      </c>
      <c r="R22" s="191">
        <f>'Functional Levels Drone Survey'!R22-'Existing Levels Drone Survey'!R22</f>
        <v>0</v>
      </c>
      <c r="S22" s="191">
        <f>'Functional Levels Drone Survey'!S22-'Existing Levels Drone Survey'!S22</f>
        <v>0</v>
      </c>
      <c r="T22" s="191">
        <f>'Functional Levels Drone Survey'!T22-'Existing Levels Drone Survey'!T22</f>
        <v>0</v>
      </c>
      <c r="U22" s="191">
        <f>'Functional Levels Drone Survey'!U22-'Existing Levels Drone Survey'!U22</f>
        <v>0</v>
      </c>
      <c r="V22" s="191">
        <f>'Functional Levels Drone Survey'!V22-'Existing Levels Drone Survey'!V22</f>
        <v>0</v>
      </c>
      <c r="W22" s="191">
        <f>'Functional Levels Drone Survey'!W22-'Existing Levels Drone Survey'!W22</f>
        <v>0</v>
      </c>
      <c r="X22" s="191">
        <f>'Functional Levels Drone Survey'!X22-'Existing Levels Drone Survey'!X22</f>
        <v>0</v>
      </c>
      <c r="Y22" s="191">
        <f>'Functional Levels Drone Survey'!Y22-'Existing Levels Drone Survey'!Y22</f>
        <v>0</v>
      </c>
      <c r="Z22" s="191">
        <f>'Functional Levels Drone Survey'!Z22-'Existing Levels Drone Survey'!Z22</f>
        <v>0</v>
      </c>
      <c r="AA22" s="191">
        <f>'Functional Levels Drone Survey'!AA22-'Existing Levels Drone Survey'!AA22</f>
        <v>0</v>
      </c>
      <c r="AB22" s="191">
        <f>'Functional Levels Drone Survey'!AB22-'Existing Levels Drone Survey'!AB22</f>
        <v>0</v>
      </c>
      <c r="AC22" s="191">
        <f>'Functional Levels Drone Survey'!AC22-'Existing Levels Drone Survey'!AC22</f>
        <v>0</v>
      </c>
      <c r="AD22" s="191">
        <f>'Functional Levels Drone Survey'!AD22-'Existing Levels Drone Survey'!AD22</f>
        <v>0</v>
      </c>
      <c r="AE22" s="191">
        <f>'Functional Levels Drone Survey'!AE22-'Existing Levels Drone Survey'!AE22</f>
        <v>0</v>
      </c>
      <c r="AF22" s="191">
        <f>'Functional Levels Drone Survey'!AF22-'Existing Levels Drone Survey'!AF22</f>
        <v>0</v>
      </c>
      <c r="AG22" s="191">
        <f>'Functional Levels Drone Survey'!AG22-'Existing Levels Drone Survey'!AG22</f>
        <v>0</v>
      </c>
      <c r="AH22" s="191">
        <f>'Functional Levels Drone Survey'!AH22-'Existing Levels Drone Survey'!AH22</f>
        <v>0</v>
      </c>
      <c r="AI22" s="191">
        <f>'Functional Levels Drone Survey'!AI22-'Existing Levels Drone Survey'!AI22</f>
        <v>0</v>
      </c>
      <c r="AJ22" s="191">
        <f>'Functional Levels Drone Survey'!AJ22-'Existing Levels Drone Survey'!AJ22</f>
        <v>0</v>
      </c>
      <c r="AK22" s="191">
        <f>'Functional Levels Drone Survey'!AK22-'Existing Levels Drone Survey'!AK22</f>
        <v>0</v>
      </c>
      <c r="AL22" s="191">
        <f>'Functional Levels Drone Survey'!AL22-'Existing Levels Drone Survey'!AL22</f>
        <v>0</v>
      </c>
      <c r="AM22" s="191">
        <f>'Functional Levels Drone Survey'!AM22-'Existing Levels Drone Survey'!AM22</f>
        <v>0</v>
      </c>
      <c r="AN22" s="191">
        <f>'Functional Levels Drone Survey'!AN22-'Existing Levels Drone Survey'!AN22</f>
        <v>0</v>
      </c>
      <c r="AO22" s="191">
        <f>'Functional Levels Drone Survey'!AO22-'Existing Levels Drone Survey'!AO22</f>
        <v>0</v>
      </c>
      <c r="AP22" s="191">
        <f>'Functional Levels Drone Survey'!AP22-'Existing Levels Drone Survey'!AP22</f>
        <v>0</v>
      </c>
      <c r="AQ22" s="191">
        <f>'Functional Levels Drone Survey'!AQ22-'Existing Levels Drone Survey'!AQ22</f>
        <v>0</v>
      </c>
      <c r="AR22" s="191">
        <f>'Functional Levels Drone Survey'!AR22-'Existing Levels Drone Survey'!AR22</f>
        <v>0</v>
      </c>
      <c r="AS22" s="191">
        <f>'Functional Levels Drone Survey'!AS22-'Existing Levels Drone Survey'!AS22</f>
        <v>0</v>
      </c>
      <c r="AT22" s="191">
        <f>'Functional Levels Drone Survey'!AT22-'Existing Levels Drone Survey'!AT22</f>
        <v>0</v>
      </c>
      <c r="AU22" s="191">
        <f>'Functional Levels Drone Survey'!AU22-'Existing Levels Drone Survey'!AU22</f>
        <v>0</v>
      </c>
      <c r="AV22" s="191">
        <f>'Functional Levels Drone Survey'!AV22-'Existing Levels Drone Survey'!AV22</f>
        <v>0</v>
      </c>
      <c r="AW22" s="191">
        <f>'Functional Levels Drone Survey'!AW22-'Existing Levels Drone Survey'!AW22</f>
        <v>0</v>
      </c>
      <c r="AX22" s="191">
        <f>'Functional Levels Drone Survey'!AX22-'Existing Levels Drone Survey'!AX22</f>
        <v>0</v>
      </c>
      <c r="AY22" s="191">
        <f>'Functional Levels Drone Survey'!AY22-'Existing Levels Drone Survey'!AY22</f>
        <v>0</v>
      </c>
      <c r="AZ22" s="191">
        <f>'Functional Levels Drone Survey'!AZ22-'Existing Levels Drone Survey'!AZ22</f>
        <v>0</v>
      </c>
      <c r="BA22" s="191">
        <f>'Functional Levels Drone Survey'!BA22-'Existing Levels Drone Survey'!BA22</f>
        <v>0</v>
      </c>
      <c r="BB22" s="191">
        <f>'Functional Levels Drone Survey'!BB22-'Existing Levels Drone Survey'!BB22</f>
        <v>0</v>
      </c>
      <c r="BC22" s="191">
        <f>'Functional Levels Drone Survey'!BC22-'Existing Levels Drone Survey'!BC22</f>
        <v>0</v>
      </c>
      <c r="BD22" s="191">
        <f>'Functional Levels Drone Survey'!BD22-'Existing Levels Drone Survey'!BD22</f>
        <v>0</v>
      </c>
      <c r="BE22" s="191">
        <f>'Functional Levels Drone Survey'!BE22-'Existing Levels Drone Survey'!BE22</f>
        <v>0</v>
      </c>
      <c r="BF22" s="191">
        <f>'Functional Levels Drone Survey'!BF22-'Existing Levels Drone Survey'!BF22</f>
        <v>0</v>
      </c>
      <c r="BG22" s="191">
        <f>'Functional Levels Drone Survey'!BG22-'Existing Levels Drone Survey'!BG22</f>
        <v>0</v>
      </c>
      <c r="BH22" s="191">
        <f>'Functional Levels Drone Survey'!BH22-'Existing Levels Drone Survey'!BH22</f>
        <v>0</v>
      </c>
      <c r="BI22" s="191">
        <f>'Functional Levels Drone Survey'!BI22-'Existing Levels Drone Survey'!BI22</f>
        <v>0</v>
      </c>
      <c r="BJ22" s="191">
        <f>'Functional Levels Drone Survey'!BJ22-'Existing Levels Drone Survey'!BJ22</f>
        <v>0</v>
      </c>
      <c r="BK22" s="191">
        <f>'Functional Levels Drone Survey'!BK22-'Existing Levels Drone Survey'!BK22</f>
        <v>0</v>
      </c>
      <c r="BL22" s="191">
        <f>'Functional Levels Drone Survey'!BL22-'Existing Levels Drone Survey'!BL22</f>
        <v>0</v>
      </c>
      <c r="BM22" s="191">
        <f>'Functional Levels Drone Survey'!BM22-'Existing Levels Drone Survey'!BM22</f>
        <v>0</v>
      </c>
      <c r="BN22" s="191">
        <f>'Functional Levels Drone Survey'!BN22-'Existing Levels Drone Survey'!BN22</f>
        <v>0</v>
      </c>
      <c r="BO22" s="191">
        <f>'Functional Levels Drone Survey'!BO22-'Existing Levels Drone Survey'!BO22</f>
        <v>0</v>
      </c>
      <c r="BP22" s="191">
        <f>'Functional Levels Drone Survey'!BP22-'Existing Levels Drone Survey'!BP22</f>
        <v>0</v>
      </c>
      <c r="BQ22" s="191">
        <f>'Functional Levels Drone Survey'!BQ22-'Existing Levels Drone Survey'!BQ22</f>
        <v>0</v>
      </c>
      <c r="BR22" s="191">
        <f>'Functional Levels Drone Survey'!BR22-'Existing Levels Drone Survey'!BR22</f>
        <v>0</v>
      </c>
      <c r="BS22" s="191">
        <f>'Functional Levels Drone Survey'!BS22-'Existing Levels Drone Survey'!BS22</f>
        <v>0</v>
      </c>
      <c r="BT22" s="191">
        <f>'Functional Levels Drone Survey'!BT22-'Existing Levels Drone Survey'!BT22</f>
        <v>0</v>
      </c>
      <c r="BU22" s="191">
        <f>'Functional Levels Drone Survey'!BU22-'Existing Levels Drone Survey'!BU22</f>
        <v>0</v>
      </c>
      <c r="BV22" s="191">
        <f>'Functional Levels Drone Survey'!BV22-'Existing Levels Drone Survey'!BV22</f>
        <v>0</v>
      </c>
      <c r="BW22" s="191">
        <f>'Functional Levels Drone Survey'!BW22-'Existing Levels Drone Survey'!BW22</f>
        <v>0</v>
      </c>
      <c r="BX22" s="191">
        <f>'Functional Levels Drone Survey'!BX22-'Existing Levels Drone Survey'!BX22</f>
        <v>0</v>
      </c>
      <c r="BY22" s="191">
        <f>'Functional Levels Drone Survey'!BY22-'Existing Levels Drone Survey'!BY22</f>
        <v>0</v>
      </c>
      <c r="BZ22" s="191">
        <f>'Functional Levels Drone Survey'!BZ22-'Existing Levels Drone Survey'!BZ22</f>
        <v>0</v>
      </c>
      <c r="CA22" s="191">
        <f>'Functional Levels Drone Survey'!CA22-'Existing Levels Drone Survey'!CA22</f>
        <v>0</v>
      </c>
      <c r="CB22" s="191">
        <f>'Functional Levels Drone Survey'!CB22-'Existing Levels Drone Survey'!CB22</f>
        <v>0</v>
      </c>
      <c r="CC22" s="191">
        <f>'Functional Levels Drone Survey'!CC22-'Existing Levels Drone Survey'!CC22</f>
        <v>0</v>
      </c>
      <c r="CD22" s="191">
        <f>'Functional Levels Drone Survey'!CD22-'Existing Levels Drone Survey'!CD22</f>
        <v>0</v>
      </c>
      <c r="CE22" s="191">
        <f>'Functional Levels Drone Survey'!CE22-'Existing Levels Drone Survey'!CE22</f>
        <v>0</v>
      </c>
      <c r="CF22" s="191">
        <f>'Functional Levels Drone Survey'!CF22-'Existing Levels Drone Survey'!CF22</f>
        <v>0</v>
      </c>
      <c r="CG22" s="278">
        <f>'Functional Levels Drone Survey'!CG22-'Existing Levels Drone Survey'!CG22</f>
        <v>0</v>
      </c>
      <c r="CH22" s="278">
        <f>'Functional Levels Drone Survey'!CH22-'Existing Levels Drone Survey'!CH22</f>
        <v>-0.70570000000009259</v>
      </c>
      <c r="CI22" s="191">
        <f>'Functional Levels Drone Survey'!CI22-'Existing Levels Drone Survey'!CI22</f>
        <v>-1.595600000000104</v>
      </c>
      <c r="CJ22" s="191">
        <f>'Functional Levels Drone Survey'!CJ22-'Existing Levels Drone Survey'!CJ22</f>
        <v>-1.1333000000000766</v>
      </c>
      <c r="CK22" s="191">
        <f>'Functional Levels Drone Survey'!CK22-'Existing Levels Drone Survey'!CK22</f>
        <v>-0.82310000000006767</v>
      </c>
      <c r="CL22" s="191">
        <f>'Functional Levels Drone Survey'!CL22-'Existing Levels Drone Survey'!CL22</f>
        <v>-0.79720000000008895</v>
      </c>
      <c r="CM22" s="191">
        <f>'Functional Levels Drone Survey'!CM22-'Existing Levels Drone Survey'!CM22</f>
        <v>-0.77530000000007249</v>
      </c>
      <c r="CN22" s="191">
        <f>'Functional Levels Drone Survey'!CN22-'Existing Levels Drone Survey'!CN22</f>
        <v>-0.75110000000006494</v>
      </c>
      <c r="CO22" s="191">
        <f>'Functional Levels Drone Survey'!CO22-'Existing Levels Drone Survey'!CO22</f>
        <v>-0.72800000000006548</v>
      </c>
      <c r="CP22" s="191">
        <f>'Functional Levels Drone Survey'!CP22-'Existing Levels Drone Survey'!CP22</f>
        <v>-0.9302000000000703</v>
      </c>
      <c r="CQ22" s="191">
        <f>'Functional Levels Drone Survey'!CQ22-'Existing Levels Drone Survey'!CQ22</f>
        <v>-0.79730000000006385</v>
      </c>
      <c r="CR22" s="191">
        <f>'Functional Levels Drone Survey'!CR22-'Existing Levels Drone Survey'!CR22</f>
        <v>-0.72550000000006776</v>
      </c>
      <c r="CS22" s="278">
        <f>'Functional Levels Drone Survey'!CS22-'Existing Levels Drone Survey'!CS22</f>
        <v>-0.66550000000006548</v>
      </c>
      <c r="CT22" s="191">
        <f>'Functional Levels Drone Survey'!CT22-'Existing Levels Drone Survey'!CT22</f>
        <v>0</v>
      </c>
      <c r="CU22" s="191">
        <f>'Functional Levels Drone Survey'!CU22-'Existing Levels Drone Survey'!CU22</f>
        <v>0</v>
      </c>
      <c r="CV22" s="191">
        <f>'Functional Levels Drone Survey'!CV22-'Existing Levels Drone Survey'!CV22</f>
        <v>0</v>
      </c>
      <c r="CW22" s="191">
        <f>'Functional Levels Drone Survey'!CW22-'Existing Levels Drone Survey'!CW22</f>
        <v>0</v>
      </c>
      <c r="CX22" s="191">
        <f>'Functional Levels Drone Survey'!CX22-'Existing Levels Drone Survey'!CX22</f>
        <v>0</v>
      </c>
      <c r="CY22" s="191">
        <f>'Functional Levels Drone Survey'!CY22-'Existing Levels Drone Survey'!CY22</f>
        <v>0</v>
      </c>
      <c r="CZ22" s="191">
        <f>'Functional Levels Drone Survey'!CZ22-'Existing Levels Drone Survey'!CZ22</f>
        <v>0</v>
      </c>
      <c r="DA22" s="191">
        <f>'Functional Levels Drone Survey'!DA22-'Existing Levels Drone Survey'!DA22</f>
        <v>0</v>
      </c>
      <c r="DB22" s="278">
        <f>'Functional Levels Drone Survey'!DB22-'Existing Levels Drone Survey'!DB22</f>
        <v>-0.61910000000005994</v>
      </c>
      <c r="DC22" s="191">
        <f>'Functional Levels Drone Survey'!DC22-'Existing Levels Drone Survey'!DC22</f>
        <v>-0.74850000000009231</v>
      </c>
      <c r="DD22" s="191">
        <f>'Functional Levels Drone Survey'!DD22-'Existing Levels Drone Survey'!DD22</f>
        <v>-0.80140000000005784</v>
      </c>
      <c r="DE22" s="191">
        <f>'Functional Levels Drone Survey'!DE22-'Existing Levels Drone Survey'!DE22</f>
        <v>-0.85430000000008022</v>
      </c>
      <c r="DF22" s="191">
        <f>'Functional Levels Drone Survey'!DF22-'Existing Levels Drone Survey'!DF22</f>
        <v>-0.82070000000010168</v>
      </c>
      <c r="DG22" s="191">
        <f>'Functional Levels Drone Survey'!DG22-'Existing Levels Drone Survey'!DG22</f>
        <v>-0.77730000000008204</v>
      </c>
      <c r="DH22" s="191">
        <f>'Functional Levels Drone Survey'!DH22-'Existing Levels Drone Survey'!DH22</f>
        <v>-0.8728000000000975</v>
      </c>
      <c r="DI22" s="191">
        <f>'Functional Levels Drone Survey'!DI22-'Existing Levels Drone Survey'!DI22</f>
        <v>-0.78060000000004948</v>
      </c>
      <c r="DJ22" s="279">
        <f>'Functional Levels Drone Survey'!DJ22-'Existing Levels Drone Survey'!DJ22</f>
        <v>-0.6135777777778344</v>
      </c>
      <c r="DK22" s="191">
        <f>'Functional Levels Drone Survey'!DK22-'Existing Levels Drone Survey'!DK22</f>
        <v>-0.61317777777782112</v>
      </c>
      <c r="DL22" s="191">
        <f>'Functional Levels Drone Survey'!DL22-'Existing Levels Drone Survey'!DL22</f>
        <v>-0.70927777777779966</v>
      </c>
      <c r="DM22" s="191">
        <f>'Functional Levels Drone Survey'!DM22-'Existing Levels Drone Survey'!DM22</f>
        <v>-0.74127777777783876</v>
      </c>
      <c r="DN22" s="191">
        <f>'Functional Levels Drone Survey'!DN22-'Existing Levels Drone Survey'!DN22</f>
        <v>-0.6096777777777902</v>
      </c>
      <c r="DO22" s="191">
        <f>'Functional Levels Drone Survey'!DO22-'Existing Levels Drone Survey'!DO22</f>
        <v>-0.65657777777784077</v>
      </c>
      <c r="DP22" s="191">
        <f>'Functional Levels Drone Survey'!DP22-'Existing Levels Drone Survey'!DP22</f>
        <v>-0.63857777777781166</v>
      </c>
      <c r="DQ22" s="191">
        <f>'Functional Levels Drone Survey'!DQ22-'Existing Levels Drone Survey'!DQ22</f>
        <v>-0.5360777777777912</v>
      </c>
      <c r="DR22" s="191">
        <f>'Functional Levels Drone Survey'!DR22-'Existing Levels Drone Survey'!DR22</f>
        <v>-0.5319777777777972</v>
      </c>
      <c r="DS22" s="191">
        <f>'Functional Levels Drone Survey'!DS22-'Existing Levels Drone Survey'!DS22</f>
        <v>-0.3775777777778444</v>
      </c>
      <c r="DT22" s="191">
        <f>'Functional Levels Drone Survey'!DT22-'Existing Levels Drone Survey'!DT22</f>
        <v>-0.45277777777783967</v>
      </c>
      <c r="DU22" s="191">
        <f>'Functional Levels Drone Survey'!DU22-'Existing Levels Drone Survey'!DU22</f>
        <v>-0.48887777777781594</v>
      </c>
      <c r="DV22" s="191">
        <f>'Functional Levels Drone Survey'!DV22-'Existing Levels Drone Survey'!DV22</f>
        <v>-0.31797777777779856</v>
      </c>
      <c r="DW22" s="191">
        <f>'Functional Levels Drone Survey'!DW22-'Existing Levels Drone Survey'!DW22</f>
        <v>6.2722222222191704E-2</v>
      </c>
      <c r="DX22" s="191">
        <f>'Functional Levels Drone Survey'!DX22-'Existing Levels Drone Survey'!DX22</f>
        <v>-0.44057777777783258</v>
      </c>
      <c r="DY22" s="191">
        <f>'Functional Levels Drone Survey'!DY22-'Existing Levels Drone Survey'!DY22</f>
        <v>-0.22477777777783103</v>
      </c>
      <c r="DZ22" s="191">
        <f>'Functional Levels Drone Survey'!DZ22-'Existing Levels Drone Survey'!DZ22</f>
        <v>-0.19977777777779693</v>
      </c>
      <c r="EA22" s="279">
        <f>'Functional Levels Drone Survey'!EA22-'Existing Levels Drone Survey'!EA22</f>
        <v>-0.29847777777780493</v>
      </c>
      <c r="EB22" s="191">
        <f>'Functional Levels Drone Survey'!EB22-'Existing Levels Drone Survey'!EB22</f>
        <v>-0.38003684210536903</v>
      </c>
      <c r="EC22" s="279">
        <f>'Functional Levels Drone Survey'!EC22-'Existing Levels Drone Survey'!EC22</f>
        <v>-0.13183684210537194</v>
      </c>
      <c r="ED22" s="191">
        <f>'Functional Levels Drone Survey'!ED22-'Existing Levels Drone Survey'!ED22</f>
        <v>-0.38263684210534166</v>
      </c>
      <c r="EE22" s="191">
        <f>'Functional Levels Drone Survey'!EE22-'Existing Levels Drone Survey'!EE22</f>
        <v>-0.41513684210536894</v>
      </c>
      <c r="EF22" s="191">
        <f>'Functional Levels Drone Survey'!EF22-'Existing Levels Drone Survey'!EF22</f>
        <v>-0.20313684210537986</v>
      </c>
      <c r="EG22" s="191">
        <f>'Functional Levels Drone Survey'!EG22-'Existing Levels Drone Survey'!EG22</f>
        <v>-0.38673684210533565</v>
      </c>
      <c r="EH22" s="191">
        <f>'Functional Levels Drone Survey'!EH22-'Existing Levels Drone Survey'!EH22</f>
        <v>-0.13053684210535721</v>
      </c>
      <c r="EI22" s="191">
        <f>'Functional Levels Drone Survey'!EI22-'Existing Levels Drone Survey'!EI22</f>
        <v>-9.8336842105368305E-2</v>
      </c>
      <c r="EJ22" s="191">
        <f>'Functional Levels Drone Survey'!EJ22-'Existing Levels Drone Survey'!EJ22</f>
        <v>1.6163157894652613E-2</v>
      </c>
      <c r="EK22" s="191">
        <f>'Functional Levels Drone Survey'!EK22-'Existing Levels Drone Survey'!EK22</f>
        <v>7.9063157894665892E-2</v>
      </c>
      <c r="EL22" s="191">
        <f>'Functional Levels Drone Survey'!EL22-'Existing Levels Drone Survey'!EL22</f>
        <v>0.20396315789463415</v>
      </c>
      <c r="EM22" s="191">
        <f>'Functional Levels Drone Survey'!EM22-'Existing Levels Drone Survey'!EM22</f>
        <v>5.6463157894654614E-2</v>
      </c>
      <c r="EN22" s="191">
        <f>'Functional Levels Drone Survey'!EN22-'Existing Levels Drone Survey'!EN22</f>
        <v>-1.3936842105351843E-2</v>
      </c>
      <c r="EO22" s="191">
        <f>'Functional Levels Drone Survey'!EO22-'Existing Levels Drone Survey'!EO22</f>
        <v>4.1863157894624692E-2</v>
      </c>
      <c r="EP22" s="191">
        <f>'Functional Levels Drone Survey'!EP22-'Existing Levels Drone Survey'!EP22</f>
        <v>0.22386315789464106</v>
      </c>
      <c r="EQ22" s="191">
        <f>'Functional Levels Drone Survey'!EQ22-'Existing Levels Drone Survey'!EQ22</f>
        <v>0.21516315789466489</v>
      </c>
      <c r="ER22" s="279">
        <f>'Functional Levels Drone Survey'!ER22-'Existing Levels Drone Survey'!ER22</f>
        <v>0.2291631578946749</v>
      </c>
      <c r="ES22" s="279">
        <f>'Functional Levels Drone Survey'!ES22-'Existing Levels Drone Survey'!ES22</f>
        <v>0.2200631578946286</v>
      </c>
      <c r="ET22" s="279">
        <f>'Functional Levels Drone Survey'!ET22-'Existing Levels Drone Survey'!ET22</f>
        <v>0.20516315789467399</v>
      </c>
      <c r="EU22" s="279">
        <f>'Functional Levels Drone Survey'!EU22-'Existing Levels Drone Survey'!EU22</f>
        <v>-4.2236842105353389E-2</v>
      </c>
      <c r="EV22" s="191">
        <f>'Functional Levels Drone Survey'!EV22-'Existing Levels Drone Survey'!EV22</f>
        <v>-0.18363684210538622</v>
      </c>
      <c r="EW22" s="191">
        <f>'Functional Levels Drone Survey'!EW22-'Existing Levels Drone Survey'!EW22</f>
        <v>-0.37473684210539204</v>
      </c>
      <c r="EX22" s="278">
        <f>'Functional Levels Drone Survey'!EX22-'Existing Levels Drone Survey'!EX22</f>
        <v>-0.61883684210539514</v>
      </c>
      <c r="EY22" s="278">
        <f>'Functional Levels Drone Survey'!EY22-'Existing Levels Drone Survey'!EY22</f>
        <v>7.6363157894604683E-2</v>
      </c>
    </row>
    <row r="23" spans="1:155" ht="45" customHeight="1" x14ac:dyDescent="0.45">
      <c r="A23" s="277">
        <v>110</v>
      </c>
      <c r="B23" s="191">
        <f>'Functional Levels Drone Survey'!B23-'Existing Levels Drone Survey'!B23</f>
        <v>0</v>
      </c>
      <c r="C23" s="191">
        <f>'Functional Levels Drone Survey'!C23-'Existing Levels Drone Survey'!C23</f>
        <v>0</v>
      </c>
      <c r="D23" s="191">
        <f>'Functional Levels Drone Survey'!D23-'Existing Levels Drone Survey'!D23</f>
        <v>0</v>
      </c>
      <c r="E23" s="191">
        <f>'Functional Levels Drone Survey'!E23-'Existing Levels Drone Survey'!E23</f>
        <v>0</v>
      </c>
      <c r="F23" s="191">
        <f>'Functional Levels Drone Survey'!F23-'Existing Levels Drone Survey'!F23</f>
        <v>0</v>
      </c>
      <c r="G23" s="191">
        <f>'Functional Levels Drone Survey'!G23-'Existing Levels Drone Survey'!G23</f>
        <v>0</v>
      </c>
      <c r="H23" s="191">
        <f>'Functional Levels Drone Survey'!H23-'Existing Levels Drone Survey'!H23</f>
        <v>0</v>
      </c>
      <c r="I23" s="191">
        <f>'Functional Levels Drone Survey'!I23-'Existing Levels Drone Survey'!I23</f>
        <v>0</v>
      </c>
      <c r="J23" s="191">
        <f>'Functional Levels Drone Survey'!J23-'Existing Levels Drone Survey'!J23</f>
        <v>0</v>
      </c>
      <c r="K23" s="191">
        <f>'Functional Levels Drone Survey'!K23-'Existing Levels Drone Survey'!K23</f>
        <v>0</v>
      </c>
      <c r="L23" s="191">
        <f>'Functional Levels Drone Survey'!L23-'Existing Levels Drone Survey'!L23</f>
        <v>0</v>
      </c>
      <c r="M23" s="191">
        <f>'Functional Levels Drone Survey'!M23-'Existing Levels Drone Survey'!M23</f>
        <v>0</v>
      </c>
      <c r="N23" s="191">
        <f>'Functional Levels Drone Survey'!N23-'Existing Levels Drone Survey'!N23</f>
        <v>0</v>
      </c>
      <c r="O23" s="191">
        <f>'Functional Levels Drone Survey'!O23-'Existing Levels Drone Survey'!O23</f>
        <v>0</v>
      </c>
      <c r="P23" s="191">
        <f>'Functional Levels Drone Survey'!P23-'Existing Levels Drone Survey'!P23</f>
        <v>0</v>
      </c>
      <c r="Q23" s="191">
        <f>'Functional Levels Drone Survey'!Q23-'Existing Levels Drone Survey'!Q23</f>
        <v>0</v>
      </c>
      <c r="R23" s="191">
        <f>'Functional Levels Drone Survey'!R23-'Existing Levels Drone Survey'!R23</f>
        <v>0</v>
      </c>
      <c r="S23" s="191">
        <f>'Functional Levels Drone Survey'!S23-'Existing Levels Drone Survey'!S23</f>
        <v>0</v>
      </c>
      <c r="T23" s="191">
        <f>'Functional Levels Drone Survey'!T23-'Existing Levels Drone Survey'!T23</f>
        <v>0</v>
      </c>
      <c r="U23" s="191">
        <f>'Functional Levels Drone Survey'!U23-'Existing Levels Drone Survey'!U23</f>
        <v>0</v>
      </c>
      <c r="V23" s="191">
        <f>'Functional Levels Drone Survey'!V23-'Existing Levels Drone Survey'!V23</f>
        <v>0</v>
      </c>
      <c r="W23" s="191">
        <f>'Functional Levels Drone Survey'!W23-'Existing Levels Drone Survey'!W23</f>
        <v>0</v>
      </c>
      <c r="X23" s="191">
        <f>'Functional Levels Drone Survey'!X23-'Existing Levels Drone Survey'!X23</f>
        <v>0</v>
      </c>
      <c r="Y23" s="191">
        <f>'Functional Levels Drone Survey'!Y23-'Existing Levels Drone Survey'!Y23</f>
        <v>0</v>
      </c>
      <c r="Z23" s="191">
        <f>'Functional Levels Drone Survey'!Z23-'Existing Levels Drone Survey'!Z23</f>
        <v>0</v>
      </c>
      <c r="AA23" s="191">
        <f>'Functional Levels Drone Survey'!AA23-'Existing Levels Drone Survey'!AA23</f>
        <v>0</v>
      </c>
      <c r="AB23" s="191">
        <f>'Functional Levels Drone Survey'!AB23-'Existing Levels Drone Survey'!AB23</f>
        <v>0</v>
      </c>
      <c r="AC23" s="191">
        <f>'Functional Levels Drone Survey'!AC23-'Existing Levels Drone Survey'!AC23</f>
        <v>0</v>
      </c>
      <c r="AD23" s="191">
        <f>'Functional Levels Drone Survey'!AD23-'Existing Levels Drone Survey'!AD23</f>
        <v>0</v>
      </c>
      <c r="AE23" s="191">
        <f>'Functional Levels Drone Survey'!AE23-'Existing Levels Drone Survey'!AE23</f>
        <v>0</v>
      </c>
      <c r="AF23" s="191">
        <f>'Functional Levels Drone Survey'!AF23-'Existing Levels Drone Survey'!AF23</f>
        <v>0</v>
      </c>
      <c r="AG23" s="191">
        <f>'Functional Levels Drone Survey'!AG23-'Existing Levels Drone Survey'!AG23</f>
        <v>0</v>
      </c>
      <c r="AH23" s="191">
        <f>'Functional Levels Drone Survey'!AH23-'Existing Levels Drone Survey'!AH23</f>
        <v>0</v>
      </c>
      <c r="AI23" s="191">
        <f>'Functional Levels Drone Survey'!AI23-'Existing Levels Drone Survey'!AI23</f>
        <v>0</v>
      </c>
      <c r="AJ23" s="191">
        <f>'Functional Levels Drone Survey'!AJ23-'Existing Levels Drone Survey'!AJ23</f>
        <v>0</v>
      </c>
      <c r="AK23" s="191">
        <f>'Functional Levels Drone Survey'!AK23-'Existing Levels Drone Survey'!AK23</f>
        <v>0</v>
      </c>
      <c r="AL23" s="191">
        <f>'Functional Levels Drone Survey'!AL23-'Existing Levels Drone Survey'!AL23</f>
        <v>0</v>
      </c>
      <c r="AM23" s="191">
        <f>'Functional Levels Drone Survey'!AM23-'Existing Levels Drone Survey'!AM23</f>
        <v>0</v>
      </c>
      <c r="AN23" s="191">
        <f>'Functional Levels Drone Survey'!AN23-'Existing Levels Drone Survey'!AN23</f>
        <v>0</v>
      </c>
      <c r="AO23" s="191">
        <f>'Functional Levels Drone Survey'!AO23-'Existing Levels Drone Survey'!AO23</f>
        <v>0</v>
      </c>
      <c r="AP23" s="191">
        <f>'Functional Levels Drone Survey'!AP23-'Existing Levels Drone Survey'!AP23</f>
        <v>0</v>
      </c>
      <c r="AQ23" s="191">
        <f>'Functional Levels Drone Survey'!AQ23-'Existing Levels Drone Survey'!AQ23</f>
        <v>0</v>
      </c>
      <c r="AR23" s="191">
        <f>'Functional Levels Drone Survey'!AR23-'Existing Levels Drone Survey'!AR23</f>
        <v>0</v>
      </c>
      <c r="AS23" s="191">
        <f>'Functional Levels Drone Survey'!AS23-'Existing Levels Drone Survey'!AS23</f>
        <v>0</v>
      </c>
      <c r="AT23" s="191">
        <f>'Functional Levels Drone Survey'!AT23-'Existing Levels Drone Survey'!AT23</f>
        <v>0</v>
      </c>
      <c r="AU23" s="191">
        <f>'Functional Levels Drone Survey'!AU23-'Existing Levels Drone Survey'!AU23</f>
        <v>0</v>
      </c>
      <c r="AV23" s="191">
        <f>'Functional Levels Drone Survey'!AV23-'Existing Levels Drone Survey'!AV23</f>
        <v>0</v>
      </c>
      <c r="AW23" s="191">
        <f>'Functional Levels Drone Survey'!AW23-'Existing Levels Drone Survey'!AW23</f>
        <v>0</v>
      </c>
      <c r="AX23" s="191">
        <f>'Functional Levels Drone Survey'!AX23-'Existing Levels Drone Survey'!AX23</f>
        <v>0</v>
      </c>
      <c r="AY23" s="191">
        <f>'Functional Levels Drone Survey'!AY23-'Existing Levels Drone Survey'!AY23</f>
        <v>0</v>
      </c>
      <c r="AZ23" s="191">
        <f>'Functional Levels Drone Survey'!AZ23-'Existing Levels Drone Survey'!AZ23</f>
        <v>0</v>
      </c>
      <c r="BA23" s="191">
        <f>'Functional Levels Drone Survey'!BA23-'Existing Levels Drone Survey'!BA23</f>
        <v>0</v>
      </c>
      <c r="BB23" s="191">
        <f>'Functional Levels Drone Survey'!BB23-'Existing Levels Drone Survey'!BB23</f>
        <v>0</v>
      </c>
      <c r="BC23" s="191">
        <f>'Functional Levels Drone Survey'!BC23-'Existing Levels Drone Survey'!BC23</f>
        <v>0</v>
      </c>
      <c r="BD23" s="191">
        <f>'Functional Levels Drone Survey'!BD23-'Existing Levels Drone Survey'!BD23</f>
        <v>0</v>
      </c>
      <c r="BE23" s="191">
        <f>'Functional Levels Drone Survey'!BE23-'Existing Levels Drone Survey'!BE23</f>
        <v>0</v>
      </c>
      <c r="BF23" s="191">
        <f>'Functional Levels Drone Survey'!BF23-'Existing Levels Drone Survey'!BF23</f>
        <v>0</v>
      </c>
      <c r="BG23" s="191">
        <f>'Functional Levels Drone Survey'!BG23-'Existing Levels Drone Survey'!BG23</f>
        <v>0</v>
      </c>
      <c r="BH23" s="191">
        <f>'Functional Levels Drone Survey'!BH23-'Existing Levels Drone Survey'!BH23</f>
        <v>0</v>
      </c>
      <c r="BI23" s="191">
        <f>'Functional Levels Drone Survey'!BI23-'Existing Levels Drone Survey'!BI23</f>
        <v>0</v>
      </c>
      <c r="BJ23" s="191">
        <f>'Functional Levels Drone Survey'!BJ23-'Existing Levels Drone Survey'!BJ23</f>
        <v>0</v>
      </c>
      <c r="BK23" s="191">
        <f>'Functional Levels Drone Survey'!BK23-'Existing Levels Drone Survey'!BK23</f>
        <v>0</v>
      </c>
      <c r="BL23" s="191">
        <f>'Functional Levels Drone Survey'!BL23-'Existing Levels Drone Survey'!BL23</f>
        <v>0</v>
      </c>
      <c r="BM23" s="191">
        <f>'Functional Levels Drone Survey'!BM23-'Existing Levels Drone Survey'!BM23</f>
        <v>0</v>
      </c>
      <c r="BN23" s="191">
        <f>'Functional Levels Drone Survey'!BN23-'Existing Levels Drone Survey'!BN23</f>
        <v>0</v>
      </c>
      <c r="BO23" s="191">
        <f>'Functional Levels Drone Survey'!BO23-'Existing Levels Drone Survey'!BO23</f>
        <v>0</v>
      </c>
      <c r="BP23" s="191">
        <f>'Functional Levels Drone Survey'!BP23-'Existing Levels Drone Survey'!BP23</f>
        <v>0</v>
      </c>
      <c r="BQ23" s="191">
        <f>'Functional Levels Drone Survey'!BQ23-'Existing Levels Drone Survey'!BQ23</f>
        <v>0</v>
      </c>
      <c r="BR23" s="191">
        <f>'Functional Levels Drone Survey'!BR23-'Existing Levels Drone Survey'!BR23</f>
        <v>0</v>
      </c>
      <c r="BS23" s="191">
        <f>'Functional Levels Drone Survey'!BS23-'Existing Levels Drone Survey'!BS23</f>
        <v>0</v>
      </c>
      <c r="BT23" s="191">
        <f>'Functional Levels Drone Survey'!BT23-'Existing Levels Drone Survey'!BT23</f>
        <v>0</v>
      </c>
      <c r="BU23" s="191">
        <f>'Functional Levels Drone Survey'!BU23-'Existing Levels Drone Survey'!BU23</f>
        <v>0</v>
      </c>
      <c r="BV23" s="191">
        <f>'Functional Levels Drone Survey'!BV23-'Existing Levels Drone Survey'!BV23</f>
        <v>0</v>
      </c>
      <c r="BW23" s="191">
        <f>'Functional Levels Drone Survey'!BW23-'Existing Levels Drone Survey'!BW23</f>
        <v>0</v>
      </c>
      <c r="BX23" s="191">
        <f>'Functional Levels Drone Survey'!BX23-'Existing Levels Drone Survey'!BX23</f>
        <v>0</v>
      </c>
      <c r="BY23" s="191">
        <f>'Functional Levels Drone Survey'!BY23-'Existing Levels Drone Survey'!BY23</f>
        <v>0</v>
      </c>
      <c r="BZ23" s="191">
        <f>'Functional Levels Drone Survey'!BZ23-'Existing Levels Drone Survey'!BZ23</f>
        <v>0</v>
      </c>
      <c r="CA23" s="191">
        <f>'Functional Levels Drone Survey'!CA23-'Existing Levels Drone Survey'!CA23</f>
        <v>0</v>
      </c>
      <c r="CB23" s="191">
        <f>'Functional Levels Drone Survey'!CB23-'Existing Levels Drone Survey'!CB23</f>
        <v>0</v>
      </c>
      <c r="CC23" s="191">
        <f>'Functional Levels Drone Survey'!CC23-'Existing Levels Drone Survey'!CC23</f>
        <v>0</v>
      </c>
      <c r="CD23" s="191">
        <f>'Functional Levels Drone Survey'!CD23-'Existing Levels Drone Survey'!CD23</f>
        <v>0</v>
      </c>
      <c r="CE23" s="191">
        <f>'Functional Levels Drone Survey'!CE23-'Existing Levels Drone Survey'!CE23</f>
        <v>0</v>
      </c>
      <c r="CF23" s="278">
        <f>'Functional Levels Drone Survey'!CF23-'Existing Levels Drone Survey'!CF23</f>
        <v>-0.36270000000007485</v>
      </c>
      <c r="CG23" s="191">
        <f>'Functional Levels Drone Survey'!CG23-'Existing Levels Drone Survey'!CG23</f>
        <v>-1.5410000000001105</v>
      </c>
      <c r="CH23" s="191">
        <f>'Functional Levels Drone Survey'!CH23-'Existing Levels Drone Survey'!CH23</f>
        <v>-1.1743000000000734</v>
      </c>
      <c r="CI23" s="191">
        <f>'Functional Levels Drone Survey'!CI23-'Existing Levels Drone Survey'!CI23</f>
        <v>-1.1656000000000972</v>
      </c>
      <c r="CJ23" s="191">
        <f>'Functional Levels Drone Survey'!CJ23-'Existing Levels Drone Survey'!CJ23</f>
        <v>-0.81430000000005975</v>
      </c>
      <c r="CK23" s="191">
        <f>'Functional Levels Drone Survey'!CK23-'Existing Levels Drone Survey'!CK23</f>
        <v>-0.74520000000006803</v>
      </c>
      <c r="CL23" s="191">
        <f>'Functional Levels Drone Survey'!CL23-'Existing Levels Drone Survey'!CL23</f>
        <v>-0.71810000000010632</v>
      </c>
      <c r="CM23" s="191">
        <f>'Functional Levels Drone Survey'!CM23-'Existing Levels Drone Survey'!CM23</f>
        <v>-0.74850000000009231</v>
      </c>
      <c r="CN23" s="191">
        <f>'Functional Levels Drone Survey'!CN23-'Existing Levels Drone Survey'!CN23</f>
        <v>-0.61490000000009104</v>
      </c>
      <c r="CO23" s="191">
        <f>'Functional Levels Drone Survey'!CO23-'Existing Levels Drone Survey'!CO23</f>
        <v>-0.63740000000007058</v>
      </c>
      <c r="CP23" s="191">
        <f>'Functional Levels Drone Survey'!CP23-'Existing Levels Drone Survey'!CP23</f>
        <v>-0.81430000000005975</v>
      </c>
      <c r="CQ23" s="191">
        <f>'Functional Levels Drone Survey'!CQ23-'Existing Levels Drone Survey'!CQ23</f>
        <v>-0.67200000000008231</v>
      </c>
      <c r="CR23" s="191">
        <f>'Functional Levels Drone Survey'!CR23-'Existing Levels Drone Survey'!CR23</f>
        <v>-0.64110000000010814</v>
      </c>
      <c r="CS23" s="278">
        <f>'Functional Levels Drone Survey'!CS23-'Existing Levels Drone Survey'!CS23</f>
        <v>-0.72940000000011196</v>
      </c>
      <c r="CT23" s="191">
        <f>'Functional Levels Drone Survey'!CT23-'Existing Levels Drone Survey'!CT23</f>
        <v>0</v>
      </c>
      <c r="CU23" s="191">
        <f>'Functional Levels Drone Survey'!CU23-'Existing Levels Drone Survey'!CU23</f>
        <v>0</v>
      </c>
      <c r="CV23" s="191">
        <f>'Functional Levels Drone Survey'!CV23-'Existing Levels Drone Survey'!CV23</f>
        <v>0</v>
      </c>
      <c r="CW23" s="191">
        <f>'Functional Levels Drone Survey'!CW23-'Existing Levels Drone Survey'!CW23</f>
        <v>0</v>
      </c>
      <c r="CX23" s="191">
        <f>'Functional Levels Drone Survey'!CX23-'Existing Levels Drone Survey'!CX23</f>
        <v>0</v>
      </c>
      <c r="CY23" s="191">
        <f>'Functional Levels Drone Survey'!CY23-'Existing Levels Drone Survey'!CY23</f>
        <v>0</v>
      </c>
      <c r="CZ23" s="191">
        <f>'Functional Levels Drone Survey'!CZ23-'Existing Levels Drone Survey'!CZ23</f>
        <v>0</v>
      </c>
      <c r="DA23" s="191">
        <f>'Functional Levels Drone Survey'!DA23-'Existing Levels Drone Survey'!DA23</f>
        <v>0</v>
      </c>
      <c r="DB23" s="278">
        <f>'Functional Levels Drone Survey'!DB23-'Existing Levels Drone Survey'!DB23</f>
        <v>-0.74240000000008877</v>
      </c>
      <c r="DC23" s="191">
        <f>'Functional Levels Drone Survey'!DC23-'Existing Levels Drone Survey'!DC23</f>
        <v>-0.79910000000006676</v>
      </c>
      <c r="DD23" s="191">
        <f>'Functional Levels Drone Survey'!DD23-'Existing Levels Drone Survey'!DD23</f>
        <v>-0.74140000000005557</v>
      </c>
      <c r="DE23" s="191">
        <f>'Functional Levels Drone Survey'!DE23-'Existing Levels Drone Survey'!DE23</f>
        <v>-0.71290000000004738</v>
      </c>
      <c r="DF23" s="191">
        <f>'Functional Levels Drone Survey'!DF23-'Existing Levels Drone Survey'!DF23</f>
        <v>-0.76040000000006103</v>
      </c>
      <c r="DG23" s="191">
        <f>'Functional Levels Drone Survey'!DG23-'Existing Levels Drone Survey'!DG23</f>
        <v>-0.81580000000008113</v>
      </c>
      <c r="DH23" s="191">
        <f>'Functional Levels Drone Survey'!DH23-'Existing Levels Drone Survey'!DH23</f>
        <v>-0.79870000000005348</v>
      </c>
      <c r="DI23" s="191">
        <f>'Functional Levels Drone Survey'!DI23-'Existing Levels Drone Survey'!DI23</f>
        <v>-0.73590000000007194</v>
      </c>
      <c r="DJ23" s="279">
        <f>'Functional Levels Drone Survey'!DJ23-'Existing Levels Drone Survey'!DJ23</f>
        <v>-0.55337777777782549</v>
      </c>
      <c r="DK23" s="191">
        <f>'Functional Levels Drone Survey'!DK23-'Existing Levels Drone Survey'!DK23</f>
        <v>-0.52647777777781357</v>
      </c>
      <c r="DL23" s="191">
        <f>'Functional Levels Drone Survey'!DL23-'Existing Levels Drone Survey'!DL23</f>
        <v>-0.58967777777780839</v>
      </c>
      <c r="DM23" s="191">
        <f>'Functional Levels Drone Survey'!DM23-'Existing Levels Drone Survey'!DM23</f>
        <v>-0.53677777777778601</v>
      </c>
      <c r="DN23" s="191">
        <f>'Functional Levels Drone Survey'!DN23-'Existing Levels Drone Survey'!DN23</f>
        <v>-0.46677777777779283</v>
      </c>
      <c r="DO23" s="191">
        <f>'Functional Levels Drone Survey'!DO23-'Existing Levels Drone Survey'!DO23</f>
        <v>-5.4777777777985648E-3</v>
      </c>
      <c r="DP23" s="191">
        <f>'Functional Levels Drone Survey'!DP23-'Existing Levels Drone Survey'!DP23</f>
        <v>2.6222222222202163E-2</v>
      </c>
      <c r="DQ23" s="191">
        <f>'Functional Levels Drone Survey'!DQ23-'Existing Levels Drone Survey'!DQ23</f>
        <v>1.162222222217224E-2</v>
      </c>
      <c r="DR23" s="191">
        <f>'Functional Levels Drone Survey'!DR23-'Existing Levels Drone Survey'!DR23</f>
        <v>-1.2877777777816846E-2</v>
      </c>
      <c r="DS23" s="191">
        <f>'Functional Levels Drone Survey'!DS23-'Existing Levels Drone Survey'!DS23</f>
        <v>1.9622222222210439E-2</v>
      </c>
      <c r="DT23" s="191">
        <f>'Functional Levels Drone Survey'!DT23-'Existing Levels Drone Survey'!DT23</f>
        <v>-0.24557777777778256</v>
      </c>
      <c r="DU23" s="191">
        <f>'Functional Levels Drone Survey'!DU23-'Existing Levels Drone Survey'!DU23</f>
        <v>-0.39727777777778783</v>
      </c>
      <c r="DV23" s="191">
        <f>'Functional Levels Drone Survey'!DV23-'Existing Levels Drone Survey'!DV23</f>
        <v>-0.13257777777778301</v>
      </c>
      <c r="DW23" s="191">
        <f>'Functional Levels Drone Survey'!DW23-'Existing Levels Drone Survey'!DW23</f>
        <v>-8.5277777777832853E-2</v>
      </c>
      <c r="DX23" s="191">
        <f>'Functional Levels Drone Survey'!DX23-'Existing Levels Drone Survey'!DX23</f>
        <v>-0.37457777777780166</v>
      </c>
      <c r="DY23" s="191">
        <f>'Functional Levels Drone Survey'!DY23-'Existing Levels Drone Survey'!DY23</f>
        <v>-0.18287777777783276</v>
      </c>
      <c r="DZ23" s="191">
        <f>'Functional Levels Drone Survey'!DZ23-'Existing Levels Drone Survey'!DZ23</f>
        <v>-0.14247777777779902</v>
      </c>
      <c r="EA23" s="279">
        <f>'Functional Levels Drone Survey'!EA23-'Existing Levels Drone Survey'!EA23</f>
        <v>-0.16347777777781403</v>
      </c>
      <c r="EB23" s="191">
        <f>'Functional Levels Drone Survey'!EB23-'Existing Levels Drone Survey'!EB23</f>
        <v>-0.31273684210538022</v>
      </c>
      <c r="EC23" s="279">
        <f>'Functional Levels Drone Survey'!EC23-'Existing Levels Drone Survey'!EC23</f>
        <v>-0.18153684210534493</v>
      </c>
      <c r="ED23" s="191">
        <f>'Functional Levels Drone Survey'!ED23-'Existing Levels Drone Survey'!ED23</f>
        <v>-0.21033684210533465</v>
      </c>
      <c r="EE23" s="191">
        <f>'Functional Levels Drone Survey'!EE23-'Existing Levels Drone Survey'!EE23</f>
        <v>-0.15013684210532574</v>
      </c>
      <c r="EF23" s="191">
        <f>'Functional Levels Drone Survey'!EF23-'Existing Levels Drone Survey'!EF23</f>
        <v>-0.22883684210535193</v>
      </c>
      <c r="EG23" s="191">
        <f>'Functional Levels Drone Survey'!EG23-'Existing Levels Drone Survey'!EG23</f>
        <v>-0.14123684210534293</v>
      </c>
      <c r="EH23" s="191">
        <f>'Functional Levels Drone Survey'!EH23-'Existing Levels Drone Survey'!EH23</f>
        <v>-5.7136842105364849E-2</v>
      </c>
      <c r="EI23" s="191">
        <f>'Functional Levels Drone Survey'!EI23-'Existing Levels Drone Survey'!EI23</f>
        <v>0.27446315789467235</v>
      </c>
      <c r="EJ23" s="191">
        <f>'Functional Levels Drone Survey'!EJ23-'Existing Levels Drone Survey'!EJ23</f>
        <v>-0.13713684210534893</v>
      </c>
      <c r="EK23" s="191">
        <f>'Functional Levels Drone Survey'!EK23-'Existing Levels Drone Survey'!EK23</f>
        <v>-7.9936842105325923E-2</v>
      </c>
      <c r="EL23" s="191">
        <f>'Functional Levels Drone Survey'!EL23-'Existing Levels Drone Survey'!EL23</f>
        <v>-0.13103684210534539</v>
      </c>
      <c r="EM23" s="191">
        <f>'Functional Levels Drone Survey'!EM23-'Existing Levels Drone Survey'!EM23</f>
        <v>2.0963157894641427E-2</v>
      </c>
      <c r="EN23" s="191">
        <f>'Functional Levels Drone Survey'!EN23-'Existing Levels Drone Survey'!EN23</f>
        <v>1.4363157894649703E-2</v>
      </c>
      <c r="EO23" s="191">
        <f>'Functional Levels Drone Survey'!EO23-'Existing Levels Drone Survey'!EO23</f>
        <v>-3.6636842105338019E-2</v>
      </c>
      <c r="EP23" s="191">
        <f>'Functional Levels Drone Survey'!EP23-'Existing Levels Drone Survey'!EP23</f>
        <v>-4.736842105330652E-3</v>
      </c>
      <c r="EQ23" s="191">
        <f>'Functional Levels Drone Survey'!EQ23-'Existing Levels Drone Survey'!EQ23</f>
        <v>0.2059631578946437</v>
      </c>
      <c r="ER23" s="191">
        <f>'Functional Levels Drone Survey'!ER23-'Existing Levels Drone Survey'!ER23</f>
        <v>0.31196315789463824</v>
      </c>
      <c r="ES23" s="191">
        <f>'Functional Levels Drone Survey'!ES23-'Existing Levels Drone Survey'!ES23</f>
        <v>0.27556315789468044</v>
      </c>
      <c r="ET23" s="191">
        <f>'Functional Levels Drone Survey'!ET23-'Existing Levels Drone Survey'!ET23</f>
        <v>0.28016315789466262</v>
      </c>
      <c r="EU23" s="279">
        <f>'Functional Levels Drone Survey'!EU23-'Existing Levels Drone Survey'!EU23</f>
        <v>0.21906315789465225</v>
      </c>
      <c r="EV23" s="191">
        <f>'Functional Levels Drone Survey'!EV23-'Existing Levels Drone Survey'!EV23</f>
        <v>-0.20083684210538877</v>
      </c>
      <c r="EW23" s="191">
        <f>'Functional Levels Drone Survey'!EW23-'Existing Levels Drone Survey'!EW23</f>
        <v>2.4763157894653887E-2</v>
      </c>
      <c r="EX23" s="191">
        <f>'Functional Levels Drone Survey'!EX23-'Existing Levels Drone Survey'!EX23</f>
        <v>0.16126315789460932</v>
      </c>
      <c r="EY23" s="278">
        <f>'Functional Levels Drone Survey'!EY23-'Existing Levels Drone Survey'!EY23</f>
        <v>-0.31743684210533729</v>
      </c>
    </row>
    <row r="24" spans="1:155" ht="45" customHeight="1" x14ac:dyDescent="0.45">
      <c r="A24" s="277">
        <v>115</v>
      </c>
      <c r="B24" s="191">
        <f>'Functional Levels Drone Survey'!B24-'Existing Levels Drone Survey'!B24</f>
        <v>0</v>
      </c>
      <c r="C24" s="191">
        <f>'Functional Levels Drone Survey'!C24-'Existing Levels Drone Survey'!C24</f>
        <v>0</v>
      </c>
      <c r="D24" s="191">
        <f>'Functional Levels Drone Survey'!D24-'Existing Levels Drone Survey'!D24</f>
        <v>0</v>
      </c>
      <c r="E24" s="191">
        <f>'Functional Levels Drone Survey'!E24-'Existing Levels Drone Survey'!E24</f>
        <v>0</v>
      </c>
      <c r="F24" s="191">
        <f>'Functional Levels Drone Survey'!F24-'Existing Levels Drone Survey'!F24</f>
        <v>0</v>
      </c>
      <c r="G24" s="191">
        <f>'Functional Levels Drone Survey'!G24-'Existing Levels Drone Survey'!G24</f>
        <v>0</v>
      </c>
      <c r="H24" s="191">
        <f>'Functional Levels Drone Survey'!H24-'Existing Levels Drone Survey'!H24</f>
        <v>0</v>
      </c>
      <c r="I24" s="191">
        <f>'Functional Levels Drone Survey'!I24-'Existing Levels Drone Survey'!I24</f>
        <v>0</v>
      </c>
      <c r="J24" s="191">
        <f>'Functional Levels Drone Survey'!J24-'Existing Levels Drone Survey'!J24</f>
        <v>0</v>
      </c>
      <c r="K24" s="191">
        <f>'Functional Levels Drone Survey'!K24-'Existing Levels Drone Survey'!K24</f>
        <v>0</v>
      </c>
      <c r="L24" s="191">
        <f>'Functional Levels Drone Survey'!L24-'Existing Levels Drone Survey'!L24</f>
        <v>0</v>
      </c>
      <c r="M24" s="191">
        <f>'Functional Levels Drone Survey'!M24-'Existing Levels Drone Survey'!M24</f>
        <v>0</v>
      </c>
      <c r="N24" s="191">
        <f>'Functional Levels Drone Survey'!N24-'Existing Levels Drone Survey'!N24</f>
        <v>0</v>
      </c>
      <c r="O24" s="191">
        <f>'Functional Levels Drone Survey'!O24-'Existing Levels Drone Survey'!O24</f>
        <v>0</v>
      </c>
      <c r="P24" s="191">
        <f>'Functional Levels Drone Survey'!P24-'Existing Levels Drone Survey'!P24</f>
        <v>0</v>
      </c>
      <c r="Q24" s="191">
        <f>'Functional Levels Drone Survey'!Q24-'Existing Levels Drone Survey'!Q24</f>
        <v>0</v>
      </c>
      <c r="R24" s="191">
        <f>'Functional Levels Drone Survey'!R24-'Existing Levels Drone Survey'!R24</f>
        <v>0</v>
      </c>
      <c r="S24" s="191">
        <f>'Functional Levels Drone Survey'!S24-'Existing Levels Drone Survey'!S24</f>
        <v>0</v>
      </c>
      <c r="T24" s="191">
        <f>'Functional Levels Drone Survey'!T24-'Existing Levels Drone Survey'!T24</f>
        <v>0</v>
      </c>
      <c r="U24" s="191">
        <f>'Functional Levels Drone Survey'!U24-'Existing Levels Drone Survey'!U24</f>
        <v>0</v>
      </c>
      <c r="V24" s="191">
        <f>'Functional Levels Drone Survey'!V24-'Existing Levels Drone Survey'!V24</f>
        <v>0</v>
      </c>
      <c r="W24" s="191">
        <f>'Functional Levels Drone Survey'!W24-'Existing Levels Drone Survey'!W24</f>
        <v>0</v>
      </c>
      <c r="X24" s="191">
        <f>'Functional Levels Drone Survey'!X24-'Existing Levels Drone Survey'!X24</f>
        <v>0</v>
      </c>
      <c r="Y24" s="191">
        <f>'Functional Levels Drone Survey'!Y24-'Existing Levels Drone Survey'!Y24</f>
        <v>0</v>
      </c>
      <c r="Z24" s="191">
        <f>'Functional Levels Drone Survey'!Z24-'Existing Levels Drone Survey'!Z24</f>
        <v>0</v>
      </c>
      <c r="AA24" s="191">
        <f>'Functional Levels Drone Survey'!AA24-'Existing Levels Drone Survey'!AA24</f>
        <v>0</v>
      </c>
      <c r="AB24" s="191">
        <f>'Functional Levels Drone Survey'!AB24-'Existing Levels Drone Survey'!AB24</f>
        <v>0</v>
      </c>
      <c r="AC24" s="191">
        <f>'Functional Levels Drone Survey'!AC24-'Existing Levels Drone Survey'!AC24</f>
        <v>0</v>
      </c>
      <c r="AD24" s="191">
        <f>'Functional Levels Drone Survey'!AD24-'Existing Levels Drone Survey'!AD24</f>
        <v>0</v>
      </c>
      <c r="AE24" s="191">
        <f>'Functional Levels Drone Survey'!AE24-'Existing Levels Drone Survey'!AE24</f>
        <v>0</v>
      </c>
      <c r="AF24" s="191">
        <f>'Functional Levels Drone Survey'!AF24-'Existing Levels Drone Survey'!AF24</f>
        <v>0</v>
      </c>
      <c r="AG24" s="191">
        <f>'Functional Levels Drone Survey'!AG24-'Existing Levels Drone Survey'!AG24</f>
        <v>0</v>
      </c>
      <c r="AH24" s="191">
        <f>'Functional Levels Drone Survey'!AH24-'Existing Levels Drone Survey'!AH24</f>
        <v>0</v>
      </c>
      <c r="AI24" s="191">
        <f>'Functional Levels Drone Survey'!AI24-'Existing Levels Drone Survey'!AI24</f>
        <v>0</v>
      </c>
      <c r="AJ24" s="191">
        <f>'Functional Levels Drone Survey'!AJ24-'Existing Levels Drone Survey'!AJ24</f>
        <v>0</v>
      </c>
      <c r="AK24" s="191">
        <f>'Functional Levels Drone Survey'!AK24-'Existing Levels Drone Survey'!AK24</f>
        <v>0</v>
      </c>
      <c r="AL24" s="191">
        <f>'Functional Levels Drone Survey'!AL24-'Existing Levels Drone Survey'!AL24</f>
        <v>0</v>
      </c>
      <c r="AM24" s="191">
        <f>'Functional Levels Drone Survey'!AM24-'Existing Levels Drone Survey'!AM24</f>
        <v>0</v>
      </c>
      <c r="AN24" s="191">
        <f>'Functional Levels Drone Survey'!AN24-'Existing Levels Drone Survey'!AN24</f>
        <v>0</v>
      </c>
      <c r="AO24" s="191">
        <f>'Functional Levels Drone Survey'!AO24-'Existing Levels Drone Survey'!AO24</f>
        <v>0</v>
      </c>
      <c r="AP24" s="191">
        <f>'Functional Levels Drone Survey'!AP24-'Existing Levels Drone Survey'!AP24</f>
        <v>0</v>
      </c>
      <c r="AQ24" s="191">
        <f>'Functional Levels Drone Survey'!AQ24-'Existing Levels Drone Survey'!AQ24</f>
        <v>0</v>
      </c>
      <c r="AR24" s="191">
        <f>'Functional Levels Drone Survey'!AR24-'Existing Levels Drone Survey'!AR24</f>
        <v>0</v>
      </c>
      <c r="AS24" s="191">
        <f>'Functional Levels Drone Survey'!AS24-'Existing Levels Drone Survey'!AS24</f>
        <v>0</v>
      </c>
      <c r="AT24" s="191">
        <f>'Functional Levels Drone Survey'!AT24-'Existing Levels Drone Survey'!AT24</f>
        <v>0</v>
      </c>
      <c r="AU24" s="191">
        <f>'Functional Levels Drone Survey'!AU24-'Existing Levels Drone Survey'!AU24</f>
        <v>0</v>
      </c>
      <c r="AV24" s="191">
        <f>'Functional Levels Drone Survey'!AV24-'Existing Levels Drone Survey'!AV24</f>
        <v>0</v>
      </c>
      <c r="AW24" s="191">
        <f>'Functional Levels Drone Survey'!AW24-'Existing Levels Drone Survey'!AW24</f>
        <v>0</v>
      </c>
      <c r="AX24" s="191">
        <f>'Functional Levels Drone Survey'!AX24-'Existing Levels Drone Survey'!AX24</f>
        <v>0</v>
      </c>
      <c r="AY24" s="191">
        <f>'Functional Levels Drone Survey'!AY24-'Existing Levels Drone Survey'!AY24</f>
        <v>0</v>
      </c>
      <c r="AZ24" s="191">
        <f>'Functional Levels Drone Survey'!AZ24-'Existing Levels Drone Survey'!AZ24</f>
        <v>0</v>
      </c>
      <c r="BA24" s="191">
        <f>'Functional Levels Drone Survey'!BA24-'Existing Levels Drone Survey'!BA24</f>
        <v>0</v>
      </c>
      <c r="BB24" s="191">
        <f>'Functional Levels Drone Survey'!BB24-'Existing Levels Drone Survey'!BB24</f>
        <v>0</v>
      </c>
      <c r="BC24" s="191">
        <f>'Functional Levels Drone Survey'!BC24-'Existing Levels Drone Survey'!BC24</f>
        <v>0</v>
      </c>
      <c r="BD24" s="191">
        <f>'Functional Levels Drone Survey'!BD24-'Existing Levels Drone Survey'!BD24</f>
        <v>0</v>
      </c>
      <c r="BE24" s="191">
        <f>'Functional Levels Drone Survey'!BE24-'Existing Levels Drone Survey'!BE24</f>
        <v>0</v>
      </c>
      <c r="BF24" s="191">
        <f>'Functional Levels Drone Survey'!BF24-'Existing Levels Drone Survey'!BF24</f>
        <v>0</v>
      </c>
      <c r="BG24" s="191">
        <f>'Functional Levels Drone Survey'!BG24-'Existing Levels Drone Survey'!BG24</f>
        <v>0</v>
      </c>
      <c r="BH24" s="278">
        <f>'Functional Levels Drone Survey'!BH24-'Existing Levels Drone Survey'!BH24</f>
        <v>-1.1111600000000976</v>
      </c>
      <c r="BI24" s="278">
        <f>'Functional Levels Drone Survey'!BI24-'Existing Levels Drone Survey'!BI24</f>
        <v>-0.77406000000013364</v>
      </c>
      <c r="BJ24" s="278">
        <f>'Functional Levels Drone Survey'!BJ24-'Existing Levels Drone Survey'!BJ24</f>
        <v>-1.0196600000001013</v>
      </c>
      <c r="BK24" s="278">
        <f>'Functional Levels Drone Survey'!BK24-'Existing Levels Drone Survey'!BK24</f>
        <v>-0.86336000000011381</v>
      </c>
      <c r="BL24" s="278">
        <f>'Functional Levels Drone Survey'!BL24-'Existing Levels Drone Survey'!BL24</f>
        <v>-0.30076000000008207</v>
      </c>
      <c r="BM24" s="278">
        <f>'Functional Levels Drone Survey'!BM24-'Existing Levels Drone Survey'!BM24</f>
        <v>-0.29966000000013082</v>
      </c>
      <c r="BN24" s="278">
        <f>'Functional Levels Drone Survey'!BN24-'Existing Levels Drone Survey'!BN24</f>
        <v>-0.2839600000000928</v>
      </c>
      <c r="BO24" s="278">
        <f>'Functional Levels Drone Survey'!BO24-'Existing Levels Drone Survey'!BO24</f>
        <v>-0.80456000000009453</v>
      </c>
      <c r="BP24" s="278">
        <f>'Functional Levels Drone Survey'!BP24-'Existing Levels Drone Survey'!BP24</f>
        <v>-1.1976600000000985</v>
      </c>
      <c r="BQ24" s="278">
        <f>'Functional Levels Drone Survey'!BQ24-'Existing Levels Drone Survey'!BQ24</f>
        <v>-0.99676000000010845</v>
      </c>
      <c r="BR24" s="191">
        <f>'Functional Levels Drone Survey'!BR24-'Existing Levels Drone Survey'!BR24</f>
        <v>0</v>
      </c>
      <c r="BS24" s="191">
        <f>'Functional Levels Drone Survey'!BS24-'Existing Levels Drone Survey'!BS24</f>
        <v>0</v>
      </c>
      <c r="BT24" s="191">
        <f>'Functional Levels Drone Survey'!BT24-'Existing Levels Drone Survey'!BT24</f>
        <v>0</v>
      </c>
      <c r="BU24" s="191">
        <f>'Functional Levels Drone Survey'!BU24-'Existing Levels Drone Survey'!BU24</f>
        <v>0</v>
      </c>
      <c r="BV24" s="191">
        <f>'Functional Levels Drone Survey'!BV24-'Existing Levels Drone Survey'!BV24</f>
        <v>0</v>
      </c>
      <c r="BW24" s="191">
        <f>'Functional Levels Drone Survey'!BW24-'Existing Levels Drone Survey'!BW24</f>
        <v>0</v>
      </c>
      <c r="BX24" s="191">
        <f>'Functional Levels Drone Survey'!BX24-'Existing Levels Drone Survey'!BX24</f>
        <v>0</v>
      </c>
      <c r="BY24" s="191">
        <f>'Functional Levels Drone Survey'!BY24-'Existing Levels Drone Survey'!BY24</f>
        <v>0</v>
      </c>
      <c r="BZ24" s="191">
        <f>'Functional Levels Drone Survey'!BZ24-'Existing Levels Drone Survey'!BZ24</f>
        <v>0</v>
      </c>
      <c r="CA24" s="191">
        <f>'Functional Levels Drone Survey'!CA24-'Existing Levels Drone Survey'!CA24</f>
        <v>0</v>
      </c>
      <c r="CB24" s="191">
        <f>'Functional Levels Drone Survey'!CB24-'Existing Levels Drone Survey'!CB24</f>
        <v>0</v>
      </c>
      <c r="CC24" s="191">
        <f>'Functional Levels Drone Survey'!CC24-'Existing Levels Drone Survey'!CC24</f>
        <v>0</v>
      </c>
      <c r="CD24" s="191">
        <f>'Functional Levels Drone Survey'!CD24-'Existing Levels Drone Survey'!CD24</f>
        <v>0</v>
      </c>
      <c r="CE24" s="278">
        <f>'Functional Levels Drone Survey'!CE24-'Existing Levels Drone Survey'!CE24</f>
        <v>0</v>
      </c>
      <c r="CF24" s="191">
        <f>'Functional Levels Drone Survey'!CF24-'Existing Levels Drone Survey'!CF24</f>
        <v>-1.0493000000001302</v>
      </c>
      <c r="CG24" s="279">
        <f>'Functional Levels Drone Survey'!CG24-'Existing Levels Drone Survey'!CG24</f>
        <v>-1.0596000000001027</v>
      </c>
      <c r="CH24" s="279">
        <f>'Functional Levels Drone Survey'!CH24-'Existing Levels Drone Survey'!CH24</f>
        <v>-0.89640000000008513</v>
      </c>
      <c r="CI24" s="279">
        <f>'Functional Levels Drone Survey'!CI24-'Existing Levels Drone Survey'!CI24</f>
        <v>-0.42040000000008604</v>
      </c>
      <c r="CJ24" s="279">
        <f>'Functional Levels Drone Survey'!CJ24-'Existing Levels Drone Survey'!CJ24</f>
        <v>-0.53260000000011587</v>
      </c>
      <c r="CK24" s="279">
        <f>'Functional Levels Drone Survey'!CK24-'Existing Levels Drone Survey'!CK24</f>
        <v>-0.45180000000010523</v>
      </c>
      <c r="CL24" s="279">
        <f>'Functional Levels Drone Survey'!CL24-'Existing Levels Drone Survey'!CL24</f>
        <v>-0.41760000000010677</v>
      </c>
      <c r="CM24" s="279">
        <f>'Functional Levels Drone Survey'!CM24-'Existing Levels Drone Survey'!CM24</f>
        <v>-0.45070000000009713</v>
      </c>
      <c r="CN24" s="279">
        <f>'Functional Levels Drone Survey'!CN24-'Existing Levels Drone Survey'!CN24</f>
        <v>-0.43450000000007094</v>
      </c>
      <c r="CO24" s="191">
        <f>'Functional Levels Drone Survey'!CO24-'Existing Levels Drone Survey'!CO24</f>
        <v>-0.69390000000009877</v>
      </c>
      <c r="CP24" s="191">
        <f>'Functional Levels Drone Survey'!CP24-'Existing Levels Drone Survey'!CP24</f>
        <v>-0.6410000000000764</v>
      </c>
      <c r="CQ24" s="191">
        <f>'Functional Levels Drone Survey'!CQ24-'Existing Levels Drone Survey'!CQ24</f>
        <v>-0.6953000000000884</v>
      </c>
      <c r="CR24" s="191">
        <f>'Functional Levels Drone Survey'!CR24-'Existing Levels Drone Survey'!CR24</f>
        <v>-0.67630000000008295</v>
      </c>
      <c r="CS24" s="278">
        <f>'Functional Levels Drone Survey'!CS24-'Existing Levels Drone Survey'!CS24</f>
        <v>-0.48720000000008667</v>
      </c>
      <c r="CT24" s="278">
        <f>'Functional Levels Drone Survey'!CT24-'Existing Levels Drone Survey'!CT24</f>
        <v>0</v>
      </c>
      <c r="CU24" s="278">
        <f>'Functional Levels Drone Survey'!CU24-'Existing Levels Drone Survey'!CU24</f>
        <v>0</v>
      </c>
      <c r="CV24" s="278">
        <f>'Functional Levels Drone Survey'!CV24-'Existing Levels Drone Survey'!CV24</f>
        <v>0</v>
      </c>
      <c r="CW24" s="191">
        <f>'Functional Levels Drone Survey'!CW24-'Existing Levels Drone Survey'!CW24</f>
        <v>0</v>
      </c>
      <c r="CX24" s="191">
        <f>'Functional Levels Drone Survey'!CX24-'Existing Levels Drone Survey'!CX24</f>
        <v>0</v>
      </c>
      <c r="CY24" s="191">
        <f>'Functional Levels Drone Survey'!CY24-'Existing Levels Drone Survey'!CY24</f>
        <v>0</v>
      </c>
      <c r="CZ24" s="191">
        <f>'Functional Levels Drone Survey'!CZ24-'Existing Levels Drone Survey'!CZ24</f>
        <v>0</v>
      </c>
      <c r="DA24" s="191">
        <f>'Functional Levels Drone Survey'!DA24-'Existing Levels Drone Survey'!DA24</f>
        <v>0</v>
      </c>
      <c r="DB24" s="278">
        <f>'Functional Levels Drone Survey'!DB24-'Existing Levels Drone Survey'!DB24</f>
        <v>-1.0085000000000832</v>
      </c>
      <c r="DC24" s="191">
        <f>'Functional Levels Drone Survey'!DC24-'Existing Levels Drone Survey'!DC24</f>
        <v>-0.62360000000006721</v>
      </c>
      <c r="DD24" s="191">
        <f>'Functional Levels Drone Survey'!DD24-'Existing Levels Drone Survey'!DD24</f>
        <v>-0.70780000000007703</v>
      </c>
      <c r="DE24" s="191">
        <f>'Functional Levels Drone Survey'!DE24-'Existing Levels Drone Survey'!DE24</f>
        <v>-0.66690000000005512</v>
      </c>
      <c r="DF24" s="191">
        <f>'Functional Levels Drone Survey'!DF24-'Existing Levels Drone Survey'!DF24</f>
        <v>-0.73300000000006094</v>
      </c>
      <c r="DG24" s="191">
        <f>'Functional Levels Drone Survey'!DG24-'Existing Levels Drone Survey'!DG24</f>
        <v>-0.8012000000000512</v>
      </c>
      <c r="DH24" s="191">
        <f>'Functional Levels Drone Survey'!DH24-'Existing Levels Drone Survey'!DH24</f>
        <v>-0.80710000000004811</v>
      </c>
      <c r="DI24" s="191">
        <f>'Functional Levels Drone Survey'!DI24-'Existing Levels Drone Survey'!DI24</f>
        <v>-0.77730000000008204</v>
      </c>
      <c r="DJ24" s="279">
        <f>'Functional Levels Drone Survey'!DJ24-'Existing Levels Drone Survey'!DJ24</f>
        <v>-0.27607777777780029</v>
      </c>
      <c r="DK24" s="191">
        <f>'Functional Levels Drone Survey'!DK24-'Existing Levels Drone Survey'!DK24</f>
        <v>-0.43757777777778983</v>
      </c>
      <c r="DL24" s="191">
        <f>'Functional Levels Drone Survey'!DL24-'Existing Levels Drone Survey'!DL24</f>
        <v>-0.10177777777778374</v>
      </c>
      <c r="DM24" s="191">
        <f>'Functional Levels Drone Survey'!DM24-'Existing Levels Drone Survey'!DM24</f>
        <v>4.0222222222041637E-3</v>
      </c>
      <c r="DN24" s="191">
        <f>'Functional Levels Drone Survey'!DN24-'Existing Levels Drone Survey'!DN24</f>
        <v>-0.46377777777780693</v>
      </c>
      <c r="DO24" s="191">
        <f>'Functional Levels Drone Survey'!DO24-'Existing Levels Drone Survey'!DO24</f>
        <v>-0.30207777777781075</v>
      </c>
      <c r="DP24" s="191">
        <f>'Functional Levels Drone Survey'!DP24-'Existing Levels Drone Survey'!DP24</f>
        <v>-0.20337777777780275</v>
      </c>
      <c r="DQ24" s="191">
        <f>'Functional Levels Drone Survey'!DQ24-'Existing Levels Drone Survey'!DQ24</f>
        <v>-0.31637777777780229</v>
      </c>
      <c r="DR24" s="191">
        <f>'Functional Levels Drone Survey'!DR24-'Existing Levels Drone Survey'!DR24</f>
        <v>-0.28237777777781048</v>
      </c>
      <c r="DS24" s="191">
        <f>'Functional Levels Drone Survey'!DS24-'Existing Levels Drone Survey'!DS24</f>
        <v>-0.31917777777778156</v>
      </c>
      <c r="DT24" s="191">
        <f>'Functional Levels Drone Survey'!DT24-'Existing Levels Drone Survey'!DT24</f>
        <v>-0.13357777777781621</v>
      </c>
      <c r="DU24" s="191">
        <f>'Functional Levels Drone Survey'!DU24-'Existing Levels Drone Survey'!DU24</f>
        <v>-0.43717777777777656</v>
      </c>
      <c r="DV24" s="191">
        <f>'Functional Levels Drone Survey'!DV24-'Existing Levels Drone Survey'!DV24</f>
        <v>0.12202222222219916</v>
      </c>
      <c r="DW24" s="191">
        <f>'Functional Levels Drone Survey'!DW24-'Existing Levels Drone Survey'!DW24</f>
        <v>-0.25207777777779938</v>
      </c>
      <c r="DX24" s="191">
        <f>'Functional Levels Drone Survey'!DX24-'Existing Levels Drone Survey'!DX24</f>
        <v>-0.26887777777778865</v>
      </c>
      <c r="DY24" s="191">
        <f>'Functional Levels Drone Survey'!DY24-'Existing Levels Drone Survey'!DY24</f>
        <v>-6.9777777777801475E-2</v>
      </c>
      <c r="DZ24" s="191">
        <f>'Functional Levels Drone Survey'!DZ24-'Existing Levels Drone Survey'!DZ24</f>
        <v>-5.217777777778565E-2</v>
      </c>
      <c r="EA24" s="279">
        <f>'Functional Levels Drone Survey'!EA24-'Existing Levels Drone Survey'!EA24</f>
        <v>2.0022222222223718E-2</v>
      </c>
      <c r="EB24" s="191">
        <f>'Functional Levels Drone Survey'!EB24-'Existing Levels Drone Survey'!EB24</f>
        <v>-0.18683684210532192</v>
      </c>
      <c r="EC24" s="279">
        <f>'Functional Levels Drone Survey'!EC24-'Existing Levels Drone Survey'!EC24</f>
        <v>5.1263157894652522E-2</v>
      </c>
      <c r="ED24" s="191">
        <f>'Functional Levels Drone Survey'!ED24-'Existing Levels Drone Survey'!ED24</f>
        <v>4.4863157894667438E-2</v>
      </c>
      <c r="EE24" s="191">
        <f>'Functional Levels Drone Survey'!EE24-'Existing Levels Drone Survey'!EE24</f>
        <v>1.1563157894670439E-2</v>
      </c>
      <c r="EF24" s="191">
        <f>'Functional Levels Drone Survey'!EF24-'Existing Levels Drone Survey'!EF24</f>
        <v>-2.1836842105358301E-2</v>
      </c>
      <c r="EG24" s="191">
        <f>'Functional Levels Drone Survey'!EG24-'Existing Levels Drone Survey'!EG24</f>
        <v>1.0631578946913578E-3</v>
      </c>
      <c r="EH24" s="191">
        <f>'Functional Levels Drone Survey'!EH24-'Existing Levels Drone Survey'!EH24</f>
        <v>0.17746315789469236</v>
      </c>
      <c r="EI24" s="191">
        <f>'Functional Levels Drone Survey'!EI24-'Existing Levels Drone Survey'!EI24</f>
        <v>0.17286315789465334</v>
      </c>
      <c r="EJ24" s="191">
        <f>'Functional Levels Drone Survey'!EJ24-'Existing Levels Drone Survey'!EJ24</f>
        <v>5.5063157894664982E-2</v>
      </c>
      <c r="EK24" s="191">
        <f>'Functional Levels Drone Survey'!EK24-'Existing Levels Drone Survey'!EK24</f>
        <v>0.15646315789467735</v>
      </c>
      <c r="EL24" s="191">
        <f>'Functional Levels Drone Survey'!EL24-'Existing Levels Drone Survey'!EL24</f>
        <v>7.6263157894686628E-2</v>
      </c>
      <c r="EM24" s="191">
        <f>'Functional Levels Drone Survey'!EM24-'Existing Levels Drone Survey'!EM24</f>
        <v>3.3463157894686901E-2</v>
      </c>
      <c r="EN24" s="191">
        <f>'Functional Levels Drone Survey'!EN24-'Existing Levels Drone Survey'!EN24</f>
        <v>0.19286315789469199</v>
      </c>
      <c r="EO24" s="191">
        <f>'Functional Levels Drone Survey'!EO24-'Existing Levels Drone Survey'!EO24</f>
        <v>0.11586315789469381</v>
      </c>
      <c r="EP24" s="191">
        <f>'Functional Levels Drone Survey'!EP24-'Existing Levels Drone Survey'!EP24</f>
        <v>8.0263157894648884E-2</v>
      </c>
      <c r="EQ24" s="191">
        <f>'Functional Levels Drone Survey'!EQ24-'Existing Levels Drone Survey'!EQ24</f>
        <v>0.30766315789469445</v>
      </c>
      <c r="ER24" s="191">
        <f>'Functional Levels Drone Survey'!ER24-'Existing Levels Drone Survey'!ER24</f>
        <v>0.27356315789467089</v>
      </c>
      <c r="ES24" s="191">
        <f>'Functional Levels Drone Survey'!ES24-'Existing Levels Drone Survey'!ES24</f>
        <v>0.32666315789464306</v>
      </c>
      <c r="ET24" s="191">
        <f>'Functional Levels Drone Survey'!ET24-'Existing Levels Drone Survey'!ET24</f>
        <v>0.28116315789469581</v>
      </c>
      <c r="EU24" s="279">
        <f>'Functional Levels Drone Survey'!EU24-'Existing Levels Drone Survey'!EU24</f>
        <v>0.20856315789467317</v>
      </c>
      <c r="EV24" s="191">
        <f>'Functional Levels Drone Survey'!EV24-'Existing Levels Drone Survey'!EV24</f>
        <v>3.6463157894672804E-2</v>
      </c>
      <c r="EW24" s="191">
        <f>'Functional Levels Drone Survey'!EW24-'Existing Levels Drone Survey'!EW24</f>
        <v>0.16436315789462697</v>
      </c>
      <c r="EX24" s="191">
        <f>'Functional Levels Drone Survey'!EX24-'Existing Levels Drone Survey'!EX24</f>
        <v>0.22616315789463215</v>
      </c>
      <c r="EY24" s="278">
        <f>'Functional Levels Drone Survey'!EY24-'Existing Levels Drone Survey'!EY24</f>
        <v>-0.51113684210537258</v>
      </c>
    </row>
    <row r="25" spans="1:155" ht="45" customHeight="1" x14ac:dyDescent="0.45">
      <c r="A25" s="277">
        <v>120</v>
      </c>
      <c r="B25" s="191">
        <f>'Functional Levels Drone Survey'!B25-'Existing Levels Drone Survey'!B25</f>
        <v>0</v>
      </c>
      <c r="C25" s="191">
        <f>'Functional Levels Drone Survey'!C25-'Existing Levels Drone Survey'!C25</f>
        <v>0</v>
      </c>
      <c r="D25" s="191">
        <f>'Functional Levels Drone Survey'!D25-'Existing Levels Drone Survey'!D25</f>
        <v>0</v>
      </c>
      <c r="E25" s="191">
        <f>'Functional Levels Drone Survey'!E25-'Existing Levels Drone Survey'!E25</f>
        <v>0</v>
      </c>
      <c r="F25" s="191">
        <f>'Functional Levels Drone Survey'!F25-'Existing Levels Drone Survey'!F25</f>
        <v>0</v>
      </c>
      <c r="G25" s="191">
        <f>'Functional Levels Drone Survey'!G25-'Existing Levels Drone Survey'!G25</f>
        <v>0</v>
      </c>
      <c r="H25" s="191">
        <f>'Functional Levels Drone Survey'!H25-'Existing Levels Drone Survey'!H25</f>
        <v>0</v>
      </c>
      <c r="I25" s="191">
        <f>'Functional Levels Drone Survey'!I25-'Existing Levels Drone Survey'!I25</f>
        <v>0</v>
      </c>
      <c r="J25" s="191">
        <f>'Functional Levels Drone Survey'!J25-'Existing Levels Drone Survey'!J25</f>
        <v>0</v>
      </c>
      <c r="K25" s="191">
        <f>'Functional Levels Drone Survey'!K25-'Existing Levels Drone Survey'!K25</f>
        <v>0</v>
      </c>
      <c r="L25" s="191">
        <f>'Functional Levels Drone Survey'!L25-'Existing Levels Drone Survey'!L25</f>
        <v>0</v>
      </c>
      <c r="M25" s="191">
        <f>'Functional Levels Drone Survey'!M25-'Existing Levels Drone Survey'!M25</f>
        <v>0</v>
      </c>
      <c r="N25" s="191">
        <f>'Functional Levels Drone Survey'!N25-'Existing Levels Drone Survey'!N25</f>
        <v>0</v>
      </c>
      <c r="O25" s="191">
        <f>'Functional Levels Drone Survey'!O25-'Existing Levels Drone Survey'!O25</f>
        <v>0</v>
      </c>
      <c r="P25" s="191">
        <f>'Functional Levels Drone Survey'!P25-'Existing Levels Drone Survey'!P25</f>
        <v>0</v>
      </c>
      <c r="Q25" s="191">
        <f>'Functional Levels Drone Survey'!Q25-'Existing Levels Drone Survey'!Q25</f>
        <v>0</v>
      </c>
      <c r="R25" s="191">
        <f>'Functional Levels Drone Survey'!R25-'Existing Levels Drone Survey'!R25</f>
        <v>0</v>
      </c>
      <c r="S25" s="191">
        <f>'Functional Levels Drone Survey'!S25-'Existing Levels Drone Survey'!S25</f>
        <v>0</v>
      </c>
      <c r="T25" s="191">
        <f>'Functional Levels Drone Survey'!T25-'Existing Levels Drone Survey'!T25</f>
        <v>0</v>
      </c>
      <c r="U25" s="191">
        <f>'Functional Levels Drone Survey'!U25-'Existing Levels Drone Survey'!U25</f>
        <v>0</v>
      </c>
      <c r="V25" s="191">
        <f>'Functional Levels Drone Survey'!V25-'Existing Levels Drone Survey'!V25</f>
        <v>0</v>
      </c>
      <c r="W25" s="191">
        <f>'Functional Levels Drone Survey'!W25-'Existing Levels Drone Survey'!W25</f>
        <v>0</v>
      </c>
      <c r="X25" s="191">
        <f>'Functional Levels Drone Survey'!X25-'Existing Levels Drone Survey'!X25</f>
        <v>0</v>
      </c>
      <c r="Y25" s="191">
        <f>'Functional Levels Drone Survey'!Y25-'Existing Levels Drone Survey'!Y25</f>
        <v>0</v>
      </c>
      <c r="Z25" s="191">
        <f>'Functional Levels Drone Survey'!Z25-'Existing Levels Drone Survey'!Z25</f>
        <v>0</v>
      </c>
      <c r="AA25" s="191">
        <f>'Functional Levels Drone Survey'!AA25-'Existing Levels Drone Survey'!AA25</f>
        <v>0</v>
      </c>
      <c r="AB25" s="191">
        <f>'Functional Levels Drone Survey'!AB25-'Existing Levels Drone Survey'!AB25</f>
        <v>0</v>
      </c>
      <c r="AC25" s="191">
        <f>'Functional Levels Drone Survey'!AC25-'Existing Levels Drone Survey'!AC25</f>
        <v>0</v>
      </c>
      <c r="AD25" s="191">
        <f>'Functional Levels Drone Survey'!AD25-'Existing Levels Drone Survey'!AD25</f>
        <v>0</v>
      </c>
      <c r="AE25" s="191">
        <f>'Functional Levels Drone Survey'!AE25-'Existing Levels Drone Survey'!AE25</f>
        <v>0</v>
      </c>
      <c r="AF25" s="191">
        <f>'Functional Levels Drone Survey'!AF25-'Existing Levels Drone Survey'!AF25</f>
        <v>0</v>
      </c>
      <c r="AG25" s="191">
        <f>'Functional Levels Drone Survey'!AG25-'Existing Levels Drone Survey'!AG25</f>
        <v>0</v>
      </c>
      <c r="AH25" s="191">
        <f>'Functional Levels Drone Survey'!AH25-'Existing Levels Drone Survey'!AH25</f>
        <v>0</v>
      </c>
      <c r="AI25" s="191">
        <f>'Functional Levels Drone Survey'!AI25-'Existing Levels Drone Survey'!AI25</f>
        <v>0</v>
      </c>
      <c r="AJ25" s="191">
        <f>'Functional Levels Drone Survey'!AJ25-'Existing Levels Drone Survey'!AJ25</f>
        <v>0</v>
      </c>
      <c r="AK25" s="191">
        <f>'Functional Levels Drone Survey'!AK25-'Existing Levels Drone Survey'!AK25</f>
        <v>0</v>
      </c>
      <c r="AL25" s="191">
        <f>'Functional Levels Drone Survey'!AL25-'Existing Levels Drone Survey'!AL25</f>
        <v>0</v>
      </c>
      <c r="AM25" s="191">
        <f>'Functional Levels Drone Survey'!AM25-'Existing Levels Drone Survey'!AM25</f>
        <v>0</v>
      </c>
      <c r="AN25" s="191">
        <f>'Functional Levels Drone Survey'!AN25-'Existing Levels Drone Survey'!AN25</f>
        <v>0</v>
      </c>
      <c r="AO25" s="191">
        <f>'Functional Levels Drone Survey'!AO25-'Existing Levels Drone Survey'!AO25</f>
        <v>0</v>
      </c>
      <c r="AP25" s="191">
        <f>'Functional Levels Drone Survey'!AP25-'Existing Levels Drone Survey'!AP25</f>
        <v>0</v>
      </c>
      <c r="AQ25" s="191">
        <f>'Functional Levels Drone Survey'!AQ25-'Existing Levels Drone Survey'!AQ25</f>
        <v>0</v>
      </c>
      <c r="AR25" s="191">
        <f>'Functional Levels Drone Survey'!AR25-'Existing Levels Drone Survey'!AR25</f>
        <v>0</v>
      </c>
      <c r="AS25" s="191">
        <f>'Functional Levels Drone Survey'!AS25-'Existing Levels Drone Survey'!AS25</f>
        <v>0</v>
      </c>
      <c r="AT25" s="191">
        <f>'Functional Levels Drone Survey'!AT25-'Existing Levels Drone Survey'!AT25</f>
        <v>0</v>
      </c>
      <c r="AU25" s="191">
        <f>'Functional Levels Drone Survey'!AU25-'Existing Levels Drone Survey'!AU25</f>
        <v>0</v>
      </c>
      <c r="AV25" s="191">
        <f>'Functional Levels Drone Survey'!AV25-'Existing Levels Drone Survey'!AV25</f>
        <v>0</v>
      </c>
      <c r="AW25" s="191">
        <f>'Functional Levels Drone Survey'!AW25-'Existing Levels Drone Survey'!AW25</f>
        <v>0</v>
      </c>
      <c r="AX25" s="191">
        <f>'Functional Levels Drone Survey'!AX25-'Existing Levels Drone Survey'!AX25</f>
        <v>0</v>
      </c>
      <c r="AY25" s="191">
        <f>'Functional Levels Drone Survey'!AY25-'Existing Levels Drone Survey'!AY25</f>
        <v>0</v>
      </c>
      <c r="AZ25" s="191">
        <f>'Functional Levels Drone Survey'!AZ25-'Existing Levels Drone Survey'!AZ25</f>
        <v>0</v>
      </c>
      <c r="BA25" s="278">
        <f>'Functional Levels Drone Survey'!BA25-'Existing Levels Drone Survey'!BA25</f>
        <v>0</v>
      </c>
      <c r="BB25" s="278">
        <f>'Functional Levels Drone Survey'!BB25-'Existing Levels Drone Survey'!BB25</f>
        <v>0</v>
      </c>
      <c r="BC25" s="278">
        <f>'Functional Levels Drone Survey'!BC25-'Existing Levels Drone Survey'!BC25</f>
        <v>-0.45596000000011827</v>
      </c>
      <c r="BD25" s="278">
        <f>'Functional Levels Drone Survey'!BD25-'Existing Levels Drone Survey'!BD25</f>
        <v>-0.26556000000010727</v>
      </c>
      <c r="BE25" s="278">
        <f>'Functional Levels Drone Survey'!BE25-'Existing Levels Drone Survey'!BE25</f>
        <v>-0.74286000000012109</v>
      </c>
      <c r="BF25" s="278">
        <f>'Functional Levels Drone Survey'!BF25-'Existing Levels Drone Survey'!BF25</f>
        <v>-0.79766000000012127</v>
      </c>
      <c r="BG25" s="278">
        <f>'Functional Levels Drone Survey'!BG25-'Existing Levels Drone Survey'!BG25</f>
        <v>-1.2886600000001067</v>
      </c>
      <c r="BH25" s="191">
        <f>'Functional Levels Drone Survey'!BH25-'Existing Levels Drone Survey'!BH25</f>
        <v>-1.0328600000000847</v>
      </c>
      <c r="BI25" s="191">
        <f>'Functional Levels Drone Survey'!BI25-'Existing Levels Drone Survey'!BI25</f>
        <v>-0.90866000000011127</v>
      </c>
      <c r="BJ25" s="191">
        <f>'Functional Levels Drone Survey'!BJ25-'Existing Levels Drone Survey'!BJ25</f>
        <v>-1.1805600000001277</v>
      </c>
      <c r="BK25" s="191">
        <f>'Functional Levels Drone Survey'!BK25-'Existing Levels Drone Survey'!BK25</f>
        <v>-0.89826000000010708</v>
      </c>
      <c r="BL25" s="191">
        <f>'Functional Levels Drone Survey'!BL25-'Existing Levels Drone Survey'!BL25</f>
        <v>-0.80456000000009453</v>
      </c>
      <c r="BM25" s="191">
        <f>'Functional Levels Drone Survey'!BM25-'Existing Levels Drone Survey'!BM25</f>
        <v>-0.87926000000010163</v>
      </c>
      <c r="BN25" s="191">
        <f>'Functional Levels Drone Survey'!BN25-'Existing Levels Drone Survey'!BN25</f>
        <v>-0.81206000000008771</v>
      </c>
      <c r="BO25" s="191">
        <f>'Functional Levels Drone Survey'!BO25-'Existing Levels Drone Survey'!BO25</f>
        <v>-1.0512600000001271</v>
      </c>
      <c r="BP25" s="191">
        <f>'Functional Levels Drone Survey'!BP25-'Existing Levels Drone Survey'!BP25</f>
        <v>-0.98846000000008871</v>
      </c>
      <c r="BQ25" s="191">
        <f>'Functional Levels Drone Survey'!BQ25-'Existing Levels Drone Survey'!BQ25</f>
        <v>-0.90276000000011436</v>
      </c>
      <c r="BR25" s="278">
        <f>'Functional Levels Drone Survey'!BR25-'Existing Levels Drone Survey'!BR25</f>
        <v>-0.44466000000011263</v>
      </c>
      <c r="BS25" s="278">
        <f>'Functional Levels Drone Survey'!BS25-'Existing Levels Drone Survey'!BS25</f>
        <v>-0.46196000000009008</v>
      </c>
      <c r="BT25" s="278">
        <f>'Functional Levels Drone Survey'!BT25-'Existing Levels Drone Survey'!BT25</f>
        <v>8.1639999999879365E-2</v>
      </c>
      <c r="BU25" s="278">
        <f>'Functional Levels Drone Survey'!BU25-'Existing Levels Drone Survey'!BU25</f>
        <v>-4.6000000008916686E-4</v>
      </c>
      <c r="BV25" s="191">
        <f>'Functional Levels Drone Survey'!BV25-'Existing Levels Drone Survey'!BV25</f>
        <v>0</v>
      </c>
      <c r="BW25" s="191">
        <f>'Functional Levels Drone Survey'!BW25-'Existing Levels Drone Survey'!BW25</f>
        <v>0</v>
      </c>
      <c r="BX25" s="191">
        <f>'Functional Levels Drone Survey'!BX25-'Existing Levels Drone Survey'!BX25</f>
        <v>0</v>
      </c>
      <c r="BY25" s="191">
        <f>'Functional Levels Drone Survey'!BY25-'Existing Levels Drone Survey'!BY25</f>
        <v>0</v>
      </c>
      <c r="BZ25" s="191">
        <f>'Functional Levels Drone Survey'!BZ25-'Existing Levels Drone Survey'!BZ25</f>
        <v>0</v>
      </c>
      <c r="CA25" s="191">
        <f>'Functional Levels Drone Survey'!CA25-'Existing Levels Drone Survey'!CA25</f>
        <v>0</v>
      </c>
      <c r="CB25" s="191">
        <f>'Functional Levels Drone Survey'!CB25-'Existing Levels Drone Survey'!CB25</f>
        <v>0</v>
      </c>
      <c r="CC25" s="191">
        <f>'Functional Levels Drone Survey'!CC25-'Existing Levels Drone Survey'!CC25</f>
        <v>0</v>
      </c>
      <c r="CD25" s="278">
        <f>'Functional Levels Drone Survey'!CD25-'Existing Levels Drone Survey'!CD25</f>
        <v>-3.6000000001195076E-3</v>
      </c>
      <c r="CE25" s="191">
        <f>'Functional Levels Drone Survey'!CE25-'Existing Levels Drone Survey'!CE25</f>
        <v>-1.0677000000001158</v>
      </c>
      <c r="CF25" s="191">
        <f>'Functional Levels Drone Survey'!CF25-'Existing Levels Drone Survey'!CF25</f>
        <v>-0.9302000000000703</v>
      </c>
      <c r="CG25" s="279">
        <f>'Functional Levels Drone Survey'!CG25-'Existing Levels Drone Survey'!CG25</f>
        <v>-0.82470000000006394</v>
      </c>
      <c r="CH25" s="191">
        <f>'Functional Levels Drone Survey'!CH25-'Existing Levels Drone Survey'!CH25</f>
        <v>-0.34040000000010195</v>
      </c>
      <c r="CI25" s="191">
        <f>'Functional Levels Drone Survey'!CI25-'Existing Levels Drone Survey'!CI25</f>
        <v>-0.47690000000011423</v>
      </c>
      <c r="CJ25" s="191">
        <f>'Functional Levels Drone Survey'!CJ25-'Existing Levels Drone Survey'!CJ25</f>
        <v>-0.35690000000010969</v>
      </c>
      <c r="CK25" s="191">
        <f>'Functional Levels Drone Survey'!CK25-'Existing Levels Drone Survey'!CK25</f>
        <v>-0.3769000000000915</v>
      </c>
      <c r="CL25" s="191">
        <f>'Functional Levels Drone Survey'!CL25-'Existing Levels Drone Survey'!CL25</f>
        <v>-0.31800000000009732</v>
      </c>
      <c r="CM25" s="191">
        <f>'Functional Levels Drone Survey'!CM25-'Existing Levels Drone Survey'!CM25</f>
        <v>-0.39120000000008304</v>
      </c>
      <c r="CN25" s="279">
        <f>'Functional Levels Drone Survey'!CN25-'Existing Levels Drone Survey'!CN25</f>
        <v>-0.32160000000010314</v>
      </c>
      <c r="CO25" s="191">
        <f>'Functional Levels Drone Survey'!CO25-'Existing Levels Drone Survey'!CO25</f>
        <v>-0.55310000000008586</v>
      </c>
      <c r="CP25" s="191">
        <f>'Functional Levels Drone Survey'!CP25-'Existing Levels Drone Survey'!CP25</f>
        <v>-0.40540000000009968</v>
      </c>
      <c r="CQ25" s="191">
        <f>'Functional Levels Drone Survey'!CQ25-'Existing Levels Drone Survey'!CQ25</f>
        <v>-0.60150000000010095</v>
      </c>
      <c r="CR25" s="191">
        <f>'Functional Levels Drone Survey'!CR25-'Existing Levels Drone Survey'!CR25</f>
        <v>-0.65880000000009886</v>
      </c>
      <c r="CS25" s="191">
        <f>'Functional Levels Drone Survey'!CS25-'Existing Levels Drone Survey'!CS25</f>
        <v>-0.42590000000006967</v>
      </c>
      <c r="CT25" s="191">
        <f>'Functional Levels Drone Survey'!CT25-'Existing Levels Drone Survey'!CT25</f>
        <v>-0.88180000000005521</v>
      </c>
      <c r="CU25" s="191">
        <f>'Functional Levels Drone Survey'!CU25-'Existing Levels Drone Survey'!CU25</f>
        <v>-0.89900000000005775</v>
      </c>
      <c r="CV25" s="191">
        <f>'Functional Levels Drone Survey'!CV25-'Existing Levels Drone Survey'!CV25</f>
        <v>-0.88350000000008322</v>
      </c>
      <c r="CW25" s="278">
        <f>'Functional Levels Drone Survey'!CW25-'Existing Levels Drone Survey'!CW25</f>
        <v>-0.9647000000000503</v>
      </c>
      <c r="CX25" s="278">
        <f>'Functional Levels Drone Survey'!CX25-'Existing Levels Drone Survey'!CX25</f>
        <v>-0.84490000000005239</v>
      </c>
      <c r="CY25" s="278">
        <f>'Functional Levels Drone Survey'!CY25-'Existing Levels Drone Survey'!CY25</f>
        <v>-0.9020000000001005</v>
      </c>
      <c r="CZ25" s="278">
        <f>'Functional Levels Drone Survey'!CZ25-'Existing Levels Drone Survey'!CZ25</f>
        <v>-0.84060000000005175</v>
      </c>
      <c r="DA25" s="278">
        <f>'Functional Levels Drone Survey'!DA25-'Existing Levels Drone Survey'!DA25</f>
        <v>-0.73130000000008977</v>
      </c>
      <c r="DB25" s="191">
        <f>'Functional Levels Drone Survey'!DB25-'Existing Levels Drone Survey'!DB25</f>
        <v>-0.5967000000000553</v>
      </c>
      <c r="DC25" s="191">
        <f>'Functional Levels Drone Survey'!DC25-'Existing Levels Drone Survey'!DC25</f>
        <v>-0.37020000000006803</v>
      </c>
      <c r="DD25" s="191">
        <f>'Functional Levels Drone Survey'!DD25-'Existing Levels Drone Survey'!DD25</f>
        <v>-0.48700000000008004</v>
      </c>
      <c r="DE25" s="191">
        <f>'Functional Levels Drone Survey'!DE25-'Existing Levels Drone Survey'!DE25</f>
        <v>-0.36150000000009186</v>
      </c>
      <c r="DF25" s="191">
        <f>'Functional Levels Drone Survey'!DF25-'Existing Levels Drone Survey'!DF25</f>
        <v>-0.15490000000005466</v>
      </c>
      <c r="DG25" s="191">
        <f>'Functional Levels Drone Survey'!DG25-'Existing Levels Drone Survey'!DG25</f>
        <v>-0.17660000000006448</v>
      </c>
      <c r="DH25" s="191">
        <f>'Functional Levels Drone Survey'!DH25-'Existing Levels Drone Survey'!DH25</f>
        <v>-0.23010000000004993</v>
      </c>
      <c r="DI25" s="191">
        <f>'Functional Levels Drone Survey'!DI25-'Existing Levels Drone Survey'!DI25</f>
        <v>-0.38680000000005066</v>
      </c>
      <c r="DJ25" s="279">
        <f>'Functional Levels Drone Survey'!DJ25-'Existing Levels Drone Survey'!DJ25</f>
        <v>-0.1195777777778062</v>
      </c>
      <c r="DK25" s="191">
        <f>'Functional Levels Drone Survey'!DK25-'Existing Levels Drone Survey'!DK25</f>
        <v>-0.19817777777780066</v>
      </c>
      <c r="DL25" s="191">
        <f>'Functional Levels Drone Survey'!DL25-'Existing Levels Drone Survey'!DL25</f>
        <v>-0.29217777777779474</v>
      </c>
      <c r="DM25" s="191">
        <f>'Functional Levels Drone Survey'!DM25-'Existing Levels Drone Survey'!DM25</f>
        <v>-0.27617777777777519</v>
      </c>
      <c r="DN25" s="191">
        <f>'Functional Levels Drone Survey'!DN25-'Existing Levels Drone Survey'!DN25</f>
        <v>-0.46367777777777519</v>
      </c>
      <c r="DO25" s="191">
        <f>'Functional Levels Drone Survey'!DO25-'Existing Levels Drone Survey'!DO25</f>
        <v>-0.34517777777779202</v>
      </c>
      <c r="DP25" s="191">
        <f>'Functional Levels Drone Survey'!DP25-'Existing Levels Drone Survey'!DP25</f>
        <v>-0.3848777777777741</v>
      </c>
      <c r="DQ25" s="191">
        <f>'Functional Levels Drone Survey'!DQ25-'Existing Levels Drone Survey'!DQ25</f>
        <v>-0.44497777777780811</v>
      </c>
      <c r="DR25" s="191">
        <f>'Functional Levels Drone Survey'!DR25-'Existing Levels Drone Survey'!DR25</f>
        <v>-0.25907777777780439</v>
      </c>
      <c r="DS25" s="191">
        <f>'Functional Levels Drone Survey'!DS25-'Existing Levels Drone Survey'!DS25</f>
        <v>-5.6677777777792926E-2</v>
      </c>
      <c r="DT25" s="191">
        <f>'Functional Levels Drone Survey'!DT25-'Existing Levels Drone Survey'!DT25</f>
        <v>-0.11937777777779957</v>
      </c>
      <c r="DU25" s="191">
        <f>'Functional Levels Drone Survey'!DU25-'Existing Levels Drone Survey'!DU25</f>
        <v>5.2322222222244363E-2</v>
      </c>
      <c r="DV25" s="191">
        <f>'Functional Levels Drone Survey'!DV25-'Existing Levels Drone Survey'!DV25</f>
        <v>0.31872222222222035</v>
      </c>
      <c r="DW25" s="191">
        <f>'Functional Levels Drone Survey'!DW25-'Existing Levels Drone Survey'!DW25</f>
        <v>-0.17967777777778338</v>
      </c>
      <c r="DX25" s="191">
        <f>'Functional Levels Drone Survey'!DX25-'Existing Levels Drone Survey'!DX25</f>
        <v>0.10912222222219725</v>
      </c>
      <c r="DY25" s="191">
        <f>'Functional Levels Drone Survey'!DY25-'Existing Levels Drone Survey'!DY25</f>
        <v>-3.8477777777757183E-2</v>
      </c>
      <c r="DZ25" s="191">
        <f>'Functional Levels Drone Survey'!DZ25-'Existing Levels Drone Survey'!DZ25</f>
        <v>0.14512222222219862</v>
      </c>
      <c r="EA25" s="279">
        <f>'Functional Levels Drone Survey'!EA25-'Existing Levels Drone Survey'!EA25</f>
        <v>9.9722222222226264E-2</v>
      </c>
      <c r="EB25" s="191">
        <f>'Functional Levels Drone Survey'!EB25-'Existing Levels Drone Survey'!EB25</f>
        <v>1.6063157894677715E-2</v>
      </c>
      <c r="EC25" s="279">
        <f>'Functional Levels Drone Survey'!EC25-'Existing Levels Drone Survey'!EC25</f>
        <v>5.586315789469154E-2</v>
      </c>
      <c r="ED25" s="191">
        <f>'Functional Levels Drone Survey'!ED25-'Existing Levels Drone Survey'!ED25</f>
        <v>3.5063157894683172E-2</v>
      </c>
      <c r="EE25" s="191">
        <f>'Functional Levels Drone Survey'!EE25-'Existing Levels Drone Survey'!EE25</f>
        <v>7.3063157894694086E-2</v>
      </c>
      <c r="EF25" s="191">
        <f>'Functional Levels Drone Survey'!EF25-'Existing Levels Drone Survey'!EF25</f>
        <v>4.9863157894662891E-2</v>
      </c>
      <c r="EG25" s="191">
        <f>'Functional Levels Drone Survey'!EG25-'Existing Levels Drone Survey'!EG25</f>
        <v>0.21016315789466944</v>
      </c>
      <c r="EH25" s="191">
        <f>'Functional Levels Drone Survey'!EH25-'Existing Levels Drone Survey'!EH25</f>
        <v>0.15676315789465889</v>
      </c>
      <c r="EI25" s="191">
        <f>'Functional Levels Drone Survey'!EI25-'Existing Levels Drone Survey'!EI25</f>
        <v>0.22606315789465725</v>
      </c>
      <c r="EJ25" s="191">
        <f>'Functional Levels Drone Survey'!EJ25-'Existing Levels Drone Survey'!EJ25</f>
        <v>0.31936315789465652</v>
      </c>
      <c r="EK25" s="191">
        <f>'Functional Levels Drone Survey'!EK25-'Existing Levels Drone Survey'!EK25</f>
        <v>7.3263157894700726E-2</v>
      </c>
      <c r="EL25" s="191">
        <f>'Functional Levels Drone Survey'!EL25-'Existing Levels Drone Survey'!EL25</f>
        <v>0.14416315789469536</v>
      </c>
      <c r="EM25" s="191">
        <f>'Functional Levels Drone Survey'!EM25-'Existing Levels Drone Survey'!EM25</f>
        <v>-3.9136842105335745E-2</v>
      </c>
      <c r="EN25" s="191">
        <f>'Functional Levels Drone Survey'!EN25-'Existing Levels Drone Survey'!EN25</f>
        <v>0.14636315789465471</v>
      </c>
      <c r="EO25" s="191">
        <f>'Functional Levels Drone Survey'!EO25-'Existing Levels Drone Survey'!EO25</f>
        <v>0.29916315789466807</v>
      </c>
      <c r="EP25" s="191">
        <f>'Functional Levels Drone Survey'!EP25-'Existing Levels Drone Survey'!EP25</f>
        <v>0.29136315789469336</v>
      </c>
      <c r="EQ25" s="191">
        <f>'Functional Levels Drone Survey'!EQ25-'Existing Levels Drone Survey'!EQ25</f>
        <v>0.36626315789470709</v>
      </c>
      <c r="ER25" s="191">
        <f>'Functional Levels Drone Survey'!ER25-'Existing Levels Drone Survey'!ER25</f>
        <v>0.35496315789470145</v>
      </c>
      <c r="ES25" s="191">
        <f>'Functional Levels Drone Survey'!ES25-'Existing Levels Drone Survey'!ES25</f>
        <v>0.33876315789467526</v>
      </c>
      <c r="ET25" s="191">
        <f>'Functional Levels Drone Survey'!ET25-'Existing Levels Drone Survey'!ET25</f>
        <v>0.35856315789470727</v>
      </c>
      <c r="EU25" s="279">
        <f>'Functional Levels Drone Survey'!EU25-'Existing Levels Drone Survey'!EU25</f>
        <v>0.35446315789465643</v>
      </c>
      <c r="EV25" s="191">
        <f>'Functional Levels Drone Survey'!EV25-'Existing Levels Drone Survey'!EV25</f>
        <v>5.2863157894648793E-2</v>
      </c>
      <c r="EW25" s="191">
        <f>'Functional Levels Drone Survey'!EW25-'Existing Levels Drone Survey'!EW25</f>
        <v>0.30366315789467535</v>
      </c>
      <c r="EX25" s="191">
        <f>'Functional Levels Drone Survey'!EX25-'Existing Levels Drone Survey'!EX25</f>
        <v>0.29546315789463051</v>
      </c>
      <c r="EY25" s="278">
        <f>'Functional Levels Drone Survey'!EY25-'Existing Levels Drone Survey'!EY25</f>
        <v>-0.14483684210534875</v>
      </c>
    </row>
    <row r="26" spans="1:155" ht="45" customHeight="1" x14ac:dyDescent="0.45">
      <c r="A26" s="277">
        <v>125</v>
      </c>
      <c r="B26" s="191">
        <f>'Functional Levels Drone Survey'!B26-'Existing Levels Drone Survey'!B26</f>
        <v>0</v>
      </c>
      <c r="C26" s="191">
        <f>'Functional Levels Drone Survey'!C26-'Existing Levels Drone Survey'!C26</f>
        <v>0</v>
      </c>
      <c r="D26" s="191">
        <f>'Functional Levels Drone Survey'!D26-'Existing Levels Drone Survey'!D26</f>
        <v>0</v>
      </c>
      <c r="E26" s="191">
        <f>'Functional Levels Drone Survey'!E26-'Existing Levels Drone Survey'!E26</f>
        <v>0</v>
      </c>
      <c r="F26" s="191">
        <f>'Functional Levels Drone Survey'!F26-'Existing Levels Drone Survey'!F26</f>
        <v>0</v>
      </c>
      <c r="G26" s="191">
        <f>'Functional Levels Drone Survey'!G26-'Existing Levels Drone Survey'!G26</f>
        <v>0</v>
      </c>
      <c r="H26" s="191">
        <f>'Functional Levels Drone Survey'!H26-'Existing Levels Drone Survey'!H26</f>
        <v>0</v>
      </c>
      <c r="I26" s="191">
        <f>'Functional Levels Drone Survey'!I26-'Existing Levels Drone Survey'!I26</f>
        <v>0</v>
      </c>
      <c r="J26" s="191">
        <f>'Functional Levels Drone Survey'!J26-'Existing Levels Drone Survey'!J26</f>
        <v>0</v>
      </c>
      <c r="K26" s="191">
        <f>'Functional Levels Drone Survey'!K26-'Existing Levels Drone Survey'!K26</f>
        <v>0</v>
      </c>
      <c r="L26" s="191">
        <f>'Functional Levels Drone Survey'!L26-'Existing Levels Drone Survey'!L26</f>
        <v>0</v>
      </c>
      <c r="M26" s="191">
        <f>'Functional Levels Drone Survey'!M26-'Existing Levels Drone Survey'!M26</f>
        <v>0</v>
      </c>
      <c r="N26" s="191">
        <f>'Functional Levels Drone Survey'!N26-'Existing Levels Drone Survey'!N26</f>
        <v>0</v>
      </c>
      <c r="O26" s="191">
        <f>'Functional Levels Drone Survey'!O26-'Existing Levels Drone Survey'!O26</f>
        <v>0</v>
      </c>
      <c r="P26" s="191">
        <f>'Functional Levels Drone Survey'!P26-'Existing Levels Drone Survey'!P26</f>
        <v>0</v>
      </c>
      <c r="Q26" s="191">
        <f>'Functional Levels Drone Survey'!Q26-'Existing Levels Drone Survey'!Q26</f>
        <v>0</v>
      </c>
      <c r="R26" s="191">
        <f>'Functional Levels Drone Survey'!R26-'Existing Levels Drone Survey'!R26</f>
        <v>0</v>
      </c>
      <c r="S26" s="191">
        <f>'Functional Levels Drone Survey'!S26-'Existing Levels Drone Survey'!S26</f>
        <v>0</v>
      </c>
      <c r="T26" s="191">
        <f>'Functional Levels Drone Survey'!T26-'Existing Levels Drone Survey'!T26</f>
        <v>0</v>
      </c>
      <c r="U26" s="191">
        <f>'Functional Levels Drone Survey'!U26-'Existing Levels Drone Survey'!U26</f>
        <v>0</v>
      </c>
      <c r="V26" s="191">
        <f>'Functional Levels Drone Survey'!V26-'Existing Levels Drone Survey'!V26</f>
        <v>0</v>
      </c>
      <c r="W26" s="191">
        <f>'Functional Levels Drone Survey'!W26-'Existing Levels Drone Survey'!W26</f>
        <v>0</v>
      </c>
      <c r="X26" s="191">
        <f>'Functional Levels Drone Survey'!X26-'Existing Levels Drone Survey'!X26</f>
        <v>0</v>
      </c>
      <c r="Y26" s="191">
        <f>'Functional Levels Drone Survey'!Y26-'Existing Levels Drone Survey'!Y26</f>
        <v>0</v>
      </c>
      <c r="Z26" s="191">
        <f>'Functional Levels Drone Survey'!Z26-'Existing Levels Drone Survey'!Z26</f>
        <v>0</v>
      </c>
      <c r="AA26" s="191">
        <f>'Functional Levels Drone Survey'!AA26-'Existing Levels Drone Survey'!AA26</f>
        <v>0</v>
      </c>
      <c r="AB26" s="191">
        <f>'Functional Levels Drone Survey'!AB26-'Existing Levels Drone Survey'!AB26</f>
        <v>0</v>
      </c>
      <c r="AC26" s="191">
        <f>'Functional Levels Drone Survey'!AC26-'Existing Levels Drone Survey'!AC26</f>
        <v>0</v>
      </c>
      <c r="AD26" s="191">
        <f>'Functional Levels Drone Survey'!AD26-'Existing Levels Drone Survey'!AD26</f>
        <v>0</v>
      </c>
      <c r="AE26" s="191">
        <f>'Functional Levels Drone Survey'!AE26-'Existing Levels Drone Survey'!AE26</f>
        <v>0</v>
      </c>
      <c r="AF26" s="191">
        <f>'Functional Levels Drone Survey'!AF26-'Existing Levels Drone Survey'!AF26</f>
        <v>0</v>
      </c>
      <c r="AG26" s="191">
        <f>'Functional Levels Drone Survey'!AG26-'Existing Levels Drone Survey'!AG26</f>
        <v>0</v>
      </c>
      <c r="AH26" s="191">
        <f>'Functional Levels Drone Survey'!AH26-'Existing Levels Drone Survey'!AH26</f>
        <v>0</v>
      </c>
      <c r="AI26" s="191">
        <f>'Functional Levels Drone Survey'!AI26-'Existing Levels Drone Survey'!AI26</f>
        <v>0</v>
      </c>
      <c r="AJ26" s="191">
        <f>'Functional Levels Drone Survey'!AJ26-'Existing Levels Drone Survey'!AJ26</f>
        <v>0</v>
      </c>
      <c r="AK26" s="191">
        <f>'Functional Levels Drone Survey'!AK26-'Existing Levels Drone Survey'!AK26</f>
        <v>0</v>
      </c>
      <c r="AL26" s="191">
        <f>'Functional Levels Drone Survey'!AL26-'Existing Levels Drone Survey'!AL26</f>
        <v>0</v>
      </c>
      <c r="AM26" s="191">
        <f>'Functional Levels Drone Survey'!AM26-'Existing Levels Drone Survey'!AM26</f>
        <v>0</v>
      </c>
      <c r="AN26" s="191">
        <f>'Functional Levels Drone Survey'!AN26-'Existing Levels Drone Survey'!AN26</f>
        <v>0</v>
      </c>
      <c r="AO26" s="191">
        <f>'Functional Levels Drone Survey'!AO26-'Existing Levels Drone Survey'!AO26</f>
        <v>0</v>
      </c>
      <c r="AP26" s="191">
        <f>'Functional Levels Drone Survey'!AP26-'Existing Levels Drone Survey'!AP26</f>
        <v>0</v>
      </c>
      <c r="AQ26" s="191">
        <f>'Functional Levels Drone Survey'!AQ26-'Existing Levels Drone Survey'!AQ26</f>
        <v>0</v>
      </c>
      <c r="AR26" s="191">
        <f>'Functional Levels Drone Survey'!AR26-'Existing Levels Drone Survey'!AR26</f>
        <v>0</v>
      </c>
      <c r="AS26" s="191">
        <f>'Functional Levels Drone Survey'!AS26-'Existing Levels Drone Survey'!AS26</f>
        <v>0</v>
      </c>
      <c r="AT26" s="191">
        <f>'Functional Levels Drone Survey'!AT26-'Existing Levels Drone Survey'!AT26</f>
        <v>0</v>
      </c>
      <c r="AU26" s="191">
        <f>'Functional Levels Drone Survey'!AU26-'Existing Levels Drone Survey'!AU26</f>
        <v>0</v>
      </c>
      <c r="AV26" s="191">
        <f>'Functional Levels Drone Survey'!AV26-'Existing Levels Drone Survey'!AV26</f>
        <v>0</v>
      </c>
      <c r="AW26" s="191">
        <f>'Functional Levels Drone Survey'!AW26-'Existing Levels Drone Survey'!AW26</f>
        <v>0</v>
      </c>
      <c r="AX26" s="191">
        <f>'Functional Levels Drone Survey'!AX26-'Existing Levels Drone Survey'!AX26</f>
        <v>0</v>
      </c>
      <c r="AY26" s="191">
        <f>'Functional Levels Drone Survey'!AY26-'Existing Levels Drone Survey'!AY26</f>
        <v>0</v>
      </c>
      <c r="AZ26" s="191">
        <f>'Functional Levels Drone Survey'!AZ26-'Existing Levels Drone Survey'!AZ26</f>
        <v>0</v>
      </c>
      <c r="BA26" s="278">
        <f>'Functional Levels Drone Survey'!BA26-'Existing Levels Drone Survey'!BA26</f>
        <v>0</v>
      </c>
      <c r="BB26" s="191">
        <f>'Functional Levels Drone Survey'!BB26-'Existing Levels Drone Survey'!BB26</f>
        <v>-0.81326000000012755</v>
      </c>
      <c r="BC26" s="191">
        <f>'Functional Levels Drone Survey'!BC26-'Existing Levels Drone Survey'!BC26</f>
        <v>-1.1226600000001099</v>
      </c>
      <c r="BD26" s="191">
        <f>'Functional Levels Drone Survey'!BD26-'Existing Levels Drone Survey'!BD26</f>
        <v>-1.0043600000001334</v>
      </c>
      <c r="BE26" s="191">
        <f>'Functional Levels Drone Survey'!BE26-'Existing Levels Drone Survey'!BE26</f>
        <v>-0.94886000000008153</v>
      </c>
      <c r="BF26" s="191">
        <f>'Functional Levels Drone Survey'!BF26-'Existing Levels Drone Survey'!BF26</f>
        <v>-0.97206000000011272</v>
      </c>
      <c r="BG26" s="191">
        <f>'Functional Levels Drone Survey'!BG26-'Existing Levels Drone Survey'!BG26</f>
        <v>-0.96716000000009217</v>
      </c>
      <c r="BH26" s="191">
        <f>'Functional Levels Drone Survey'!BH26-'Existing Levels Drone Survey'!BH26</f>
        <v>-0.77656000000013137</v>
      </c>
      <c r="BI26" s="191">
        <f>'Functional Levels Drone Survey'!BI26-'Existing Levels Drone Survey'!BI26</f>
        <v>-0.72616000000010672</v>
      </c>
      <c r="BJ26" s="191">
        <f>'Functional Levels Drone Survey'!BJ26-'Existing Levels Drone Survey'!BJ26</f>
        <v>-0.82916000000011536</v>
      </c>
      <c r="BK26" s="191">
        <f>'Functional Levels Drone Survey'!BK26-'Existing Levels Drone Survey'!BK26</f>
        <v>-0.76906000000013819</v>
      </c>
      <c r="BL26" s="191">
        <f>'Functional Levels Drone Survey'!BL26-'Existing Levels Drone Survey'!BL26</f>
        <v>-0.55656000000010408</v>
      </c>
      <c r="BM26" s="191">
        <f>'Functional Levels Drone Survey'!BM26-'Existing Levels Drone Survey'!BM26</f>
        <v>-0.60146000000008826</v>
      </c>
      <c r="BN26" s="191">
        <f>'Functional Levels Drone Survey'!BN26-'Existing Levels Drone Survey'!BN26</f>
        <v>-0.52306000000010044</v>
      </c>
      <c r="BO26" s="191">
        <f>'Functional Levels Drone Survey'!BO26-'Existing Levels Drone Survey'!BO26</f>
        <v>-0.52186000000011745</v>
      </c>
      <c r="BP26" s="191">
        <f>'Functional Levels Drone Survey'!BP26-'Existing Levels Drone Survey'!BP26</f>
        <v>-0.58456000000012409</v>
      </c>
      <c r="BQ26" s="191">
        <f>'Functional Levels Drone Survey'!BQ26-'Existing Levels Drone Survey'!BQ26</f>
        <v>-0.41236000000009199</v>
      </c>
      <c r="BR26" s="191">
        <f>'Functional Levels Drone Survey'!BR26-'Existing Levels Drone Survey'!BR26</f>
        <v>-0.55676000000011072</v>
      </c>
      <c r="BS26" s="191">
        <f>'Functional Levels Drone Survey'!BS26-'Existing Levels Drone Survey'!BS26</f>
        <v>-0.56446000000011054</v>
      </c>
      <c r="BT26" s="191">
        <f>'Functional Levels Drone Survey'!BT26-'Existing Levels Drone Survey'!BT26</f>
        <v>-0.44046000000008689</v>
      </c>
      <c r="BU26" s="191">
        <f>'Functional Levels Drone Survey'!BU26-'Existing Levels Drone Survey'!BU26</f>
        <v>-0.62736000000012382</v>
      </c>
      <c r="BV26" s="278">
        <f>'Functional Levels Drone Survey'!BV26-'Existing Levels Drone Survey'!BV26</f>
        <v>2.4639999999862994E-2</v>
      </c>
      <c r="BW26" s="191">
        <f>'Functional Levels Drone Survey'!BW26-'Existing Levels Drone Survey'!BW26</f>
        <v>0</v>
      </c>
      <c r="BX26" s="191">
        <f>'Functional Levels Drone Survey'!BX26-'Existing Levels Drone Survey'!BX26</f>
        <v>0</v>
      </c>
      <c r="BY26" s="191">
        <f>'Functional Levels Drone Survey'!BY26-'Existing Levels Drone Survey'!BY26</f>
        <v>0</v>
      </c>
      <c r="BZ26" s="191">
        <f>'Functional Levels Drone Survey'!BZ26-'Existing Levels Drone Survey'!BZ26</f>
        <v>0</v>
      </c>
      <c r="CA26" s="191">
        <f>'Functional Levels Drone Survey'!CA26-'Existing Levels Drone Survey'!CA26</f>
        <v>0</v>
      </c>
      <c r="CB26" s="191">
        <f>'Functional Levels Drone Survey'!CB26-'Existing Levels Drone Survey'!CB26</f>
        <v>0</v>
      </c>
      <c r="CC26" s="278">
        <f>'Functional Levels Drone Survey'!CC26-'Existing Levels Drone Survey'!CC26</f>
        <v>-3.3000000000811269E-3</v>
      </c>
      <c r="CD26" s="191">
        <f>'Functional Levels Drone Survey'!CD26-'Existing Levels Drone Survey'!CD26</f>
        <v>-0.80490000000008877</v>
      </c>
      <c r="CE26" s="191">
        <f>'Functional Levels Drone Survey'!CE26-'Existing Levels Drone Survey'!CE26</f>
        <v>-0.85200000000008913</v>
      </c>
      <c r="CF26" s="191">
        <f>'Functional Levels Drone Survey'!CF26-'Existing Levels Drone Survey'!CF26</f>
        <v>-0.38450000000005957</v>
      </c>
      <c r="CG26" s="279">
        <f>'Functional Levels Drone Survey'!CG26-'Existing Levels Drone Survey'!CG26</f>
        <v>-0.19280000000009068</v>
      </c>
      <c r="CH26" s="191">
        <f>'Functional Levels Drone Survey'!CH26-'Existing Levels Drone Survey'!CH26</f>
        <v>-0.44930000000005066</v>
      </c>
      <c r="CI26" s="191">
        <f>'Functional Levels Drone Survey'!CI26-'Existing Levels Drone Survey'!CI26</f>
        <v>-0.36130000000008522</v>
      </c>
      <c r="CJ26" s="191">
        <f>'Functional Levels Drone Survey'!CJ26-'Existing Levels Drone Survey'!CJ26</f>
        <v>-0.32350000000008095</v>
      </c>
      <c r="CK26" s="191">
        <f>'Functional Levels Drone Survey'!CK26-'Existing Levels Drone Survey'!CK26</f>
        <v>-0.16500000000007731</v>
      </c>
      <c r="CL26" s="191">
        <f>'Functional Levels Drone Survey'!CL26-'Existing Levels Drone Survey'!CL26</f>
        <v>-0.17660000000006448</v>
      </c>
      <c r="CM26" s="191">
        <f>'Functional Levels Drone Survey'!CM26-'Existing Levels Drone Survey'!CM26</f>
        <v>-0.28080000000005612</v>
      </c>
      <c r="CN26" s="279">
        <f>'Functional Levels Drone Survey'!CN26-'Existing Levels Drone Survey'!CN26</f>
        <v>-0.27070000000009031</v>
      </c>
      <c r="CO26" s="191">
        <f>'Functional Levels Drone Survey'!CO26-'Existing Levels Drone Survey'!CO26</f>
        <v>-0.43463333333346554</v>
      </c>
      <c r="CP26" s="191">
        <f>'Functional Levels Drone Survey'!CP26-'Existing Levels Drone Survey'!CP26</f>
        <v>-0.41913333333349101</v>
      </c>
      <c r="CQ26" s="279">
        <f>'Functional Levels Drone Survey'!CQ26-'Existing Levels Drone Survey'!CQ26</f>
        <v>-0.48153333333345927</v>
      </c>
      <c r="CR26" s="279">
        <f>'Functional Levels Drone Survey'!CR26-'Existing Levels Drone Survey'!CR26</f>
        <v>-0.54763333333346509</v>
      </c>
      <c r="CS26" s="279">
        <f>'Functional Levels Drone Survey'!CS26-'Existing Levels Drone Survey'!CS26</f>
        <v>-0.5636333333334278</v>
      </c>
      <c r="CT26" s="279">
        <f>'Functional Levels Drone Survey'!CT26-'Existing Levels Drone Survey'!CT26</f>
        <v>-0.28593333333344617</v>
      </c>
      <c r="CU26" s="279">
        <f>'Functional Levels Drone Survey'!CU26-'Existing Levels Drone Survey'!CU26</f>
        <v>-0.34583333333347355</v>
      </c>
      <c r="CV26" s="279">
        <f>'Functional Levels Drone Survey'!CV26-'Existing Levels Drone Survey'!CV26</f>
        <v>-0.33743333333342207</v>
      </c>
      <c r="CW26" s="279">
        <f>'Functional Levels Drone Survey'!CW26-'Existing Levels Drone Survey'!CW26</f>
        <v>-0.28643333333343435</v>
      </c>
      <c r="CX26" s="279">
        <f>'Functional Levels Drone Survey'!CX26-'Existing Levels Drone Survey'!CX26</f>
        <v>-0.23323333333343044</v>
      </c>
      <c r="CY26" s="279">
        <f>'Functional Levels Drone Survey'!CY26-'Existing Levels Drone Survey'!CY26</f>
        <v>-0.18363333333343235</v>
      </c>
      <c r="CZ26" s="279">
        <f>'Functional Levels Drone Survey'!CZ26-'Existing Levels Drone Survey'!CZ26</f>
        <v>-0.1524333333334198</v>
      </c>
      <c r="DA26" s="279">
        <f>'Functional Levels Drone Survey'!DA26-'Existing Levels Drone Survey'!DA26</f>
        <v>-0.16103333333342107</v>
      </c>
      <c r="DB26" s="279">
        <f>'Functional Levels Drone Survey'!DB26-'Existing Levels Drone Survey'!DB26</f>
        <v>-0.17713333333347236</v>
      </c>
      <c r="DC26" s="279">
        <f>'Functional Levels Drone Survey'!DC26-'Existing Levels Drone Survey'!DC26</f>
        <v>-0.21583333333342125</v>
      </c>
      <c r="DD26" s="279">
        <f>'Functional Levels Drone Survey'!DD26-'Existing Levels Drone Survey'!DD26</f>
        <v>-0.21613333333345963</v>
      </c>
      <c r="DE26" s="279">
        <f>'Functional Levels Drone Survey'!DE26-'Existing Levels Drone Survey'!DE26</f>
        <v>-0.31663333333347055</v>
      </c>
      <c r="DF26" s="279">
        <f>'Functional Levels Drone Survey'!DF26-'Existing Levels Drone Survey'!DF26</f>
        <v>1.8266666666534093E-2</v>
      </c>
      <c r="DG26" s="279">
        <f>'Functional Levels Drone Survey'!DG26-'Existing Levels Drone Survey'!DG26</f>
        <v>-0.42533333333346945</v>
      </c>
      <c r="DH26" s="279">
        <f>'Functional Levels Drone Survey'!DH26-'Existing Levels Drone Survey'!DH26</f>
        <v>-0.28053333333343744</v>
      </c>
      <c r="DI26" s="191">
        <f>'Functional Levels Drone Survey'!DI26-'Existing Levels Drone Survey'!DI26</f>
        <v>-0.22743333333346527</v>
      </c>
      <c r="DJ26" s="279">
        <f>'Functional Levels Drone Survey'!DJ26-'Existing Levels Drone Survey'!DJ26</f>
        <v>-0.14947777777774718</v>
      </c>
      <c r="DK26" s="191">
        <f>'Functional Levels Drone Survey'!DK26-'Existing Levels Drone Survey'!DK26</f>
        <v>-0.16167777777775427</v>
      </c>
      <c r="DL26" s="191">
        <f>'Functional Levels Drone Survey'!DL26-'Existing Levels Drone Survey'!DL26</f>
        <v>-5.4777777777985648E-3</v>
      </c>
      <c r="DM26" s="191">
        <f>'Functional Levels Drone Survey'!DM26-'Existing Levels Drone Survey'!DM26</f>
        <v>-0.26087777777775045</v>
      </c>
      <c r="DN26" s="191">
        <f>'Functional Levels Drone Survey'!DN26-'Existing Levels Drone Survey'!DN26</f>
        <v>-0.38537777777776228</v>
      </c>
      <c r="DO26" s="191">
        <f>'Functional Levels Drone Survey'!DO26-'Existing Levels Drone Survey'!DO26</f>
        <v>-0.21387777777778183</v>
      </c>
      <c r="DP26" s="191">
        <f>'Functional Levels Drone Survey'!DP26-'Existing Levels Drone Survey'!DP26</f>
        <v>0.11692222222222881</v>
      </c>
      <c r="DQ26" s="191">
        <f>'Functional Levels Drone Survey'!DQ26-'Existing Levels Drone Survey'!DQ26</f>
        <v>-0.51377777777776146</v>
      </c>
      <c r="DR26" s="191">
        <f>'Functional Levels Drone Survey'!DR26-'Existing Levels Drone Survey'!DR26</f>
        <v>2.3922222222211076E-2</v>
      </c>
      <c r="DS26" s="191">
        <f>'Functional Levels Drone Survey'!DS26-'Existing Levels Drone Survey'!DS26</f>
        <v>0.42132222222221571</v>
      </c>
      <c r="DT26" s="191">
        <f>'Functional Levels Drone Survey'!DT26-'Existing Levels Drone Survey'!DT26</f>
        <v>1.1422222222222445E-2</v>
      </c>
      <c r="DU26" s="191">
        <f>'Functional Levels Drone Survey'!DU26-'Existing Levels Drone Survey'!DU26</f>
        <v>0.13302222222222326</v>
      </c>
      <c r="DV26" s="191">
        <f>'Functional Levels Drone Survey'!DV26-'Existing Levels Drone Survey'!DV26</f>
        <v>0.10462222222224682</v>
      </c>
      <c r="DW26" s="191">
        <f>'Functional Levels Drone Survey'!DW26-'Existing Levels Drone Survey'!DW26</f>
        <v>-0.13877777777776146</v>
      </c>
      <c r="DX26" s="191">
        <f>'Functional Levels Drone Survey'!DX26-'Existing Levels Drone Survey'!DX26</f>
        <v>0.13542222222224609</v>
      </c>
      <c r="DY26" s="191">
        <f>'Functional Levels Drone Survey'!DY26-'Existing Levels Drone Survey'!DY26</f>
        <v>-6.3577777777766187E-2</v>
      </c>
      <c r="DZ26" s="191">
        <f>'Functional Levels Drone Survey'!DZ26-'Existing Levels Drone Survey'!DZ26</f>
        <v>7.0722222222229902E-2</v>
      </c>
      <c r="EA26" s="279">
        <f>'Functional Levels Drone Survey'!EA26-'Existing Levels Drone Survey'!EA26</f>
        <v>0.24152222222221553</v>
      </c>
      <c r="EB26" s="191">
        <f>'Functional Levels Drone Survey'!EB26-'Existing Levels Drone Survey'!EB26</f>
        <v>8.5163157894669439E-2</v>
      </c>
      <c r="EC26" s="279">
        <f>'Functional Levels Drone Survey'!EC26-'Existing Levels Drone Survey'!EC26</f>
        <v>0.14866315789470264</v>
      </c>
      <c r="ED26" s="191">
        <f>'Functional Levels Drone Survey'!ED26-'Existing Levels Drone Survey'!ED26</f>
        <v>8.1863157894701999E-2</v>
      </c>
      <c r="EE26" s="191">
        <f>'Functional Levels Drone Survey'!EE26-'Existing Levels Drone Survey'!EE26</f>
        <v>0.20956315789470636</v>
      </c>
      <c r="EF26" s="191">
        <f>'Functional Levels Drone Survey'!EF26-'Existing Levels Drone Survey'!EF26</f>
        <v>0.24526315789466935</v>
      </c>
      <c r="EG26" s="191">
        <f>'Functional Levels Drone Survey'!EG26-'Existing Levels Drone Survey'!EG26</f>
        <v>0.26616315789470946</v>
      </c>
      <c r="EH26" s="191">
        <f>'Functional Levels Drone Survey'!EH26-'Existing Levels Drone Survey'!EH26</f>
        <v>0.11066315789469172</v>
      </c>
      <c r="EI26" s="191">
        <f>'Functional Levels Drone Survey'!EI26-'Existing Levels Drone Survey'!EI26</f>
        <v>0.13196315789468827</v>
      </c>
      <c r="EJ26" s="191">
        <f>'Functional Levels Drone Survey'!EJ26-'Existing Levels Drone Survey'!EJ26</f>
        <v>0.1705631578947191</v>
      </c>
      <c r="EK26" s="191">
        <f>'Functional Levels Drone Survey'!EK26-'Existing Levels Drone Survey'!EK26</f>
        <v>0.26586315789467108</v>
      </c>
      <c r="EL26" s="191">
        <f>'Functional Levels Drone Survey'!EL26-'Existing Levels Drone Survey'!EL26</f>
        <v>0.36186315789467471</v>
      </c>
      <c r="EM26" s="191">
        <f>'Functional Levels Drone Survey'!EM26-'Existing Levels Drone Survey'!EM26</f>
        <v>0.30366315789467535</v>
      </c>
      <c r="EN26" s="191">
        <f>'Functional Levels Drone Survey'!EN26-'Existing Levels Drone Survey'!EN26</f>
        <v>0.48216315789471764</v>
      </c>
      <c r="EO26" s="191">
        <f>'Functional Levels Drone Survey'!EO26-'Existing Levels Drone Survey'!EO26</f>
        <v>0.3600631578946718</v>
      </c>
      <c r="EP26" s="191">
        <f>'Functional Levels Drone Survey'!EP26-'Existing Levels Drone Survey'!EP26</f>
        <v>0.26576315789469618</v>
      </c>
      <c r="EQ26" s="191">
        <f>'Functional Levels Drone Survey'!EQ26-'Existing Levels Drone Survey'!EQ26</f>
        <v>0.32046315789466462</v>
      </c>
      <c r="ER26" s="191">
        <f>'Functional Levels Drone Survey'!ER26-'Existing Levels Drone Survey'!ER26</f>
        <v>0.372163157894704</v>
      </c>
      <c r="ES26" s="191">
        <f>'Functional Levels Drone Survey'!ES26-'Existing Levels Drone Survey'!ES26</f>
        <v>0.39066315789466444</v>
      </c>
      <c r="ET26" s="191">
        <f>'Functional Levels Drone Survey'!ET26-'Existing Levels Drone Survey'!ET26</f>
        <v>0.41976315789469254</v>
      </c>
      <c r="EU26" s="279">
        <f>'Functional Levels Drone Survey'!EU26-'Existing Levels Drone Survey'!EU26</f>
        <v>0.31526315789471937</v>
      </c>
      <c r="EV26" s="191">
        <f>'Functional Levels Drone Survey'!EV26-'Existing Levels Drone Survey'!EV26</f>
        <v>6.9963157894676442E-2</v>
      </c>
      <c r="EW26" s="191">
        <f>'Functional Levels Drone Survey'!EW26-'Existing Levels Drone Survey'!EW26</f>
        <v>0.36426315789469754</v>
      </c>
      <c r="EX26" s="191">
        <f>'Functional Levels Drone Survey'!EX26-'Existing Levels Drone Survey'!EX26</f>
        <v>0.3682631578946598</v>
      </c>
      <c r="EY26" s="278">
        <f>'Functional Levels Drone Survey'!EY26-'Existing Levels Drone Survey'!EY26</f>
        <v>0</v>
      </c>
    </row>
    <row r="27" spans="1:155" ht="45" customHeight="1" x14ac:dyDescent="0.45">
      <c r="A27" s="277">
        <v>130</v>
      </c>
      <c r="B27" s="191">
        <f>'Functional Levels Drone Survey'!B27-'Existing Levels Drone Survey'!B27</f>
        <v>0</v>
      </c>
      <c r="C27" s="191">
        <f>'Functional Levels Drone Survey'!C27-'Existing Levels Drone Survey'!C27</f>
        <v>0</v>
      </c>
      <c r="D27" s="191">
        <f>'Functional Levels Drone Survey'!D27-'Existing Levels Drone Survey'!D27</f>
        <v>0</v>
      </c>
      <c r="E27" s="191">
        <f>'Functional Levels Drone Survey'!E27-'Existing Levels Drone Survey'!E27</f>
        <v>0</v>
      </c>
      <c r="F27" s="191">
        <f>'Functional Levels Drone Survey'!F27-'Existing Levels Drone Survey'!F27</f>
        <v>0</v>
      </c>
      <c r="G27" s="191">
        <f>'Functional Levels Drone Survey'!G27-'Existing Levels Drone Survey'!G27</f>
        <v>0</v>
      </c>
      <c r="H27" s="191">
        <f>'Functional Levels Drone Survey'!H27-'Existing Levels Drone Survey'!H27</f>
        <v>0</v>
      </c>
      <c r="I27" s="191">
        <f>'Functional Levels Drone Survey'!I27-'Existing Levels Drone Survey'!I27</f>
        <v>0</v>
      </c>
      <c r="J27" s="191">
        <f>'Functional Levels Drone Survey'!J27-'Existing Levels Drone Survey'!J27</f>
        <v>0</v>
      </c>
      <c r="K27" s="191">
        <f>'Functional Levels Drone Survey'!K27-'Existing Levels Drone Survey'!K27</f>
        <v>0</v>
      </c>
      <c r="L27" s="191">
        <f>'Functional Levels Drone Survey'!L27-'Existing Levels Drone Survey'!L27</f>
        <v>0</v>
      </c>
      <c r="M27" s="191">
        <f>'Functional Levels Drone Survey'!M27-'Existing Levels Drone Survey'!M27</f>
        <v>0</v>
      </c>
      <c r="N27" s="191">
        <f>'Functional Levels Drone Survey'!N27-'Existing Levels Drone Survey'!N27</f>
        <v>0</v>
      </c>
      <c r="O27" s="191">
        <f>'Functional Levels Drone Survey'!O27-'Existing Levels Drone Survey'!O27</f>
        <v>0</v>
      </c>
      <c r="P27" s="191">
        <f>'Functional Levels Drone Survey'!P27-'Existing Levels Drone Survey'!P27</f>
        <v>0</v>
      </c>
      <c r="Q27" s="191">
        <f>'Functional Levels Drone Survey'!Q27-'Existing Levels Drone Survey'!Q27</f>
        <v>0</v>
      </c>
      <c r="R27" s="191">
        <f>'Functional Levels Drone Survey'!R27-'Existing Levels Drone Survey'!R27</f>
        <v>0</v>
      </c>
      <c r="S27" s="191">
        <f>'Functional Levels Drone Survey'!S27-'Existing Levels Drone Survey'!S27</f>
        <v>0</v>
      </c>
      <c r="T27" s="191">
        <f>'Functional Levels Drone Survey'!T27-'Existing Levels Drone Survey'!T27</f>
        <v>0</v>
      </c>
      <c r="U27" s="191">
        <f>'Functional Levels Drone Survey'!U27-'Existing Levels Drone Survey'!U27</f>
        <v>0</v>
      </c>
      <c r="V27" s="191">
        <f>'Functional Levels Drone Survey'!V27-'Existing Levels Drone Survey'!V27</f>
        <v>0</v>
      </c>
      <c r="W27" s="191">
        <f>'Functional Levels Drone Survey'!W27-'Existing Levels Drone Survey'!W27</f>
        <v>0</v>
      </c>
      <c r="X27" s="191">
        <f>'Functional Levels Drone Survey'!X27-'Existing Levels Drone Survey'!X27</f>
        <v>0</v>
      </c>
      <c r="Y27" s="191">
        <f>'Functional Levels Drone Survey'!Y27-'Existing Levels Drone Survey'!Y27</f>
        <v>0</v>
      </c>
      <c r="Z27" s="191">
        <f>'Functional Levels Drone Survey'!Z27-'Existing Levels Drone Survey'!Z27</f>
        <v>0</v>
      </c>
      <c r="AA27" s="191">
        <f>'Functional Levels Drone Survey'!AA27-'Existing Levels Drone Survey'!AA27</f>
        <v>0</v>
      </c>
      <c r="AB27" s="191">
        <f>'Functional Levels Drone Survey'!AB27-'Existing Levels Drone Survey'!AB27</f>
        <v>0</v>
      </c>
      <c r="AC27" s="191">
        <f>'Functional Levels Drone Survey'!AC27-'Existing Levels Drone Survey'!AC27</f>
        <v>0</v>
      </c>
      <c r="AD27" s="191">
        <f>'Functional Levels Drone Survey'!AD27-'Existing Levels Drone Survey'!AD27</f>
        <v>0</v>
      </c>
      <c r="AE27" s="191">
        <f>'Functional Levels Drone Survey'!AE27-'Existing Levels Drone Survey'!AE27</f>
        <v>0</v>
      </c>
      <c r="AF27" s="191">
        <f>'Functional Levels Drone Survey'!AF27-'Existing Levels Drone Survey'!AF27</f>
        <v>0</v>
      </c>
      <c r="AG27" s="191">
        <f>'Functional Levels Drone Survey'!AG27-'Existing Levels Drone Survey'!AG27</f>
        <v>0</v>
      </c>
      <c r="AH27" s="191">
        <f>'Functional Levels Drone Survey'!AH27-'Existing Levels Drone Survey'!AH27</f>
        <v>0</v>
      </c>
      <c r="AI27" s="191">
        <f>'Functional Levels Drone Survey'!AI27-'Existing Levels Drone Survey'!AI27</f>
        <v>0</v>
      </c>
      <c r="AJ27" s="191">
        <f>'Functional Levels Drone Survey'!AJ27-'Existing Levels Drone Survey'!AJ27</f>
        <v>0</v>
      </c>
      <c r="AK27" s="191">
        <f>'Functional Levels Drone Survey'!AK27-'Existing Levels Drone Survey'!AK27</f>
        <v>0</v>
      </c>
      <c r="AL27" s="191">
        <f>'Functional Levels Drone Survey'!AL27-'Existing Levels Drone Survey'!AL27</f>
        <v>0</v>
      </c>
      <c r="AM27" s="191">
        <f>'Functional Levels Drone Survey'!AM27-'Existing Levels Drone Survey'!AM27</f>
        <v>0</v>
      </c>
      <c r="AN27" s="191">
        <f>'Functional Levels Drone Survey'!AN27-'Existing Levels Drone Survey'!AN27</f>
        <v>0</v>
      </c>
      <c r="AO27" s="191">
        <f>'Functional Levels Drone Survey'!AO27-'Existing Levels Drone Survey'!AO27</f>
        <v>0</v>
      </c>
      <c r="AP27" s="191">
        <f>'Functional Levels Drone Survey'!AP27-'Existing Levels Drone Survey'!AP27</f>
        <v>0</v>
      </c>
      <c r="AQ27" s="191">
        <f>'Functional Levels Drone Survey'!AQ27-'Existing Levels Drone Survey'!AQ27</f>
        <v>0</v>
      </c>
      <c r="AR27" s="191">
        <f>'Functional Levels Drone Survey'!AR27-'Existing Levels Drone Survey'!AR27</f>
        <v>0</v>
      </c>
      <c r="AS27" s="191">
        <f>'Functional Levels Drone Survey'!AS27-'Existing Levels Drone Survey'!AS27</f>
        <v>0</v>
      </c>
      <c r="AT27" s="191">
        <f>'Functional Levels Drone Survey'!AT27-'Existing Levels Drone Survey'!AT27</f>
        <v>0</v>
      </c>
      <c r="AU27" s="191">
        <f>'Functional Levels Drone Survey'!AU27-'Existing Levels Drone Survey'!AU27</f>
        <v>0</v>
      </c>
      <c r="AV27" s="191">
        <f>'Functional Levels Drone Survey'!AV27-'Existing Levels Drone Survey'!AV27</f>
        <v>0</v>
      </c>
      <c r="AW27" s="191">
        <f>'Functional Levels Drone Survey'!AW27-'Existing Levels Drone Survey'!AW27</f>
        <v>0</v>
      </c>
      <c r="AX27" s="191">
        <f>'Functional Levels Drone Survey'!AX27-'Existing Levels Drone Survey'!AX27</f>
        <v>0</v>
      </c>
      <c r="AY27" s="191">
        <f>'Functional Levels Drone Survey'!AY27-'Existing Levels Drone Survey'!AY27</f>
        <v>0</v>
      </c>
      <c r="AZ27" s="191">
        <f>'Functional Levels Drone Survey'!AZ27-'Existing Levels Drone Survey'!AZ27</f>
        <v>0</v>
      </c>
      <c r="BA27" s="278">
        <f>'Functional Levels Drone Survey'!BA27-'Existing Levels Drone Survey'!BA27</f>
        <v>-0.583460000000116</v>
      </c>
      <c r="BB27" s="279">
        <f>'Functional Levels Drone Survey'!BB27-'Existing Levels Drone Survey'!BB27</f>
        <v>-0.84246000000013055</v>
      </c>
      <c r="BC27" s="279">
        <f>'Functional Levels Drone Survey'!BC27-'Existing Levels Drone Survey'!BC27</f>
        <v>-0.65076000000010481</v>
      </c>
      <c r="BD27" s="279">
        <f>'Functional Levels Drone Survey'!BD27-'Existing Levels Drone Survey'!BD27</f>
        <v>-0.77196000000009235</v>
      </c>
      <c r="BE27" s="279">
        <f>'Functional Levels Drone Survey'!BE27-'Existing Levels Drone Survey'!BE27</f>
        <v>-0.83786000000009153</v>
      </c>
      <c r="BF27" s="279">
        <f>'Functional Levels Drone Survey'!BF27-'Existing Levels Drone Survey'!BF27</f>
        <v>-0.79876000000012937</v>
      </c>
      <c r="BG27" s="279">
        <f>'Functional Levels Drone Survey'!BG27-'Existing Levels Drone Survey'!BG27</f>
        <v>-0.82286000000010517</v>
      </c>
      <c r="BH27" s="279">
        <f>'Functional Levels Drone Survey'!BH27-'Existing Levels Drone Survey'!BH27</f>
        <v>-0.85646000000014055</v>
      </c>
      <c r="BI27" s="279">
        <f>'Functional Levels Drone Survey'!BI27-'Existing Levels Drone Survey'!BI27</f>
        <v>-0.76046000000013692</v>
      </c>
      <c r="BJ27" s="279">
        <f>'Functional Levels Drone Survey'!BJ27-'Existing Levels Drone Survey'!BJ27</f>
        <v>-0.6125600000001441</v>
      </c>
      <c r="BK27" s="279">
        <f>'Functional Levels Drone Survey'!BK27-'Existing Levels Drone Survey'!BK27</f>
        <v>-0.572360000000117</v>
      </c>
      <c r="BL27" s="279">
        <f>'Functional Levels Drone Survey'!BL27-'Existing Levels Drone Survey'!BL27</f>
        <v>-0.4906600000001049</v>
      </c>
      <c r="BM27" s="279">
        <f>'Functional Levels Drone Survey'!BM27-'Existing Levels Drone Survey'!BM27</f>
        <v>-0.44296000000014146</v>
      </c>
      <c r="BN27" s="279">
        <f>'Functional Levels Drone Survey'!BN27-'Existing Levels Drone Survey'!BN27</f>
        <v>-0.45336000000014565</v>
      </c>
      <c r="BO27" s="279">
        <f>'Functional Levels Drone Survey'!BO27-'Existing Levels Drone Survey'!BO27</f>
        <v>-0.50396000000012009</v>
      </c>
      <c r="BP27" s="279">
        <f>'Functional Levels Drone Survey'!BP27-'Existing Levels Drone Survey'!BP27</f>
        <v>-0.37066000000010035</v>
      </c>
      <c r="BQ27" s="279">
        <f>'Functional Levels Drone Survey'!BQ27-'Existing Levels Drone Survey'!BQ27</f>
        <v>-0.28816000000011854</v>
      </c>
      <c r="BR27" s="279">
        <f>'Functional Levels Drone Survey'!BR27-'Existing Levels Drone Survey'!BR27</f>
        <v>-0.40226000000012618</v>
      </c>
      <c r="BS27" s="279">
        <f>'Functional Levels Drone Survey'!BS27-'Existing Levels Drone Survey'!BS27</f>
        <v>-0.39756000000011227</v>
      </c>
      <c r="BT27" s="279">
        <f>'Functional Levels Drone Survey'!BT27-'Existing Levels Drone Survey'!BT27</f>
        <v>-0.26876000000009981</v>
      </c>
      <c r="BU27" s="279">
        <f>'Functional Levels Drone Survey'!BU27-'Existing Levels Drone Survey'!BU27</f>
        <v>-0.22306000000014592</v>
      </c>
      <c r="BV27" s="191">
        <f>'Functional Levels Drone Survey'!BV27-'Existing Levels Drone Survey'!BV27</f>
        <v>-0.58750000000009095</v>
      </c>
      <c r="BW27" s="278">
        <f>'Functional Levels Drone Survey'!BW27-'Existing Levels Drone Survey'!BW27</f>
        <v>0</v>
      </c>
      <c r="BX27" s="278">
        <f>'Functional Levels Drone Survey'!BX27-'Existing Levels Drone Survey'!BX27</f>
        <v>0</v>
      </c>
      <c r="BY27" s="191">
        <f>'Functional Levels Drone Survey'!BY27-'Existing Levels Drone Survey'!BY27</f>
        <v>0</v>
      </c>
      <c r="BZ27" s="191">
        <f>'Functional Levels Drone Survey'!BZ27-'Existing Levels Drone Survey'!BZ27</f>
        <v>0</v>
      </c>
      <c r="CA27" s="191">
        <f>'Functional Levels Drone Survey'!CA27-'Existing Levels Drone Survey'!CA27</f>
        <v>0</v>
      </c>
      <c r="CB27" s="278">
        <f>'Functional Levels Drone Survey'!CB27-'Existing Levels Drone Survey'!CB27</f>
        <v>-0.24660000000005766</v>
      </c>
      <c r="CC27" s="191">
        <f>'Functional Levels Drone Survey'!CC27-'Existing Levels Drone Survey'!CC27</f>
        <v>-0.24230000000005703</v>
      </c>
      <c r="CD27" s="191">
        <f>'Functional Levels Drone Survey'!CD27-'Existing Levels Drone Survey'!CD27</f>
        <v>-0.32930000000010295</v>
      </c>
      <c r="CE27" s="191">
        <f>'Functional Levels Drone Survey'!CE27-'Existing Levels Drone Survey'!CE27</f>
        <v>-0.27270000000009986</v>
      </c>
      <c r="CF27" s="191">
        <f>'Functional Levels Drone Survey'!CF27-'Existing Levels Drone Survey'!CF27</f>
        <v>-0.41820000000006985</v>
      </c>
      <c r="CG27" s="279">
        <f>'Functional Levels Drone Survey'!CG27-'Existing Levels Drone Survey'!CG27</f>
        <v>-0.53580000000005157</v>
      </c>
      <c r="CH27" s="191">
        <f>'Functional Levels Drone Survey'!CH27-'Existing Levels Drone Survey'!CH27</f>
        <v>-0.42160000000006903</v>
      </c>
      <c r="CI27" s="191">
        <f>'Functional Levels Drone Survey'!CI27-'Existing Levels Drone Survey'!CI27</f>
        <v>-0.32420000000007576</v>
      </c>
      <c r="CJ27" s="191">
        <f>'Functional Levels Drone Survey'!CJ27-'Existing Levels Drone Survey'!CJ27</f>
        <v>-0.29470000000009122</v>
      </c>
      <c r="CK27" s="191">
        <f>'Functional Levels Drone Survey'!CK27-'Existing Levels Drone Survey'!CK27</f>
        <v>-1.19000000000824E-2</v>
      </c>
      <c r="CL27" s="191">
        <f>'Functional Levels Drone Survey'!CL27-'Existing Levels Drone Survey'!CL27</f>
        <v>-5.4600000000050386E-2</v>
      </c>
      <c r="CM27" s="191">
        <f>'Functional Levels Drone Survey'!CM27-'Existing Levels Drone Survey'!CM27</f>
        <v>-0.14180000000004611</v>
      </c>
      <c r="CN27" s="279">
        <f>'Functional Levels Drone Survey'!CN27-'Existing Levels Drone Survey'!CN27</f>
        <v>-9.640000000007376E-2</v>
      </c>
      <c r="CO27" s="191">
        <f>'Functional Levels Drone Survey'!CO27-'Existing Levels Drone Survey'!CO27</f>
        <v>-0.36833333333345308</v>
      </c>
      <c r="CP27" s="191">
        <f>'Functional Levels Drone Survey'!CP27-'Existing Levels Drone Survey'!CP27</f>
        <v>-0.35163333333343871</v>
      </c>
      <c r="CQ27" s="279">
        <f>'Functional Levels Drone Survey'!CQ27-'Existing Levels Drone Survey'!CQ27</f>
        <v>-0.36373333333341407</v>
      </c>
      <c r="CR27" s="191">
        <f>'Functional Levels Drone Survey'!CR27-'Existing Levels Drone Survey'!CR27</f>
        <v>-0.28963333333342689</v>
      </c>
      <c r="CS27" s="191">
        <f>'Functional Levels Drone Survey'!CS27-'Existing Levels Drone Survey'!CS27</f>
        <v>-0.38283333333345126</v>
      </c>
      <c r="CT27" s="191">
        <f>'Functional Levels Drone Survey'!CT27-'Existing Levels Drone Survey'!CT27</f>
        <v>-0.35353333333341652</v>
      </c>
      <c r="CU27" s="191">
        <f>'Functional Levels Drone Survey'!CU27-'Existing Levels Drone Survey'!CU27</f>
        <v>-0.39473333333341998</v>
      </c>
      <c r="CV27" s="191">
        <f>'Functional Levels Drone Survey'!CV27-'Existing Levels Drone Survey'!CV27</f>
        <v>-0.51963333333344508</v>
      </c>
      <c r="CW27" s="191">
        <f>'Functional Levels Drone Survey'!CW27-'Existing Levels Drone Survey'!CW27</f>
        <v>-0.36393333333342071</v>
      </c>
      <c r="CX27" s="191">
        <f>'Functional Levels Drone Survey'!CX27-'Existing Levels Drone Survey'!CX27</f>
        <v>-0.31753333333341516</v>
      </c>
      <c r="CY27" s="191">
        <f>'Functional Levels Drone Survey'!CY27-'Existing Levels Drone Survey'!CY27</f>
        <v>-0.14003333333346291</v>
      </c>
      <c r="CZ27" s="191">
        <f>'Functional Levels Drone Survey'!CZ27-'Existing Levels Drone Survey'!CZ27</f>
        <v>-0.13993333333343116</v>
      </c>
      <c r="DA27" s="191">
        <f>'Functional Levels Drone Survey'!DA27-'Existing Levels Drone Survey'!DA27</f>
        <v>-0.11363333333343917</v>
      </c>
      <c r="DB27" s="191">
        <f>'Functional Levels Drone Survey'!DB27-'Existing Levels Drone Survey'!DB27</f>
        <v>-8.5633333333419159E-2</v>
      </c>
      <c r="DC27" s="191">
        <f>'Functional Levels Drone Survey'!DC27-'Existing Levels Drone Survey'!DC27</f>
        <v>-0.15223333333341316</v>
      </c>
      <c r="DD27" s="191">
        <f>'Functional Levels Drone Survey'!DD27-'Existing Levels Drone Survey'!DD27</f>
        <v>4.6466666666560741E-2</v>
      </c>
      <c r="DE27" s="191">
        <f>'Functional Levels Drone Survey'!DE27-'Existing Levels Drone Survey'!DE27</f>
        <v>-2.493333333342207E-2</v>
      </c>
      <c r="DF27" s="191">
        <f>'Functional Levels Drone Survey'!DF27-'Existing Levels Drone Survey'!DF27</f>
        <v>-2.4633333333440532E-2</v>
      </c>
      <c r="DG27" s="191">
        <f>'Functional Levels Drone Survey'!DG27-'Existing Levels Drone Survey'!DG27</f>
        <v>-6.9133333333411429E-2</v>
      </c>
      <c r="DH27" s="279">
        <f>'Functional Levels Drone Survey'!DH27-'Existing Levels Drone Survey'!DH27</f>
        <v>6.306666666654337E-2</v>
      </c>
      <c r="DI27" s="191">
        <f>'Functional Levels Drone Survey'!DI27-'Existing Levels Drone Survey'!DI27</f>
        <v>0.1268666666665581</v>
      </c>
      <c r="DJ27" s="279">
        <f>'Functional Levels Drone Survey'!DJ27-'Existing Levels Drone Survey'!DJ27</f>
        <v>0.23632222222221344</v>
      </c>
      <c r="DK27" s="191">
        <f>'Functional Levels Drone Survey'!DK27-'Existing Levels Drone Survey'!DK27</f>
        <v>0.20412222222222454</v>
      </c>
      <c r="DL27" s="191">
        <f>'Functional Levels Drone Survey'!DL27-'Existing Levels Drone Survey'!DL27</f>
        <v>0.26142222222222244</v>
      </c>
      <c r="DM27" s="191">
        <f>'Functional Levels Drone Survey'!DM27-'Existing Levels Drone Survey'!DM27</f>
        <v>0.21292222222223245</v>
      </c>
      <c r="DN27" s="191">
        <f>'Functional Levels Drone Survey'!DN27-'Existing Levels Drone Survey'!DN27</f>
        <v>6.4922222222264736E-2</v>
      </c>
      <c r="DO27" s="191">
        <f>'Functional Levels Drone Survey'!DO27-'Existing Levels Drone Survey'!DO27</f>
        <v>2.522222222239634E-3</v>
      </c>
      <c r="DP27" s="191">
        <f>'Functional Levels Drone Survey'!DP27-'Existing Levels Drone Survey'!DP27</f>
        <v>8.1222222222550045E-3</v>
      </c>
      <c r="DQ27" s="191">
        <f>'Functional Levels Drone Survey'!DQ27-'Existing Levels Drone Survey'!DQ27</f>
        <v>-8.4477777777749452E-2</v>
      </c>
      <c r="DR27" s="191">
        <f>'Functional Levels Drone Survey'!DR27-'Existing Levels Drone Survey'!DR27</f>
        <v>-0.11527777777774872</v>
      </c>
      <c r="DS27" s="191">
        <f>'Functional Levels Drone Survey'!DS27-'Existing Levels Drone Survey'!DS27</f>
        <v>-0.12217777777777883</v>
      </c>
      <c r="DT27" s="191">
        <f>'Functional Levels Drone Survey'!DT27-'Existing Levels Drone Survey'!DT27</f>
        <v>0.33212222222226728</v>
      </c>
      <c r="DU27" s="191">
        <f>'Functional Levels Drone Survey'!DU27-'Existing Levels Drone Survey'!DU27</f>
        <v>7.5222222222350865E-3</v>
      </c>
      <c r="DV27" s="191">
        <f>'Functional Levels Drone Survey'!DV27-'Existing Levels Drone Survey'!DV27</f>
        <v>7.3222222222284472E-3</v>
      </c>
      <c r="DW27" s="191">
        <f>'Functional Levels Drone Survey'!DW27-'Existing Levels Drone Survey'!DW27</f>
        <v>4.3122222222223172E-2</v>
      </c>
      <c r="DX27" s="191">
        <f>'Functional Levels Drone Survey'!DX27-'Existing Levels Drone Survey'!DX27</f>
        <v>-2.4977777777735355E-2</v>
      </c>
      <c r="DY27" s="191">
        <f>'Functional Levels Drone Survey'!DY27-'Existing Levels Drone Survey'!DY27</f>
        <v>9.532222222225073E-2</v>
      </c>
      <c r="DZ27" s="191">
        <f>'Functional Levels Drone Survey'!DZ27-'Existing Levels Drone Survey'!DZ27</f>
        <v>0.2027222222222349</v>
      </c>
      <c r="EA27" s="279">
        <f>'Functional Levels Drone Survey'!EA27-'Existing Levels Drone Survey'!EA27</f>
        <v>0.17912222222224727</v>
      </c>
      <c r="EB27" s="191">
        <f>'Functional Levels Drone Survey'!EB27-'Existing Levels Drone Survey'!EB27</f>
        <v>0.31726315789467208</v>
      </c>
      <c r="EC27" s="279">
        <f>'Functional Levels Drone Survey'!EC27-'Existing Levels Drone Survey'!EC27</f>
        <v>0.28226315789470391</v>
      </c>
      <c r="ED27" s="191">
        <f>'Functional Levels Drone Survey'!ED27-'Existing Levels Drone Survey'!ED27</f>
        <v>0.13806315789469181</v>
      </c>
      <c r="EE27" s="191">
        <f>'Functional Levels Drone Survey'!EE27-'Existing Levels Drone Survey'!EE27</f>
        <v>0.2178631578947261</v>
      </c>
      <c r="EF27" s="191">
        <f>'Functional Levels Drone Survey'!EF27-'Existing Levels Drone Survey'!EF27</f>
        <v>0.41496315789470373</v>
      </c>
      <c r="EG27" s="191">
        <f>'Functional Levels Drone Survey'!EG27-'Existing Levels Drone Survey'!EG27</f>
        <v>0.26046315789471919</v>
      </c>
      <c r="EH27" s="191">
        <f>'Functional Levels Drone Survey'!EH27-'Existing Levels Drone Survey'!EH27</f>
        <v>8.6863157894697451E-2</v>
      </c>
      <c r="EI27" s="191">
        <f>'Functional Levels Drone Survey'!EI27-'Existing Levels Drone Survey'!EI27</f>
        <v>0.25146315789470464</v>
      </c>
      <c r="EJ27" s="191">
        <f>'Functional Levels Drone Survey'!EJ27-'Existing Levels Drone Survey'!EJ27</f>
        <v>0.28196315789472237</v>
      </c>
      <c r="EK27" s="191">
        <f>'Functional Levels Drone Survey'!EK27-'Existing Levels Drone Survey'!EK27</f>
        <v>0.34516315789471719</v>
      </c>
      <c r="EL27" s="191">
        <f>'Functional Levels Drone Survey'!EL27-'Existing Levels Drone Survey'!EL27</f>
        <v>0.45296315789471464</v>
      </c>
      <c r="EM27" s="191">
        <f>'Functional Levels Drone Survey'!EM27-'Existing Levels Drone Survey'!EM27</f>
        <v>0.46996315789471055</v>
      </c>
      <c r="EN27" s="191">
        <f>'Functional Levels Drone Survey'!EN27-'Existing Levels Drone Survey'!EN27</f>
        <v>0.49566315789468263</v>
      </c>
      <c r="EO27" s="191">
        <f>'Functional Levels Drone Survey'!EO27-'Existing Levels Drone Survey'!EO27</f>
        <v>0.47116315789469354</v>
      </c>
      <c r="EP27" s="191">
        <f>'Functional Levels Drone Survey'!EP27-'Existing Levels Drone Survey'!EP27</f>
        <v>0.47686315789468381</v>
      </c>
      <c r="EQ27" s="191">
        <f>'Functional Levels Drone Survey'!EQ27-'Existing Levels Drone Survey'!EQ27</f>
        <v>0.55396315789471373</v>
      </c>
      <c r="ER27" s="191">
        <f>'Functional Levels Drone Survey'!ER27-'Existing Levels Drone Survey'!ER27</f>
        <v>0.53646315789472965</v>
      </c>
      <c r="ES27" s="191">
        <f>'Functional Levels Drone Survey'!ES27-'Existing Levels Drone Survey'!ES27</f>
        <v>0.47676315789470891</v>
      </c>
      <c r="ET27" s="191">
        <f>'Functional Levels Drone Survey'!ET27-'Existing Levels Drone Survey'!ET27</f>
        <v>0.46526315789469663</v>
      </c>
      <c r="EU27" s="279">
        <f>'Functional Levels Drone Survey'!EU27-'Existing Levels Drone Survey'!EU27</f>
        <v>0.33236315789469018</v>
      </c>
      <c r="EV27" s="191">
        <f>'Functional Levels Drone Survey'!EV27-'Existing Levels Drone Survey'!EV27</f>
        <v>0.14976315789465389</v>
      </c>
      <c r="EW27" s="191">
        <f>'Functional Levels Drone Survey'!EW27-'Existing Levels Drone Survey'!EW27</f>
        <v>0.29726315789469027</v>
      </c>
      <c r="EX27" s="278">
        <f>'Functional Levels Drone Survey'!EX27-'Existing Levels Drone Survey'!EX27</f>
        <v>0.41876315789465934</v>
      </c>
      <c r="EY27" s="191">
        <f>'Functional Levels Drone Survey'!EY27-'Existing Levels Drone Survey'!EY27</f>
        <v>0</v>
      </c>
    </row>
    <row r="28" spans="1:155" ht="45" customHeight="1" x14ac:dyDescent="0.45">
      <c r="A28" s="277">
        <v>135</v>
      </c>
      <c r="B28" s="191">
        <f>'Functional Levels Drone Survey'!B28-'Existing Levels Drone Survey'!B28</f>
        <v>0</v>
      </c>
      <c r="C28" s="191">
        <f>'Functional Levels Drone Survey'!C28-'Existing Levels Drone Survey'!C28</f>
        <v>0</v>
      </c>
      <c r="D28" s="191">
        <f>'Functional Levels Drone Survey'!D28-'Existing Levels Drone Survey'!D28</f>
        <v>0</v>
      </c>
      <c r="E28" s="191">
        <f>'Functional Levels Drone Survey'!E28-'Existing Levels Drone Survey'!E28</f>
        <v>0</v>
      </c>
      <c r="F28" s="191">
        <f>'Functional Levels Drone Survey'!F28-'Existing Levels Drone Survey'!F28</f>
        <v>0</v>
      </c>
      <c r="G28" s="191">
        <f>'Functional Levels Drone Survey'!G28-'Existing Levels Drone Survey'!G28</f>
        <v>0</v>
      </c>
      <c r="H28" s="191">
        <f>'Functional Levels Drone Survey'!H28-'Existing Levels Drone Survey'!H28</f>
        <v>0</v>
      </c>
      <c r="I28" s="191">
        <f>'Functional Levels Drone Survey'!I28-'Existing Levels Drone Survey'!I28</f>
        <v>0</v>
      </c>
      <c r="J28" s="191">
        <f>'Functional Levels Drone Survey'!J28-'Existing Levels Drone Survey'!J28</f>
        <v>0</v>
      </c>
      <c r="K28" s="191">
        <f>'Functional Levels Drone Survey'!K28-'Existing Levels Drone Survey'!K28</f>
        <v>0</v>
      </c>
      <c r="L28" s="191">
        <f>'Functional Levels Drone Survey'!L28-'Existing Levels Drone Survey'!L28</f>
        <v>0</v>
      </c>
      <c r="M28" s="191">
        <f>'Functional Levels Drone Survey'!M28-'Existing Levels Drone Survey'!M28</f>
        <v>0</v>
      </c>
      <c r="N28" s="191">
        <f>'Functional Levels Drone Survey'!N28-'Existing Levels Drone Survey'!N28</f>
        <v>0</v>
      </c>
      <c r="O28" s="191">
        <f>'Functional Levels Drone Survey'!O28-'Existing Levels Drone Survey'!O28</f>
        <v>0</v>
      </c>
      <c r="P28" s="191">
        <f>'Functional Levels Drone Survey'!P28-'Existing Levels Drone Survey'!P28</f>
        <v>0</v>
      </c>
      <c r="Q28" s="191">
        <f>'Functional Levels Drone Survey'!Q28-'Existing Levels Drone Survey'!Q28</f>
        <v>0</v>
      </c>
      <c r="R28" s="191">
        <f>'Functional Levels Drone Survey'!R28-'Existing Levels Drone Survey'!R28</f>
        <v>0</v>
      </c>
      <c r="S28" s="191">
        <f>'Functional Levels Drone Survey'!S28-'Existing Levels Drone Survey'!S28</f>
        <v>0</v>
      </c>
      <c r="T28" s="191">
        <f>'Functional Levels Drone Survey'!T28-'Existing Levels Drone Survey'!T28</f>
        <v>0</v>
      </c>
      <c r="U28" s="191">
        <f>'Functional Levels Drone Survey'!U28-'Existing Levels Drone Survey'!U28</f>
        <v>0</v>
      </c>
      <c r="V28" s="191">
        <f>'Functional Levels Drone Survey'!V28-'Existing Levels Drone Survey'!V28</f>
        <v>0</v>
      </c>
      <c r="W28" s="191">
        <f>'Functional Levels Drone Survey'!W28-'Existing Levels Drone Survey'!W28</f>
        <v>0</v>
      </c>
      <c r="X28" s="191">
        <f>'Functional Levels Drone Survey'!X28-'Existing Levels Drone Survey'!X28</f>
        <v>0</v>
      </c>
      <c r="Y28" s="191">
        <f>'Functional Levels Drone Survey'!Y28-'Existing Levels Drone Survey'!Y28</f>
        <v>0</v>
      </c>
      <c r="Z28" s="191">
        <f>'Functional Levels Drone Survey'!Z28-'Existing Levels Drone Survey'!Z28</f>
        <v>0</v>
      </c>
      <c r="AA28" s="191">
        <f>'Functional Levels Drone Survey'!AA28-'Existing Levels Drone Survey'!AA28</f>
        <v>0</v>
      </c>
      <c r="AB28" s="191">
        <f>'Functional Levels Drone Survey'!AB28-'Existing Levels Drone Survey'!AB28</f>
        <v>0</v>
      </c>
      <c r="AC28" s="191">
        <f>'Functional Levels Drone Survey'!AC28-'Existing Levels Drone Survey'!AC28</f>
        <v>0</v>
      </c>
      <c r="AD28" s="191">
        <f>'Functional Levels Drone Survey'!AD28-'Existing Levels Drone Survey'!AD28</f>
        <v>0</v>
      </c>
      <c r="AE28" s="191">
        <f>'Functional Levels Drone Survey'!AE28-'Existing Levels Drone Survey'!AE28</f>
        <v>0</v>
      </c>
      <c r="AF28" s="191">
        <f>'Functional Levels Drone Survey'!AF28-'Existing Levels Drone Survey'!AF28</f>
        <v>0</v>
      </c>
      <c r="AG28" s="191">
        <f>'Functional Levels Drone Survey'!AG28-'Existing Levels Drone Survey'!AG28</f>
        <v>0</v>
      </c>
      <c r="AH28" s="191">
        <f>'Functional Levels Drone Survey'!AH28-'Existing Levels Drone Survey'!AH28</f>
        <v>0</v>
      </c>
      <c r="AI28" s="191">
        <f>'Functional Levels Drone Survey'!AI28-'Existing Levels Drone Survey'!AI28</f>
        <v>0</v>
      </c>
      <c r="AJ28" s="191">
        <f>'Functional Levels Drone Survey'!AJ28-'Existing Levels Drone Survey'!AJ28</f>
        <v>0</v>
      </c>
      <c r="AK28" s="191">
        <f>'Functional Levels Drone Survey'!AK28-'Existing Levels Drone Survey'!AK28</f>
        <v>0</v>
      </c>
      <c r="AL28" s="191">
        <f>'Functional Levels Drone Survey'!AL28-'Existing Levels Drone Survey'!AL28</f>
        <v>0</v>
      </c>
      <c r="AM28" s="191">
        <f>'Functional Levels Drone Survey'!AM28-'Existing Levels Drone Survey'!AM28</f>
        <v>0</v>
      </c>
      <c r="AN28" s="191">
        <f>'Functional Levels Drone Survey'!AN28-'Existing Levels Drone Survey'!AN28</f>
        <v>0</v>
      </c>
      <c r="AO28" s="191">
        <f>'Functional Levels Drone Survey'!AO28-'Existing Levels Drone Survey'!AO28</f>
        <v>0</v>
      </c>
      <c r="AP28" s="191">
        <f>'Functional Levels Drone Survey'!AP28-'Existing Levels Drone Survey'!AP28</f>
        <v>0</v>
      </c>
      <c r="AQ28" s="191">
        <f>'Functional Levels Drone Survey'!AQ28-'Existing Levels Drone Survey'!AQ28</f>
        <v>0</v>
      </c>
      <c r="AR28" s="191">
        <f>'Functional Levels Drone Survey'!AR28-'Existing Levels Drone Survey'!AR28</f>
        <v>0</v>
      </c>
      <c r="AS28" s="191">
        <f>'Functional Levels Drone Survey'!AS28-'Existing Levels Drone Survey'!AS28</f>
        <v>0</v>
      </c>
      <c r="AT28" s="191">
        <f>'Functional Levels Drone Survey'!AT28-'Existing Levels Drone Survey'!AT28</f>
        <v>0</v>
      </c>
      <c r="AU28" s="191">
        <f>'Functional Levels Drone Survey'!AU28-'Existing Levels Drone Survey'!AU28</f>
        <v>0</v>
      </c>
      <c r="AV28" s="191">
        <f>'Functional Levels Drone Survey'!AV28-'Existing Levels Drone Survey'!AV28</f>
        <v>0</v>
      </c>
      <c r="AW28" s="191">
        <f>'Functional Levels Drone Survey'!AW28-'Existing Levels Drone Survey'!AW28</f>
        <v>0</v>
      </c>
      <c r="AX28" s="191">
        <f>'Functional Levels Drone Survey'!AX28-'Existing Levels Drone Survey'!AX28</f>
        <v>0</v>
      </c>
      <c r="AY28" s="191">
        <f>'Functional Levels Drone Survey'!AY28-'Existing Levels Drone Survey'!AY28</f>
        <v>0</v>
      </c>
      <c r="AZ28" s="191">
        <f>'Functional Levels Drone Survey'!AZ28-'Existing Levels Drone Survey'!AZ28</f>
        <v>0</v>
      </c>
      <c r="BA28" s="278">
        <f>'Functional Levels Drone Survey'!BA28-'Existing Levels Drone Survey'!BA28</f>
        <v>-0.69926000000009481</v>
      </c>
      <c r="BB28" s="279">
        <f>'Functional Levels Drone Survey'!BB28-'Existing Levels Drone Survey'!BB28</f>
        <v>-1.3339600000001042</v>
      </c>
      <c r="BC28" s="191">
        <f>'Functional Levels Drone Survey'!BC28-'Existing Levels Drone Survey'!BC28</f>
        <v>-0.71686000000011063</v>
      </c>
      <c r="BD28" s="191">
        <f>'Functional Levels Drone Survey'!BD28-'Existing Levels Drone Survey'!BD28</f>
        <v>-0.78416000000009944</v>
      </c>
      <c r="BE28" s="191">
        <f>'Functional Levels Drone Survey'!BE28-'Existing Levels Drone Survey'!BE28</f>
        <v>-0.68486000000012837</v>
      </c>
      <c r="BF28" s="191">
        <f>'Functional Levels Drone Survey'!BF28-'Existing Levels Drone Survey'!BF28</f>
        <v>-0.84616000000011127</v>
      </c>
      <c r="BG28" s="191">
        <f>'Functional Levels Drone Survey'!BG28-'Existing Levels Drone Survey'!BG28</f>
        <v>-0.73336000000011836</v>
      </c>
      <c r="BH28" s="191">
        <f>'Functional Levels Drone Survey'!BH28-'Existing Levels Drone Survey'!BH28</f>
        <v>-0.759860000000117</v>
      </c>
      <c r="BI28" s="191">
        <f>'Functional Levels Drone Survey'!BI28-'Existing Levels Drone Survey'!BI28</f>
        <v>-0.61416000000008353</v>
      </c>
      <c r="BJ28" s="191">
        <f>'Functional Levels Drone Survey'!BJ28-'Existing Levels Drone Survey'!BJ28</f>
        <v>-0.61956000000009226</v>
      </c>
      <c r="BK28" s="191">
        <f>'Functional Levels Drone Survey'!BK28-'Existing Levels Drone Survey'!BK28</f>
        <v>-0.60336000000012291</v>
      </c>
      <c r="BL28" s="191">
        <f>'Functional Levels Drone Survey'!BL28-'Existing Levels Drone Survey'!BL28</f>
        <v>-0.49996000000010099</v>
      </c>
      <c r="BM28" s="191">
        <f>'Functional Levels Drone Survey'!BM28-'Existing Levels Drone Survey'!BM28</f>
        <v>-0.38346000000012737</v>
      </c>
      <c r="BN28" s="191">
        <f>'Functional Levels Drone Survey'!BN28-'Existing Levels Drone Survey'!BN28</f>
        <v>-0.37896000000012009</v>
      </c>
      <c r="BO28" s="191">
        <f>'Functional Levels Drone Survey'!BO28-'Existing Levels Drone Survey'!BO28</f>
        <v>-0.24006000000008498</v>
      </c>
      <c r="BP28" s="191">
        <f>'Functional Levels Drone Survey'!BP28-'Existing Levels Drone Survey'!BP28</f>
        <v>-0.14536000000009608</v>
      </c>
      <c r="BQ28" s="191">
        <f>'Functional Levels Drone Survey'!BQ28-'Existing Levels Drone Survey'!BQ28</f>
        <v>-0.20126000000010436</v>
      </c>
      <c r="BR28" s="191">
        <f>'Functional Levels Drone Survey'!BR28-'Existing Levels Drone Survey'!BR28</f>
        <v>-0.28356000000007953</v>
      </c>
      <c r="BS28" s="191">
        <f>'Functional Levels Drone Survey'!BS28-'Existing Levels Drone Survey'!BS28</f>
        <v>-0.24816000000009808</v>
      </c>
      <c r="BT28" s="191">
        <f>'Functional Levels Drone Survey'!BT28-'Existing Levels Drone Survey'!BT28</f>
        <v>-0.30566000000010263</v>
      </c>
      <c r="BU28" s="279">
        <f>'Functional Levels Drone Survey'!BU28-'Existing Levels Drone Survey'!BU28</f>
        <v>-0.19006000000013046</v>
      </c>
      <c r="BV28" s="191">
        <f>'Functional Levels Drone Survey'!BV28-'Existing Levels Drone Survey'!BV28</f>
        <v>-0.56410000000005311</v>
      </c>
      <c r="BW28" s="191">
        <f>'Functional Levels Drone Survey'!BW28-'Existing Levels Drone Survey'!BW28</f>
        <v>-0.56770000000005894</v>
      </c>
      <c r="BX28" s="191">
        <f>'Functional Levels Drone Survey'!BX28-'Existing Levels Drone Survey'!BX28</f>
        <v>-0.67240000000003874</v>
      </c>
      <c r="BY28" s="278">
        <f>'Functional Levels Drone Survey'!BY28-'Existing Levels Drone Survey'!BY28</f>
        <v>-0.51680000000004611</v>
      </c>
      <c r="BZ28" s="278">
        <f>'Functional Levels Drone Survey'!BZ28-'Existing Levels Drone Survey'!BZ28</f>
        <v>-1.8300000000067485E-2</v>
      </c>
      <c r="CA28" s="278">
        <f>'Functional Levels Drone Survey'!CA28-'Existing Levels Drone Survey'!CA28</f>
        <v>8.1399999999916872E-2</v>
      </c>
      <c r="CB28" s="191">
        <f>'Functional Levels Drone Survey'!CB28-'Existing Levels Drone Survey'!CB28</f>
        <v>-0.21830000000005612</v>
      </c>
      <c r="CC28" s="191">
        <f>'Functional Levels Drone Survey'!CC28-'Existing Levels Drone Survey'!CC28</f>
        <v>-0.31170000000008713</v>
      </c>
      <c r="CD28" s="191">
        <f>'Functional Levels Drone Survey'!CD28-'Existing Levels Drone Survey'!CD28</f>
        <v>-0.24460000000004811</v>
      </c>
      <c r="CE28" s="191">
        <f>'Functional Levels Drone Survey'!CE28-'Existing Levels Drone Survey'!CE28</f>
        <v>-0.42680000000007112</v>
      </c>
      <c r="CF28" s="191">
        <f>'Functional Levels Drone Survey'!CF28-'Existing Levels Drone Survey'!CF28</f>
        <v>-0.42670000000003938</v>
      </c>
      <c r="CG28" s="279">
        <f>'Functional Levels Drone Survey'!CG28-'Existing Levels Drone Survey'!CG28</f>
        <v>-0.51290000000005875</v>
      </c>
      <c r="CH28" s="191">
        <f>'Functional Levels Drone Survey'!CH28-'Existing Levels Drone Survey'!CH28</f>
        <v>-0.31670000000002574</v>
      </c>
      <c r="CI28" s="191">
        <f>'Functional Levels Drone Survey'!CI28-'Existing Levels Drone Survey'!CI28</f>
        <v>-0.1802000000000703</v>
      </c>
      <c r="CJ28" s="191">
        <f>'Functional Levels Drone Survey'!CJ28-'Existing Levels Drone Survey'!CJ28</f>
        <v>-0.1441000000000372</v>
      </c>
      <c r="CK28" s="191">
        <f>'Functional Levels Drone Survey'!CK28-'Existing Levels Drone Survey'!CK28</f>
        <v>3.0999999999949068E-2</v>
      </c>
      <c r="CL28" s="191">
        <f>'Functional Levels Drone Survey'!CL28-'Existing Levels Drone Survey'!CL28</f>
        <v>5.0399999999967804E-2</v>
      </c>
      <c r="CM28" s="191">
        <f>'Functional Levels Drone Survey'!CM28-'Existing Levels Drone Survey'!CM28</f>
        <v>-6.1000000000603904E-3</v>
      </c>
      <c r="CN28" s="279">
        <f>'Functional Levels Drone Survey'!CN28-'Existing Levels Drone Survey'!CN28</f>
        <v>-0.18290000000007467</v>
      </c>
      <c r="CO28" s="191">
        <f>'Functional Levels Drone Survey'!CO28-'Existing Levels Drone Survey'!CO28</f>
        <v>-0.34463333333343371</v>
      </c>
      <c r="CP28" s="191">
        <f>'Functional Levels Drone Survey'!CP28-'Existing Levels Drone Survey'!CP28</f>
        <v>-0.33663333333345236</v>
      </c>
      <c r="CQ28" s="279">
        <f>'Functional Levels Drone Survey'!CQ28-'Existing Levels Drone Survey'!CQ28</f>
        <v>-0.21523333333340133</v>
      </c>
      <c r="CR28" s="191">
        <f>'Functional Levels Drone Survey'!CR28-'Existing Levels Drone Survey'!CR28</f>
        <v>-0.21303333333344199</v>
      </c>
      <c r="CS28" s="191">
        <f>'Functional Levels Drone Survey'!CS28-'Existing Levels Drone Survey'!CS28</f>
        <v>-0.12453333333343153</v>
      </c>
      <c r="CT28" s="191">
        <f>'Functional Levels Drone Survey'!CT28-'Existing Levels Drone Survey'!CT28</f>
        <v>-0.17553333333341925</v>
      </c>
      <c r="CU28" s="191">
        <f>'Functional Levels Drone Survey'!CU28-'Existing Levels Drone Survey'!CU28</f>
        <v>-0.13963333333344963</v>
      </c>
      <c r="CV28" s="191">
        <f>'Functional Levels Drone Survey'!CV28-'Existing Levels Drone Survey'!CV28</f>
        <v>-0.16123333333342771</v>
      </c>
      <c r="CW28" s="191">
        <f>'Functional Levels Drone Survey'!CW28-'Existing Levels Drone Survey'!CW28</f>
        <v>-0.20753333333340152</v>
      </c>
      <c r="CX28" s="191">
        <f>'Functional Levels Drone Survey'!CX28-'Existing Levels Drone Survey'!CX28</f>
        <v>-0.32843333333340752</v>
      </c>
      <c r="CY28" s="191">
        <f>'Functional Levels Drone Survey'!CY28-'Existing Levels Drone Survey'!CY28</f>
        <v>-0.13603333333344381</v>
      </c>
      <c r="CZ28" s="191">
        <f>'Functional Levels Drone Survey'!CZ28-'Existing Levels Drone Survey'!CZ28</f>
        <v>-0.26993333333342662</v>
      </c>
      <c r="DA28" s="191">
        <f>'Functional Levels Drone Survey'!DA28-'Existing Levels Drone Survey'!DA28</f>
        <v>-2.5733333333448627E-2</v>
      </c>
      <c r="DB28" s="191">
        <f>'Functional Levels Drone Survey'!DB28-'Existing Levels Drone Survey'!DB28</f>
        <v>-0.34163333333344781</v>
      </c>
      <c r="DC28" s="191">
        <f>'Functional Levels Drone Survey'!DC28-'Existing Levels Drone Survey'!DC28</f>
        <v>-0.18253333333342425</v>
      </c>
      <c r="DD28" s="191">
        <f>'Functional Levels Drone Survey'!DD28-'Existing Levels Drone Survey'!DD28</f>
        <v>-0.23873333333341407</v>
      </c>
      <c r="DE28" s="191">
        <f>'Functional Levels Drone Survey'!DE28-'Existing Levels Drone Survey'!DE28</f>
        <v>-0.18843333333342116</v>
      </c>
      <c r="DF28" s="191">
        <f>'Functional Levels Drone Survey'!DF28-'Existing Levels Drone Survey'!DF28</f>
        <v>-4.3333333343298364E-4</v>
      </c>
      <c r="DG28" s="191">
        <f>'Functional Levels Drone Survey'!DG28-'Existing Levels Drone Survey'!DG28</f>
        <v>6.5166666666584661E-2</v>
      </c>
      <c r="DH28" s="279">
        <f>'Functional Levels Drone Survey'!DH28-'Existing Levels Drone Survey'!DH28</f>
        <v>0.10016666666655283</v>
      </c>
      <c r="DI28" s="191">
        <f>'Functional Levels Drone Survey'!DI28-'Existing Levels Drone Survey'!DI28</f>
        <v>0.17046666666658439</v>
      </c>
      <c r="DJ28" s="279">
        <f>'Functional Levels Drone Survey'!DJ28-'Existing Levels Drone Survey'!DJ28</f>
        <v>0.28392222222225882</v>
      </c>
      <c r="DK28" s="191">
        <f>'Functional Levels Drone Survey'!DK28-'Existing Levels Drone Survey'!DK28</f>
        <v>0.32042222222224837</v>
      </c>
      <c r="DL28" s="191">
        <f>'Functional Levels Drone Survey'!DL28-'Existing Levels Drone Survey'!DL28</f>
        <v>0.30832222222227301</v>
      </c>
      <c r="DM28" s="191">
        <f>'Functional Levels Drone Survey'!DM28-'Existing Levels Drone Survey'!DM28</f>
        <v>0.40322222222226856</v>
      </c>
      <c r="DN28" s="191">
        <f>'Functional Levels Drone Survey'!DN28-'Existing Levels Drone Survey'!DN28</f>
        <v>0.11552222222223918</v>
      </c>
      <c r="DO28" s="191">
        <f>'Functional Levels Drone Survey'!DO28-'Existing Levels Drone Survey'!DO28</f>
        <v>0.16142222222225655</v>
      </c>
      <c r="DP28" s="191">
        <f>'Functional Levels Drone Survey'!DP28-'Existing Levels Drone Survey'!DP28</f>
        <v>0.12792222222225291</v>
      </c>
      <c r="DQ28" s="191">
        <f>'Functional Levels Drone Survey'!DQ28-'Existing Levels Drone Survey'!DQ28</f>
        <v>7.8222222222223081E-2</v>
      </c>
      <c r="DR28" s="191">
        <f>'Functional Levels Drone Survey'!DR28-'Existing Levels Drone Survey'!DR28</f>
        <v>3.4522222222278742E-2</v>
      </c>
      <c r="DS28" s="191">
        <f>'Functional Levels Drone Survey'!DS28-'Existing Levels Drone Survey'!DS28</f>
        <v>-6.1877777777738174E-2</v>
      </c>
      <c r="DT28" s="191">
        <f>'Functional Levels Drone Survey'!DT28-'Existing Levels Drone Survey'!DT28</f>
        <v>0.35572222222225491</v>
      </c>
      <c r="DU28" s="191">
        <f>'Functional Levels Drone Survey'!DU28-'Existing Levels Drone Survey'!DU28</f>
        <v>-6.8777777777313531E-3</v>
      </c>
      <c r="DV28" s="191">
        <f>'Functional Levels Drone Survey'!DV28-'Existing Levels Drone Survey'!DV28</f>
        <v>-4.1877777777756364E-2</v>
      </c>
      <c r="DW28" s="191">
        <f>'Functional Levels Drone Survey'!DW28-'Existing Levels Drone Survey'!DW28</f>
        <v>-1.9577777777726624E-2</v>
      </c>
      <c r="DX28" s="191">
        <f>'Functional Levels Drone Survey'!DX28-'Existing Levels Drone Survey'!DX28</f>
        <v>2.3122222222241362E-2</v>
      </c>
      <c r="DY28" s="191">
        <f>'Functional Levels Drone Survey'!DY28-'Existing Levels Drone Survey'!DY28</f>
        <v>3.6722222222238088E-2</v>
      </c>
      <c r="DZ28" s="191">
        <f>'Functional Levels Drone Survey'!DZ28-'Existing Levels Drone Survey'!DZ28</f>
        <v>0.17092222222225928</v>
      </c>
      <c r="EA28" s="279">
        <f>'Functional Levels Drone Survey'!EA28-'Existing Levels Drone Survey'!EA28</f>
        <v>0.27982222222226483</v>
      </c>
      <c r="EB28" s="191">
        <f>'Functional Levels Drone Survey'!EB28-'Existing Levels Drone Survey'!EB28</f>
        <v>5.586315789469154E-2</v>
      </c>
      <c r="EC28" s="279">
        <f>'Functional Levels Drone Survey'!EC28-'Existing Levels Drone Survey'!EC28</f>
        <v>0.18396315789470918</v>
      </c>
      <c r="ED28" s="191">
        <f>'Functional Levels Drone Survey'!ED28-'Existing Levels Drone Survey'!ED28</f>
        <v>0.19536315789468972</v>
      </c>
      <c r="EE28" s="191">
        <f>'Functional Levels Drone Survey'!EE28-'Existing Levels Drone Survey'!EE28</f>
        <v>0.53416315789473856</v>
      </c>
      <c r="EF28" s="191">
        <f>'Functional Levels Drone Survey'!EF28-'Existing Levels Drone Survey'!EF28</f>
        <v>0.10756315789473092</v>
      </c>
      <c r="EG28" s="191">
        <f>'Functional Levels Drone Survey'!EG28-'Existing Levels Drone Survey'!EG28</f>
        <v>0.12386315789473201</v>
      </c>
      <c r="EH28" s="191">
        <f>'Functional Levels Drone Survey'!EH28-'Existing Levels Drone Survey'!EH28</f>
        <v>0.15626315789472756</v>
      </c>
      <c r="EI28" s="191">
        <f>'Functional Levels Drone Survey'!EI28-'Existing Levels Drone Survey'!EI28</f>
        <v>0.23446315789470873</v>
      </c>
      <c r="EJ28" s="191">
        <f>'Functional Levels Drone Survey'!EJ28-'Existing Levels Drone Survey'!EJ28</f>
        <v>0.33516315789472628</v>
      </c>
      <c r="EK28" s="191">
        <f>'Functional Levels Drone Survey'!EK28-'Existing Levels Drone Survey'!EK28</f>
        <v>0.32006315789470818</v>
      </c>
      <c r="EL28" s="191">
        <f>'Functional Levels Drone Survey'!EL28-'Existing Levels Drone Survey'!EL28</f>
        <v>0.32036315789468972</v>
      </c>
      <c r="EM28" s="191">
        <f>'Functional Levels Drone Survey'!EM28-'Existing Levels Drone Survey'!EM28</f>
        <v>0.26906315789472046</v>
      </c>
      <c r="EN28" s="191">
        <f>'Functional Levels Drone Survey'!EN28-'Existing Levels Drone Survey'!EN28</f>
        <v>0.42696315789470418</v>
      </c>
      <c r="EO28" s="191">
        <f>'Functional Levels Drone Survey'!EO28-'Existing Levels Drone Survey'!EO28</f>
        <v>0.51756315789469909</v>
      </c>
      <c r="EP28" s="191">
        <f>'Functional Levels Drone Survey'!EP28-'Existing Levels Drone Survey'!EP28</f>
        <v>0.5595631578947291</v>
      </c>
      <c r="EQ28" s="191">
        <f>'Functional Levels Drone Survey'!EQ28-'Existing Levels Drone Survey'!EQ28</f>
        <v>0.58966315789473356</v>
      </c>
      <c r="ER28" s="191">
        <f>'Functional Levels Drone Survey'!ER28-'Existing Levels Drone Survey'!ER28</f>
        <v>0.59316315789470764</v>
      </c>
      <c r="ES28" s="191">
        <f>'Functional Levels Drone Survey'!ES28-'Existing Levels Drone Survey'!ES28</f>
        <v>0.58166315789469536</v>
      </c>
      <c r="ET28" s="191">
        <f>'Functional Levels Drone Survey'!ET28-'Existing Levels Drone Survey'!ET28</f>
        <v>0.57686315789470655</v>
      </c>
      <c r="EU28" s="279">
        <f>'Functional Levels Drone Survey'!EU28-'Existing Levels Drone Survey'!EU28</f>
        <v>0.51166315789470218</v>
      </c>
      <c r="EV28" s="191">
        <f>'Functional Levels Drone Survey'!EV28-'Existing Levels Drone Survey'!EV28</f>
        <v>0.33856315789466862</v>
      </c>
      <c r="EW28" s="191">
        <f>'Functional Levels Drone Survey'!EW28-'Existing Levels Drone Survey'!EW28</f>
        <v>0.42546315789468281</v>
      </c>
      <c r="EX28" s="278">
        <f>'Functional Levels Drone Survey'!EX28-'Existing Levels Drone Survey'!EX28</f>
        <v>0.46186315789469745</v>
      </c>
      <c r="EY28" s="191">
        <f>'Functional Levels Drone Survey'!EY28-'Existing Levels Drone Survey'!EY28</f>
        <v>0</v>
      </c>
    </row>
    <row r="29" spans="1:155" ht="45" customHeight="1" x14ac:dyDescent="0.45">
      <c r="A29" s="277">
        <v>140</v>
      </c>
      <c r="B29" s="191">
        <f>'Functional Levels Drone Survey'!B29-'Existing Levels Drone Survey'!B29</f>
        <v>0</v>
      </c>
      <c r="C29" s="191">
        <f>'Functional Levels Drone Survey'!C29-'Existing Levels Drone Survey'!C29</f>
        <v>0</v>
      </c>
      <c r="D29" s="191">
        <f>'Functional Levels Drone Survey'!D29-'Existing Levels Drone Survey'!D29</f>
        <v>0</v>
      </c>
      <c r="E29" s="191">
        <f>'Functional Levels Drone Survey'!E29-'Existing Levels Drone Survey'!E29</f>
        <v>0</v>
      </c>
      <c r="F29" s="191">
        <f>'Functional Levels Drone Survey'!F29-'Existing Levels Drone Survey'!F29</f>
        <v>0</v>
      </c>
      <c r="G29" s="191">
        <f>'Functional Levels Drone Survey'!G29-'Existing Levels Drone Survey'!G29</f>
        <v>0</v>
      </c>
      <c r="H29" s="191">
        <f>'Functional Levels Drone Survey'!H29-'Existing Levels Drone Survey'!H29</f>
        <v>0</v>
      </c>
      <c r="I29" s="191">
        <f>'Functional Levels Drone Survey'!I29-'Existing Levels Drone Survey'!I29</f>
        <v>0</v>
      </c>
      <c r="J29" s="191">
        <f>'Functional Levels Drone Survey'!J29-'Existing Levels Drone Survey'!J29</f>
        <v>0</v>
      </c>
      <c r="K29" s="191">
        <f>'Functional Levels Drone Survey'!K29-'Existing Levels Drone Survey'!K29</f>
        <v>0</v>
      </c>
      <c r="L29" s="191">
        <f>'Functional Levels Drone Survey'!L29-'Existing Levels Drone Survey'!L29</f>
        <v>0</v>
      </c>
      <c r="M29" s="191">
        <f>'Functional Levels Drone Survey'!M29-'Existing Levels Drone Survey'!M29</f>
        <v>0</v>
      </c>
      <c r="N29" s="191">
        <f>'Functional Levels Drone Survey'!N29-'Existing Levels Drone Survey'!N29</f>
        <v>0</v>
      </c>
      <c r="O29" s="191">
        <f>'Functional Levels Drone Survey'!O29-'Existing Levels Drone Survey'!O29</f>
        <v>0</v>
      </c>
      <c r="P29" s="191">
        <f>'Functional Levels Drone Survey'!P29-'Existing Levels Drone Survey'!P29</f>
        <v>0</v>
      </c>
      <c r="Q29" s="191">
        <f>'Functional Levels Drone Survey'!Q29-'Existing Levels Drone Survey'!Q29</f>
        <v>0</v>
      </c>
      <c r="R29" s="191">
        <f>'Functional Levels Drone Survey'!R29-'Existing Levels Drone Survey'!R29</f>
        <v>0</v>
      </c>
      <c r="S29" s="191">
        <f>'Functional Levels Drone Survey'!S29-'Existing Levels Drone Survey'!S29</f>
        <v>0</v>
      </c>
      <c r="T29" s="191">
        <f>'Functional Levels Drone Survey'!T29-'Existing Levels Drone Survey'!T29</f>
        <v>0</v>
      </c>
      <c r="U29" s="191">
        <f>'Functional Levels Drone Survey'!U29-'Existing Levels Drone Survey'!U29</f>
        <v>0</v>
      </c>
      <c r="V29" s="191">
        <f>'Functional Levels Drone Survey'!V29-'Existing Levels Drone Survey'!V29</f>
        <v>0</v>
      </c>
      <c r="W29" s="191">
        <f>'Functional Levels Drone Survey'!W29-'Existing Levels Drone Survey'!W29</f>
        <v>0</v>
      </c>
      <c r="X29" s="191">
        <f>'Functional Levels Drone Survey'!X29-'Existing Levels Drone Survey'!X29</f>
        <v>0</v>
      </c>
      <c r="Y29" s="191">
        <f>'Functional Levels Drone Survey'!Y29-'Existing Levels Drone Survey'!Y29</f>
        <v>0</v>
      </c>
      <c r="Z29" s="191">
        <f>'Functional Levels Drone Survey'!Z29-'Existing Levels Drone Survey'!Z29</f>
        <v>0</v>
      </c>
      <c r="AA29" s="191">
        <f>'Functional Levels Drone Survey'!AA29-'Existing Levels Drone Survey'!AA29</f>
        <v>0</v>
      </c>
      <c r="AB29" s="191">
        <f>'Functional Levels Drone Survey'!AB29-'Existing Levels Drone Survey'!AB29</f>
        <v>0</v>
      </c>
      <c r="AC29" s="191">
        <f>'Functional Levels Drone Survey'!AC29-'Existing Levels Drone Survey'!AC29</f>
        <v>0</v>
      </c>
      <c r="AD29" s="191">
        <f>'Functional Levels Drone Survey'!AD29-'Existing Levels Drone Survey'!AD29</f>
        <v>0</v>
      </c>
      <c r="AE29" s="191">
        <f>'Functional Levels Drone Survey'!AE29-'Existing Levels Drone Survey'!AE29</f>
        <v>0</v>
      </c>
      <c r="AF29" s="191">
        <f>'Functional Levels Drone Survey'!AF29-'Existing Levels Drone Survey'!AF29</f>
        <v>0</v>
      </c>
      <c r="AG29" s="191">
        <f>'Functional Levels Drone Survey'!AG29-'Existing Levels Drone Survey'!AG29</f>
        <v>0</v>
      </c>
      <c r="AH29" s="191">
        <f>'Functional Levels Drone Survey'!AH29-'Existing Levels Drone Survey'!AH29</f>
        <v>0</v>
      </c>
      <c r="AI29" s="191">
        <f>'Functional Levels Drone Survey'!AI29-'Existing Levels Drone Survey'!AI29</f>
        <v>0</v>
      </c>
      <c r="AJ29" s="191">
        <f>'Functional Levels Drone Survey'!AJ29-'Existing Levels Drone Survey'!AJ29</f>
        <v>0</v>
      </c>
      <c r="AK29" s="191">
        <f>'Functional Levels Drone Survey'!AK29-'Existing Levels Drone Survey'!AK29</f>
        <v>0</v>
      </c>
      <c r="AL29" s="191">
        <f>'Functional Levels Drone Survey'!AL29-'Existing Levels Drone Survey'!AL29</f>
        <v>0</v>
      </c>
      <c r="AM29" s="191">
        <f>'Functional Levels Drone Survey'!AM29-'Existing Levels Drone Survey'!AM29</f>
        <v>0</v>
      </c>
      <c r="AN29" s="191">
        <f>'Functional Levels Drone Survey'!AN29-'Existing Levels Drone Survey'!AN29</f>
        <v>0</v>
      </c>
      <c r="AO29" s="191">
        <f>'Functional Levels Drone Survey'!AO29-'Existing Levels Drone Survey'!AO29</f>
        <v>0</v>
      </c>
      <c r="AP29" s="191">
        <f>'Functional Levels Drone Survey'!AP29-'Existing Levels Drone Survey'!AP29</f>
        <v>0</v>
      </c>
      <c r="AQ29" s="191">
        <f>'Functional Levels Drone Survey'!AQ29-'Existing Levels Drone Survey'!AQ29</f>
        <v>0</v>
      </c>
      <c r="AR29" s="191">
        <f>'Functional Levels Drone Survey'!AR29-'Existing Levels Drone Survey'!AR29</f>
        <v>0</v>
      </c>
      <c r="AS29" s="191">
        <f>'Functional Levels Drone Survey'!AS29-'Existing Levels Drone Survey'!AS29</f>
        <v>0</v>
      </c>
      <c r="AT29" s="191">
        <f>'Functional Levels Drone Survey'!AT29-'Existing Levels Drone Survey'!AT29</f>
        <v>0</v>
      </c>
      <c r="AU29" s="191">
        <f>'Functional Levels Drone Survey'!AU29-'Existing Levels Drone Survey'!AU29</f>
        <v>0</v>
      </c>
      <c r="AV29" s="191">
        <f>'Functional Levels Drone Survey'!AV29-'Existing Levels Drone Survey'!AV29</f>
        <v>0</v>
      </c>
      <c r="AW29" s="191">
        <f>'Functional Levels Drone Survey'!AW29-'Existing Levels Drone Survey'!AW29</f>
        <v>0</v>
      </c>
      <c r="AX29" s="191">
        <f>'Functional Levels Drone Survey'!AX29-'Existing Levels Drone Survey'!AX29</f>
        <v>0</v>
      </c>
      <c r="AY29" s="191">
        <f>'Functional Levels Drone Survey'!AY29-'Existing Levels Drone Survey'!AY29</f>
        <v>0</v>
      </c>
      <c r="AZ29" s="191">
        <f>'Functional Levels Drone Survey'!AZ29-'Existing Levels Drone Survey'!AZ29</f>
        <v>0</v>
      </c>
      <c r="BA29" s="278">
        <f>'Functional Levels Drone Survey'!BA29-'Existing Levels Drone Survey'!BA29</f>
        <v>-0.66656000000006088</v>
      </c>
      <c r="BB29" s="279">
        <f>'Functional Levels Drone Survey'!BB29-'Existing Levels Drone Survey'!BB29</f>
        <v>-1.047260000000108</v>
      </c>
      <c r="BC29" s="191">
        <f>'Functional Levels Drone Survey'!BC29-'Existing Levels Drone Survey'!BC29</f>
        <v>-0.66526000000010299</v>
      </c>
      <c r="BD29" s="191">
        <f>'Functional Levels Drone Survey'!BD29-'Existing Levels Drone Survey'!BD29</f>
        <v>-0.62296000000009144</v>
      </c>
      <c r="BE29" s="191">
        <f>'Functional Levels Drone Survey'!BE29-'Existing Levels Drone Survey'!BE29</f>
        <v>-0.60216000000008307</v>
      </c>
      <c r="BF29" s="191">
        <f>'Functional Levels Drone Survey'!BF29-'Existing Levels Drone Survey'!BF29</f>
        <v>-0.6005600000000868</v>
      </c>
      <c r="BG29" s="191">
        <f>'Functional Levels Drone Survey'!BG29-'Existing Levels Drone Survey'!BG29</f>
        <v>-0.65876000000008617</v>
      </c>
      <c r="BH29" s="191">
        <f>'Functional Levels Drone Survey'!BH29-'Existing Levels Drone Survey'!BH29</f>
        <v>-0.44996000000008962</v>
      </c>
      <c r="BI29" s="191">
        <f>'Functional Levels Drone Survey'!BI29-'Existing Levels Drone Survey'!BI29</f>
        <v>-0.36506000000008498</v>
      </c>
      <c r="BJ29" s="191">
        <f>'Functional Levels Drone Survey'!BJ29-'Existing Levels Drone Survey'!BJ29</f>
        <v>-0.39556000000010272</v>
      </c>
      <c r="BK29" s="191">
        <f>'Functional Levels Drone Survey'!BK29-'Existing Levels Drone Survey'!BK29</f>
        <v>-0.29176000000012436</v>
      </c>
      <c r="BL29" s="191">
        <f>'Functional Levels Drone Survey'!BL29-'Existing Levels Drone Survey'!BL29</f>
        <v>-0.37086000000010699</v>
      </c>
      <c r="BM29" s="191">
        <f>'Functional Levels Drone Survey'!BM29-'Existing Levels Drone Survey'!BM29</f>
        <v>-0.25346000000007507</v>
      </c>
      <c r="BN29" s="191">
        <f>'Functional Levels Drone Survey'!BN29-'Existing Levels Drone Survey'!BN29</f>
        <v>-0.16566000000011627</v>
      </c>
      <c r="BO29" s="191">
        <f>'Functional Levels Drone Survey'!BO29-'Existing Levels Drone Survey'!BO29</f>
        <v>-0.15216000000009444</v>
      </c>
      <c r="BP29" s="191">
        <f>'Functional Levels Drone Survey'!BP29-'Existing Levels Drone Survey'!BP29</f>
        <v>-0.2184600000001069</v>
      </c>
      <c r="BQ29" s="191">
        <f>'Functional Levels Drone Survey'!BQ29-'Existing Levels Drone Survey'!BQ29</f>
        <v>-0.18966000000011718</v>
      </c>
      <c r="BR29" s="191">
        <f>'Functional Levels Drone Survey'!BR29-'Existing Levels Drone Survey'!BR29</f>
        <v>-0.25466000000011491</v>
      </c>
      <c r="BS29" s="191">
        <f>'Functional Levels Drone Survey'!BS29-'Existing Levels Drone Survey'!BS29</f>
        <v>-0.17476000000010572</v>
      </c>
      <c r="BT29" s="191">
        <f>'Functional Levels Drone Survey'!BT29-'Existing Levels Drone Survey'!BT29</f>
        <v>-0.1752600000000939</v>
      </c>
      <c r="BU29" s="279">
        <f>'Functional Levels Drone Survey'!BU29-'Existing Levels Drone Survey'!BU29</f>
        <v>-0.10246000000012145</v>
      </c>
      <c r="BV29" s="191">
        <f>'Functional Levels Drone Survey'!BV29-'Existing Levels Drone Survey'!BV29</f>
        <v>-0.3940000000000623</v>
      </c>
      <c r="BW29" s="279">
        <f>'Functional Levels Drone Survey'!BW29-'Existing Levels Drone Survey'!BW29</f>
        <v>-0.31610000000006266</v>
      </c>
      <c r="BX29" s="279">
        <f>'Functional Levels Drone Survey'!BX29-'Existing Levels Drone Survey'!BX29</f>
        <v>-0.27160000000003492</v>
      </c>
      <c r="BY29" s="279">
        <f>'Functional Levels Drone Survey'!BY29-'Existing Levels Drone Survey'!BY29</f>
        <v>-4.8900000000060118E-2</v>
      </c>
      <c r="BZ29" s="279">
        <f>'Functional Levels Drone Survey'!BZ29-'Existing Levels Drone Survey'!BZ29</f>
        <v>-0.31040000000001555</v>
      </c>
      <c r="CA29" s="279">
        <f>'Functional Levels Drone Survey'!CA29-'Existing Levels Drone Survey'!CA29</f>
        <v>-0.16980000000006612</v>
      </c>
      <c r="CB29" s="279">
        <f>'Functional Levels Drone Survey'!CB29-'Existing Levels Drone Survey'!CB29</f>
        <v>-0.13680000000005066</v>
      </c>
      <c r="CC29" s="279">
        <f>'Functional Levels Drone Survey'!CC29-'Existing Levels Drone Survey'!CC29</f>
        <v>-0.3234000000000492</v>
      </c>
      <c r="CD29" s="279">
        <f>'Functional Levels Drone Survey'!CD29-'Existing Levels Drone Survey'!CD29</f>
        <v>-0.44320000000004711</v>
      </c>
      <c r="CE29" s="279">
        <f>'Functional Levels Drone Survey'!CE29-'Existing Levels Drone Survey'!CE29</f>
        <v>-0.24430000000006658</v>
      </c>
      <c r="CF29" s="279">
        <f>'Functional Levels Drone Survey'!CF29-'Existing Levels Drone Survey'!CF29</f>
        <v>-0.1884000000000583</v>
      </c>
      <c r="CG29" s="279">
        <f>'Functional Levels Drone Survey'!CG29-'Existing Levels Drone Survey'!CG29</f>
        <v>-0.22980000000006839</v>
      </c>
      <c r="CH29" s="191">
        <f>'Functional Levels Drone Survey'!CH29-'Existing Levels Drone Survey'!CH29</f>
        <v>-0.17420000000004165</v>
      </c>
      <c r="CI29" s="191">
        <f>'Functional Levels Drone Survey'!CI29-'Existing Levels Drone Survey'!CI29</f>
        <v>-0.13410000000004629</v>
      </c>
      <c r="CJ29" s="191">
        <f>'Functional Levels Drone Survey'!CJ29-'Existing Levels Drone Survey'!CJ29</f>
        <v>-0.18550000000004729</v>
      </c>
      <c r="CK29" s="191">
        <f>'Functional Levels Drone Survey'!CK29-'Existing Levels Drone Survey'!CK29</f>
        <v>-9.9500000000034561E-2</v>
      </c>
      <c r="CL29" s="191">
        <f>'Functional Levels Drone Survey'!CL29-'Existing Levels Drone Survey'!CL29</f>
        <v>-8.0300000000022465E-2</v>
      </c>
      <c r="CM29" s="191">
        <f>'Functional Levels Drone Survey'!CM29-'Existing Levels Drone Survey'!CM29</f>
        <v>-2.430000000003929E-2</v>
      </c>
      <c r="CN29" s="279">
        <f>'Functional Levels Drone Survey'!CN29-'Existing Levels Drone Survey'!CN29</f>
        <v>-1.7000000000052751E-2</v>
      </c>
      <c r="CO29" s="191">
        <f>'Functional Levels Drone Survey'!CO29-'Existing Levels Drone Survey'!CO29</f>
        <v>-0.22323333333343953</v>
      </c>
      <c r="CP29" s="191">
        <f>'Functional Levels Drone Survey'!CP29-'Existing Levels Drone Survey'!CP29</f>
        <v>-0.16503333333344017</v>
      </c>
      <c r="CQ29" s="279">
        <f>'Functional Levels Drone Survey'!CQ29-'Existing Levels Drone Survey'!CQ29</f>
        <v>-1.7733333333410428E-2</v>
      </c>
      <c r="CR29" s="191">
        <f>'Functional Levels Drone Survey'!CR29-'Existing Levels Drone Survey'!CR29</f>
        <v>-2.1633333333397786E-2</v>
      </c>
      <c r="CS29" s="191">
        <f>'Functional Levels Drone Survey'!CS29-'Existing Levels Drone Survey'!CS29</f>
        <v>-0.10763333333341052</v>
      </c>
      <c r="CT29" s="191">
        <f>'Functional Levels Drone Survey'!CT29-'Existing Levels Drone Survey'!CT29</f>
        <v>-0.1302333333334218</v>
      </c>
      <c r="CU29" s="191">
        <f>'Functional Levels Drone Survey'!CU29-'Existing Levels Drone Survey'!CU29</f>
        <v>-0.18883333333343444</v>
      </c>
      <c r="CV29" s="191">
        <f>'Functional Levels Drone Survey'!CV29-'Existing Levels Drone Survey'!CV29</f>
        <v>4.7366666666562196E-2</v>
      </c>
      <c r="CW29" s="191">
        <f>'Functional Levels Drone Survey'!CW29-'Existing Levels Drone Survey'!CW29</f>
        <v>0.1057666666665682</v>
      </c>
      <c r="CX29" s="191">
        <f>'Functional Levels Drone Survey'!CX29-'Existing Levels Drone Survey'!CX29</f>
        <v>9.6566666666603851E-2</v>
      </c>
      <c r="CY29" s="191">
        <f>'Functional Levels Drone Survey'!CY29-'Existing Levels Drone Survey'!CY29</f>
        <v>-0.55193333333340888</v>
      </c>
      <c r="CZ29" s="191">
        <f>'Functional Levels Drone Survey'!CZ29-'Existing Levels Drone Survey'!CZ29</f>
        <v>-0.24493333333339251</v>
      </c>
      <c r="DA29" s="191">
        <f>'Functional Levels Drone Survey'!DA29-'Existing Levels Drone Survey'!DA29</f>
        <v>-0.26943333333343844</v>
      </c>
      <c r="DB29" s="191">
        <f>'Functional Levels Drone Survey'!DB29-'Existing Levels Drone Survey'!DB29</f>
        <v>-0.30423333333339997</v>
      </c>
      <c r="DC29" s="191">
        <f>'Functional Levels Drone Survey'!DC29-'Existing Levels Drone Survey'!DC29</f>
        <v>-0.1695333333333906</v>
      </c>
      <c r="DD29" s="191">
        <f>'Functional Levels Drone Survey'!DD29-'Existing Levels Drone Survey'!DD29</f>
        <v>-0.13963333333339278</v>
      </c>
      <c r="DE29" s="191">
        <f>'Functional Levels Drone Survey'!DE29-'Existing Levels Drone Survey'!DE29</f>
        <v>-1.1533333333431983E-2</v>
      </c>
      <c r="DF29" s="191">
        <f>'Functional Levels Drone Survey'!DF29-'Existing Levels Drone Survey'!DF29</f>
        <v>0.18816666666657511</v>
      </c>
      <c r="DG29" s="191">
        <f>'Functional Levels Drone Survey'!DG29-'Existing Levels Drone Survey'!DG29</f>
        <v>0.1945666666665602</v>
      </c>
      <c r="DH29" s="279">
        <f>'Functional Levels Drone Survey'!DH29-'Existing Levels Drone Survey'!DH29</f>
        <v>0.21136666666660631</v>
      </c>
      <c r="DI29" s="191">
        <f>'Functional Levels Drone Survey'!DI29-'Existing Levels Drone Survey'!DI29</f>
        <v>0.30986666666660767</v>
      </c>
      <c r="DJ29" s="279">
        <f>'Functional Levels Drone Survey'!DJ29-'Existing Levels Drone Survey'!DJ29</f>
        <v>0.50192222222227656</v>
      </c>
      <c r="DK29" s="191">
        <f>'Functional Levels Drone Survey'!DK29-'Existing Levels Drone Survey'!DK29</f>
        <v>0.47042222222228247</v>
      </c>
      <c r="DL29" s="191">
        <f>'Functional Levels Drone Survey'!DL29-'Existing Levels Drone Survey'!DL29</f>
        <v>0.43232222222223982</v>
      </c>
      <c r="DM29" s="191">
        <f>'Functional Levels Drone Survey'!DM29-'Existing Levels Drone Survey'!DM29</f>
        <v>0.47842222222226383</v>
      </c>
      <c r="DN29" s="191">
        <f>'Functional Levels Drone Survey'!DN29-'Existing Levels Drone Survey'!DN29</f>
        <v>0.23232222222225118</v>
      </c>
      <c r="DO29" s="191">
        <f>'Functional Levels Drone Survey'!DO29-'Existing Levels Drone Survey'!DO29</f>
        <v>0.21412222222227228</v>
      </c>
      <c r="DP29" s="191">
        <f>'Functional Levels Drone Survey'!DP29-'Existing Levels Drone Survey'!DP29</f>
        <v>0.30132222222226801</v>
      </c>
      <c r="DQ29" s="191">
        <f>'Functional Levels Drone Survey'!DQ29-'Existing Levels Drone Survey'!DQ29</f>
        <v>0.23372222222224082</v>
      </c>
      <c r="DR29" s="191">
        <f>'Functional Levels Drone Survey'!DR29-'Existing Levels Drone Survey'!DR29</f>
        <v>0.1785222222222842</v>
      </c>
      <c r="DS29" s="191">
        <f>'Functional Levels Drone Survey'!DS29-'Existing Levels Drone Survey'!DS29</f>
        <v>3.2022222222281016E-2</v>
      </c>
      <c r="DT29" s="191">
        <f>'Functional Levels Drone Survey'!DT29-'Existing Levels Drone Survey'!DT29</f>
        <v>0.559522222222256</v>
      </c>
      <c r="DU29" s="191">
        <f>'Functional Levels Drone Survey'!DU29-'Existing Levels Drone Survey'!DU29</f>
        <v>0.11972222222226492</v>
      </c>
      <c r="DV29" s="191">
        <f>'Functional Levels Drone Survey'!DV29-'Existing Levels Drone Survey'!DV29</f>
        <v>0.19032222222227801</v>
      </c>
      <c r="DW29" s="191">
        <f>'Functional Levels Drone Survey'!DW29-'Existing Levels Drone Survey'!DW29</f>
        <v>8.4622222222265009E-2</v>
      </c>
      <c r="DX29" s="191">
        <f>'Functional Levels Drone Survey'!DX29-'Existing Levels Drone Survey'!DX29</f>
        <v>2.6822222222278924E-2</v>
      </c>
      <c r="DY29" s="191">
        <f>'Functional Levels Drone Survey'!DY29-'Existing Levels Drone Survey'!DY29</f>
        <v>0.11272222222225992</v>
      </c>
      <c r="DZ29" s="191">
        <f>'Functional Levels Drone Survey'!DZ29-'Existing Levels Drone Survey'!DZ29</f>
        <v>0.15542222222228474</v>
      </c>
      <c r="EA29" s="279">
        <f>'Functional Levels Drone Survey'!EA29-'Existing Levels Drone Survey'!EA29</f>
        <v>0.23532222222223709</v>
      </c>
      <c r="EB29" s="191">
        <f>'Functional Levels Drone Survey'!EB29-'Existing Levels Drone Survey'!EB29</f>
        <v>0.15616315789469581</v>
      </c>
      <c r="EC29" s="279">
        <f>'Functional Levels Drone Survey'!EC29-'Existing Levels Drone Survey'!EC29</f>
        <v>0.209763157894713</v>
      </c>
      <c r="ED29" s="191">
        <f>'Functional Levels Drone Survey'!ED29-'Existing Levels Drone Survey'!ED29</f>
        <v>0.56026315789472392</v>
      </c>
      <c r="EE29" s="191">
        <f>'Functional Levels Drone Survey'!EE29-'Existing Levels Drone Survey'!EE29</f>
        <v>0.23956315789473592</v>
      </c>
      <c r="EF29" s="191">
        <f>'Functional Levels Drone Survey'!EF29-'Existing Levels Drone Survey'!EF29</f>
        <v>9.6163157894750384E-2</v>
      </c>
      <c r="EG29" s="191">
        <f>'Functional Levels Drone Survey'!EG29-'Existing Levels Drone Survey'!EG29</f>
        <v>0.23816315789474629</v>
      </c>
      <c r="EH29" s="191">
        <f>'Functional Levels Drone Survey'!EH29-'Existing Levels Drone Survey'!EH29</f>
        <v>0.26086315789473247</v>
      </c>
      <c r="EI29" s="191">
        <f>'Functional Levels Drone Survey'!EI29-'Existing Levels Drone Survey'!EI29</f>
        <v>0.2370631578947382</v>
      </c>
      <c r="EJ29" s="191">
        <f>'Functional Levels Drone Survey'!EJ29-'Existing Levels Drone Survey'!EJ29</f>
        <v>0.35556315789472137</v>
      </c>
      <c r="EK29" s="191">
        <f>'Functional Levels Drone Survey'!EK29-'Existing Levels Drone Survey'!EK29</f>
        <v>0.3538631578947502</v>
      </c>
      <c r="EL29" s="191">
        <f>'Functional Levels Drone Survey'!EL29-'Existing Levels Drone Survey'!EL29</f>
        <v>0.33336315789472337</v>
      </c>
      <c r="EM29" s="191">
        <f>'Functional Levels Drone Survey'!EM29-'Existing Levels Drone Survey'!EM29</f>
        <v>0.39916315789474766</v>
      </c>
      <c r="EN29" s="191">
        <f>'Functional Levels Drone Survey'!EN29-'Existing Levels Drone Survey'!EN29</f>
        <v>0.50056315789470318</v>
      </c>
      <c r="EO29" s="191">
        <f>'Functional Levels Drone Survey'!EO29-'Existing Levels Drone Survey'!EO29</f>
        <v>0.49766315789474902</v>
      </c>
      <c r="EP29" s="191">
        <f>'Functional Levels Drone Survey'!EP29-'Existing Levels Drone Survey'!EP29</f>
        <v>0.5676631578947422</v>
      </c>
      <c r="EQ29" s="191">
        <f>'Functional Levels Drone Survey'!EQ29-'Existing Levels Drone Survey'!EQ29</f>
        <v>0.64956315789470409</v>
      </c>
      <c r="ER29" s="191">
        <f>'Functional Levels Drone Survey'!ER29-'Existing Levels Drone Survey'!ER29</f>
        <v>0.65906315789470682</v>
      </c>
      <c r="ES29" s="191">
        <f>'Functional Levels Drone Survey'!ES29-'Existing Levels Drone Survey'!ES29</f>
        <v>0.59526315789474893</v>
      </c>
      <c r="ET29" s="191">
        <f>'Functional Levels Drone Survey'!ET29-'Existing Levels Drone Survey'!ET29</f>
        <v>0.68536315789469882</v>
      </c>
      <c r="EU29" s="279">
        <f>'Functional Levels Drone Survey'!EU29-'Existing Levels Drone Survey'!EU29</f>
        <v>0.47516315789471264</v>
      </c>
      <c r="EV29" s="191">
        <f>'Functional Levels Drone Survey'!EV29-'Existing Levels Drone Survey'!EV29</f>
        <v>0.250063157894715</v>
      </c>
      <c r="EW29" s="191">
        <f>'Functional Levels Drone Survey'!EW29-'Existing Levels Drone Survey'!EW29</f>
        <v>0.54756315789472865</v>
      </c>
      <c r="EX29" s="278">
        <f>'Functional Levels Drone Survey'!EX29-'Existing Levels Drone Survey'!EX29</f>
        <v>0.42386315789468654</v>
      </c>
      <c r="EY29" s="191">
        <f>'Functional Levels Drone Survey'!EY29-'Existing Levels Drone Survey'!EY29</f>
        <v>0</v>
      </c>
    </row>
    <row r="30" spans="1:155" ht="45" customHeight="1" x14ac:dyDescent="0.45">
      <c r="A30" s="277">
        <v>145</v>
      </c>
      <c r="B30" s="191">
        <f>'Functional Levels Drone Survey'!B30-'Existing Levels Drone Survey'!B30</f>
        <v>0</v>
      </c>
      <c r="C30" s="191">
        <f>'Functional Levels Drone Survey'!C30-'Existing Levels Drone Survey'!C30</f>
        <v>0</v>
      </c>
      <c r="D30" s="191">
        <f>'Functional Levels Drone Survey'!D30-'Existing Levels Drone Survey'!D30</f>
        <v>0</v>
      </c>
      <c r="E30" s="191">
        <f>'Functional Levels Drone Survey'!E30-'Existing Levels Drone Survey'!E30</f>
        <v>0</v>
      </c>
      <c r="F30" s="191">
        <f>'Functional Levels Drone Survey'!F30-'Existing Levels Drone Survey'!F30</f>
        <v>0</v>
      </c>
      <c r="G30" s="191">
        <f>'Functional Levels Drone Survey'!G30-'Existing Levels Drone Survey'!G30</f>
        <v>0</v>
      </c>
      <c r="H30" s="191">
        <f>'Functional Levels Drone Survey'!H30-'Existing Levels Drone Survey'!H30</f>
        <v>0</v>
      </c>
      <c r="I30" s="191">
        <f>'Functional Levels Drone Survey'!I30-'Existing Levels Drone Survey'!I30</f>
        <v>0</v>
      </c>
      <c r="J30" s="191">
        <f>'Functional Levels Drone Survey'!J30-'Existing Levels Drone Survey'!J30</f>
        <v>0</v>
      </c>
      <c r="K30" s="191">
        <f>'Functional Levels Drone Survey'!K30-'Existing Levels Drone Survey'!K30</f>
        <v>0</v>
      </c>
      <c r="L30" s="191">
        <f>'Functional Levels Drone Survey'!L30-'Existing Levels Drone Survey'!L30</f>
        <v>0</v>
      </c>
      <c r="M30" s="191">
        <f>'Functional Levels Drone Survey'!M30-'Existing Levels Drone Survey'!M30</f>
        <v>0</v>
      </c>
      <c r="N30" s="191">
        <f>'Functional Levels Drone Survey'!N30-'Existing Levels Drone Survey'!N30</f>
        <v>0</v>
      </c>
      <c r="O30" s="191">
        <f>'Functional Levels Drone Survey'!O30-'Existing Levels Drone Survey'!O30</f>
        <v>0</v>
      </c>
      <c r="P30" s="191">
        <f>'Functional Levels Drone Survey'!P30-'Existing Levels Drone Survey'!P30</f>
        <v>0</v>
      </c>
      <c r="Q30" s="191">
        <f>'Functional Levels Drone Survey'!Q30-'Existing Levels Drone Survey'!Q30</f>
        <v>0</v>
      </c>
      <c r="R30" s="191">
        <f>'Functional Levels Drone Survey'!R30-'Existing Levels Drone Survey'!R30</f>
        <v>0</v>
      </c>
      <c r="S30" s="191">
        <f>'Functional Levels Drone Survey'!S30-'Existing Levels Drone Survey'!S30</f>
        <v>0</v>
      </c>
      <c r="T30" s="191">
        <f>'Functional Levels Drone Survey'!T30-'Existing Levels Drone Survey'!T30</f>
        <v>0</v>
      </c>
      <c r="U30" s="191">
        <f>'Functional Levels Drone Survey'!U30-'Existing Levels Drone Survey'!U30</f>
        <v>0</v>
      </c>
      <c r="V30" s="191">
        <f>'Functional Levels Drone Survey'!V30-'Existing Levels Drone Survey'!V30</f>
        <v>0</v>
      </c>
      <c r="W30" s="191">
        <f>'Functional Levels Drone Survey'!W30-'Existing Levels Drone Survey'!W30</f>
        <v>0</v>
      </c>
      <c r="X30" s="191">
        <f>'Functional Levels Drone Survey'!X30-'Existing Levels Drone Survey'!X30</f>
        <v>0</v>
      </c>
      <c r="Y30" s="191">
        <f>'Functional Levels Drone Survey'!Y30-'Existing Levels Drone Survey'!Y30</f>
        <v>0</v>
      </c>
      <c r="Z30" s="191">
        <f>'Functional Levels Drone Survey'!Z30-'Existing Levels Drone Survey'!Z30</f>
        <v>0</v>
      </c>
      <c r="AA30" s="191">
        <f>'Functional Levels Drone Survey'!AA30-'Existing Levels Drone Survey'!AA30</f>
        <v>0</v>
      </c>
      <c r="AB30" s="191">
        <f>'Functional Levels Drone Survey'!AB30-'Existing Levels Drone Survey'!AB30</f>
        <v>0</v>
      </c>
      <c r="AC30" s="191">
        <f>'Functional Levels Drone Survey'!AC30-'Existing Levels Drone Survey'!AC30</f>
        <v>0</v>
      </c>
      <c r="AD30" s="191">
        <f>'Functional Levels Drone Survey'!AD30-'Existing Levels Drone Survey'!AD30</f>
        <v>0</v>
      </c>
      <c r="AE30" s="191">
        <f>'Functional Levels Drone Survey'!AE30-'Existing Levels Drone Survey'!AE30</f>
        <v>0</v>
      </c>
      <c r="AF30" s="191">
        <f>'Functional Levels Drone Survey'!AF30-'Existing Levels Drone Survey'!AF30</f>
        <v>0</v>
      </c>
      <c r="AG30" s="191">
        <f>'Functional Levels Drone Survey'!AG30-'Existing Levels Drone Survey'!AG30</f>
        <v>0</v>
      </c>
      <c r="AH30" s="191">
        <f>'Functional Levels Drone Survey'!AH30-'Existing Levels Drone Survey'!AH30</f>
        <v>0</v>
      </c>
      <c r="AI30" s="191">
        <f>'Functional Levels Drone Survey'!AI30-'Existing Levels Drone Survey'!AI30</f>
        <v>0</v>
      </c>
      <c r="AJ30" s="191">
        <f>'Functional Levels Drone Survey'!AJ30-'Existing Levels Drone Survey'!AJ30</f>
        <v>0</v>
      </c>
      <c r="AK30" s="191">
        <f>'Functional Levels Drone Survey'!AK30-'Existing Levels Drone Survey'!AK30</f>
        <v>0</v>
      </c>
      <c r="AL30" s="191">
        <f>'Functional Levels Drone Survey'!AL30-'Existing Levels Drone Survey'!AL30</f>
        <v>0</v>
      </c>
      <c r="AM30" s="191">
        <f>'Functional Levels Drone Survey'!AM30-'Existing Levels Drone Survey'!AM30</f>
        <v>0</v>
      </c>
      <c r="AN30" s="191">
        <f>'Functional Levels Drone Survey'!AN30-'Existing Levels Drone Survey'!AN30</f>
        <v>0</v>
      </c>
      <c r="AO30" s="191">
        <f>'Functional Levels Drone Survey'!AO30-'Existing Levels Drone Survey'!AO30</f>
        <v>0</v>
      </c>
      <c r="AP30" s="191">
        <f>'Functional Levels Drone Survey'!AP30-'Existing Levels Drone Survey'!AP30</f>
        <v>0</v>
      </c>
      <c r="AQ30" s="191">
        <f>'Functional Levels Drone Survey'!AQ30-'Existing Levels Drone Survey'!AQ30</f>
        <v>0</v>
      </c>
      <c r="AR30" s="191">
        <f>'Functional Levels Drone Survey'!AR30-'Existing Levels Drone Survey'!AR30</f>
        <v>0</v>
      </c>
      <c r="AS30" s="191">
        <f>'Functional Levels Drone Survey'!AS30-'Existing Levels Drone Survey'!AS30</f>
        <v>0</v>
      </c>
      <c r="AT30" s="191">
        <f>'Functional Levels Drone Survey'!AT30-'Existing Levels Drone Survey'!AT30</f>
        <v>0</v>
      </c>
      <c r="AU30" s="191">
        <f>'Functional Levels Drone Survey'!AU30-'Existing Levels Drone Survey'!AU30</f>
        <v>0</v>
      </c>
      <c r="AV30" s="191">
        <f>'Functional Levels Drone Survey'!AV30-'Existing Levels Drone Survey'!AV30</f>
        <v>0</v>
      </c>
      <c r="AW30" s="191">
        <f>'Functional Levels Drone Survey'!AW30-'Existing Levels Drone Survey'!AW30</f>
        <v>0</v>
      </c>
      <c r="AX30" s="191">
        <f>'Functional Levels Drone Survey'!AX30-'Existing Levels Drone Survey'!AX30</f>
        <v>0</v>
      </c>
      <c r="AY30" s="191">
        <f>'Functional Levels Drone Survey'!AY30-'Existing Levels Drone Survey'!AY30</f>
        <v>0</v>
      </c>
      <c r="AZ30" s="191">
        <f>'Functional Levels Drone Survey'!AZ30-'Existing Levels Drone Survey'!AZ30</f>
        <v>0</v>
      </c>
      <c r="BA30" s="278">
        <f>'Functional Levels Drone Survey'!BA30-'Existing Levels Drone Survey'!BA30</f>
        <v>-0.38916000000006079</v>
      </c>
      <c r="BB30" s="279">
        <f>'Functional Levels Drone Survey'!BB30-'Existing Levels Drone Survey'!BB30</f>
        <v>-0.90556000000009362</v>
      </c>
      <c r="BC30" s="191">
        <f>'Functional Levels Drone Survey'!BC30-'Existing Levels Drone Survey'!BC30</f>
        <v>-0.53936000000010154</v>
      </c>
      <c r="BD30" s="191">
        <f>'Functional Levels Drone Survey'!BD30-'Existing Levels Drone Survey'!BD30</f>
        <v>-0.51916000000011309</v>
      </c>
      <c r="BE30" s="191">
        <f>'Functional Levels Drone Survey'!BE30-'Existing Levels Drone Survey'!BE30</f>
        <v>-0.59596000000010463</v>
      </c>
      <c r="BF30" s="191">
        <f>'Functional Levels Drone Survey'!BF30-'Existing Levels Drone Survey'!BF30</f>
        <v>-0.51246000000008962</v>
      </c>
      <c r="BG30" s="191">
        <f>'Functional Levels Drone Survey'!BG30-'Existing Levels Drone Survey'!BG30</f>
        <v>-0.64806000000010044</v>
      </c>
      <c r="BH30" s="191">
        <f>'Functional Levels Drone Survey'!BH30-'Existing Levels Drone Survey'!BH30</f>
        <v>-0.43056000000007089</v>
      </c>
      <c r="BI30" s="191">
        <f>'Functional Levels Drone Survey'!BI30-'Existing Levels Drone Survey'!BI30</f>
        <v>-0.26126000000010663</v>
      </c>
      <c r="BJ30" s="191">
        <f>'Functional Levels Drone Survey'!BJ30-'Existing Levels Drone Survey'!BJ30</f>
        <v>-0.20976000000007389</v>
      </c>
      <c r="BK30" s="191">
        <f>'Functional Levels Drone Survey'!BK30-'Existing Levels Drone Survey'!BK30</f>
        <v>-0.23086000000006379</v>
      </c>
      <c r="BL30" s="191">
        <f>'Functional Levels Drone Survey'!BL30-'Existing Levels Drone Survey'!BL30</f>
        <v>-0.27536000000009153</v>
      </c>
      <c r="BM30" s="191">
        <f>'Functional Levels Drone Survey'!BM30-'Existing Levels Drone Survey'!BM30</f>
        <v>-0.2558600000000979</v>
      </c>
      <c r="BN30" s="191">
        <f>'Functional Levels Drone Survey'!BN30-'Existing Levels Drone Survey'!BN30</f>
        <v>-0.11266000000006215</v>
      </c>
      <c r="BO30" s="191">
        <f>'Functional Levels Drone Survey'!BO30-'Existing Levels Drone Survey'!BO30</f>
        <v>-0.15456000000006043</v>
      </c>
      <c r="BP30" s="191">
        <f>'Functional Levels Drone Survey'!BP30-'Existing Levels Drone Survey'!BP30</f>
        <v>-0.10916000000008808</v>
      </c>
      <c r="BQ30" s="191">
        <f>'Functional Levels Drone Survey'!BQ30-'Existing Levels Drone Survey'!BQ30</f>
        <v>-1.5660000000082164E-2</v>
      </c>
      <c r="BR30" s="191">
        <f>'Functional Levels Drone Survey'!BR30-'Existing Levels Drone Survey'!BR30</f>
        <v>-3.4460000000080981E-2</v>
      </c>
      <c r="BS30" s="191">
        <f>'Functional Levels Drone Survey'!BS30-'Existing Levels Drone Survey'!BS30</f>
        <v>3.8399999999114698E-3</v>
      </c>
      <c r="BT30" s="191">
        <f>'Functional Levels Drone Survey'!BT30-'Existing Levels Drone Survey'!BT30</f>
        <v>-0.11486000000007834</v>
      </c>
      <c r="BU30" s="279">
        <f>'Functional Levels Drone Survey'!BU30-'Existing Levels Drone Survey'!BU30</f>
        <v>-0.18706000000008771</v>
      </c>
      <c r="BV30" s="191">
        <f>'Functional Levels Drone Survey'!BV30-'Existing Levels Drone Survey'!BV30</f>
        <v>-0.43990000000002283</v>
      </c>
      <c r="BW30" s="279">
        <f>'Functional Levels Drone Survey'!BW30-'Existing Levels Drone Survey'!BW30</f>
        <v>-0.3982000000000312</v>
      </c>
      <c r="BX30" s="191">
        <f>'Functional Levels Drone Survey'!BX30-'Existing Levels Drone Survey'!BX30</f>
        <v>-0.39030000000002474</v>
      </c>
      <c r="BY30" s="191">
        <f>'Functional Levels Drone Survey'!BY30-'Existing Levels Drone Survey'!BY30</f>
        <v>-0.33920000000000528</v>
      </c>
      <c r="BZ30" s="191">
        <f>'Functional Levels Drone Survey'!BZ30-'Existing Levels Drone Survey'!BZ30</f>
        <v>-0.31280000000003838</v>
      </c>
      <c r="CA30" s="191">
        <f>'Functional Levels Drone Survey'!CA30-'Existing Levels Drone Survey'!CA30</f>
        <v>-0.37550000000004502</v>
      </c>
      <c r="CB30" s="191">
        <f>'Functional Levels Drone Survey'!CB30-'Existing Levels Drone Survey'!CB30</f>
        <v>-0.33950000000004366</v>
      </c>
      <c r="CC30" s="191">
        <f>'Functional Levels Drone Survey'!CC30-'Existing Levels Drone Survey'!CC30</f>
        <v>-0.36590000000001055</v>
      </c>
      <c r="CD30" s="191">
        <f>'Functional Levels Drone Survey'!CD30-'Existing Levels Drone Survey'!CD30</f>
        <v>-0.24610000000001264</v>
      </c>
      <c r="CE30" s="191">
        <f>'Functional Levels Drone Survey'!CE30-'Existing Levels Drone Survey'!CE30</f>
        <v>-0.13440000000002783</v>
      </c>
      <c r="CF30" s="191">
        <f>'Functional Levels Drone Survey'!CF30-'Existing Levels Drone Survey'!CF30</f>
        <v>-0.13800000000003365</v>
      </c>
      <c r="CG30" s="191">
        <f>'Functional Levels Drone Survey'!CG30-'Existing Levels Drone Survey'!CG30</f>
        <v>-8.1000000000130967E-3</v>
      </c>
      <c r="CH30" s="191">
        <f>'Functional Levels Drone Survey'!CH30-'Existing Levels Drone Survey'!CH30</f>
        <v>-0.12170000000003256</v>
      </c>
      <c r="CI30" s="191">
        <f>'Functional Levels Drone Survey'!CI30-'Existing Levels Drone Survey'!CI30</f>
        <v>-4.250000000001819E-2</v>
      </c>
      <c r="CJ30" s="191">
        <f>'Functional Levels Drone Survey'!CJ30-'Existing Levels Drone Survey'!CJ30</f>
        <v>-0.19220000000001392</v>
      </c>
      <c r="CK30" s="191">
        <f>'Functional Levels Drone Survey'!CK30-'Existing Levels Drone Survey'!CK30</f>
        <v>-0.23040000000003147</v>
      </c>
      <c r="CL30" s="191">
        <f>'Functional Levels Drone Survey'!CL30-'Existing Levels Drone Survey'!CL30</f>
        <v>8.6699999999950705E-2</v>
      </c>
      <c r="CM30" s="191">
        <f>'Functional Levels Drone Survey'!CM30-'Existing Levels Drone Survey'!CM30</f>
        <v>-2.8000000000361069E-3</v>
      </c>
      <c r="CN30" s="279">
        <f>'Functional Levels Drone Survey'!CN30-'Existing Levels Drone Survey'!CN30</f>
        <v>0.11879999999996471</v>
      </c>
      <c r="CO30" s="191">
        <f>'Functional Levels Drone Survey'!CO30-'Existing Levels Drone Survey'!CO30</f>
        <v>-3.6933333333422524E-2</v>
      </c>
      <c r="CP30" s="191">
        <f>'Functional Levels Drone Survey'!CP30-'Existing Levels Drone Survey'!CP30</f>
        <v>-0.16503333333344017</v>
      </c>
      <c r="CQ30" s="279">
        <f>'Functional Levels Drone Survey'!CQ30-'Existing Levels Drone Survey'!CQ30</f>
        <v>-7.9233333333377232E-2</v>
      </c>
      <c r="CR30" s="191">
        <f>'Functional Levels Drone Survey'!CR30-'Existing Levels Drone Survey'!CR30</f>
        <v>2.466666666657602E-2</v>
      </c>
      <c r="CS30" s="191">
        <f>'Functional Levels Drone Survey'!CS30-'Existing Levels Drone Survey'!CS30</f>
        <v>-0.10593333333338251</v>
      </c>
      <c r="CT30" s="191">
        <f>'Functional Levels Drone Survey'!CT30-'Existing Levels Drone Survey'!CT30</f>
        <v>-5.7333333334099734E-3</v>
      </c>
      <c r="CU30" s="191">
        <f>'Functional Levels Drone Survey'!CU30-'Existing Levels Drone Survey'!CU30</f>
        <v>-0.12563333333338278</v>
      </c>
      <c r="CV30" s="191">
        <f>'Functional Levels Drone Survey'!CV30-'Existing Levels Drone Survey'!CV30</f>
        <v>0.24186666666662404</v>
      </c>
      <c r="CW30" s="191">
        <f>'Functional Levels Drone Survey'!CW30-'Existing Levels Drone Survey'!CW30</f>
        <v>9.7666666666611945E-2</v>
      </c>
      <c r="CX30" s="191">
        <f>'Functional Levels Drone Survey'!CX30-'Existing Levels Drone Survey'!CX30</f>
        <v>-8.0233333333410428E-2</v>
      </c>
      <c r="CY30" s="191">
        <f>'Functional Levels Drone Survey'!CY30-'Existing Levels Drone Survey'!CY30</f>
        <v>-0.20523333333341043</v>
      </c>
      <c r="CZ30" s="191">
        <f>'Functional Levels Drone Survey'!CZ30-'Existing Levels Drone Survey'!CZ30</f>
        <v>-0.19063333333338051</v>
      </c>
      <c r="DA30" s="191">
        <f>'Functional Levels Drone Survey'!DA30-'Existing Levels Drone Survey'!DA30</f>
        <v>-3.7533333333385599E-2</v>
      </c>
      <c r="DB30" s="191">
        <f>'Functional Levels Drone Survey'!DB30-'Existing Levels Drone Survey'!DB30</f>
        <v>-8.7533333333396968E-2</v>
      </c>
      <c r="DC30" s="191">
        <f>'Functional Levels Drone Survey'!DC30-'Existing Levels Drone Survey'!DC30</f>
        <v>-1.1333333334277995E-3</v>
      </c>
      <c r="DD30" s="191">
        <f>'Functional Levels Drone Survey'!DD30-'Existing Levels Drone Survey'!DD30</f>
        <v>-6.5133333333392329E-2</v>
      </c>
      <c r="DE30" s="191">
        <f>'Functional Levels Drone Survey'!DE30-'Existing Levels Drone Survey'!DE30</f>
        <v>0.10336666666660221</v>
      </c>
      <c r="DF30" s="191">
        <f>'Functional Levels Drone Survey'!DF30-'Existing Levels Drone Survey'!DF30</f>
        <v>0.21266666666662104</v>
      </c>
      <c r="DG30" s="191">
        <f>'Functional Levels Drone Survey'!DG30-'Existing Levels Drone Survey'!DG30</f>
        <v>0.18646666666660394</v>
      </c>
      <c r="DH30" s="279">
        <f>'Functional Levels Drone Survey'!DH30-'Existing Levels Drone Survey'!DH30</f>
        <v>0.31086666666658402</v>
      </c>
      <c r="DI30" s="191">
        <f>'Functional Levels Drone Survey'!DI30-'Existing Levels Drone Survey'!DI30</f>
        <v>0.27556666666657748</v>
      </c>
      <c r="DJ30" s="279">
        <f>'Functional Levels Drone Survey'!DJ30-'Existing Levels Drone Survey'!DJ30</f>
        <v>0.47012222222230093</v>
      </c>
      <c r="DK30" s="191">
        <f>'Functional Levels Drone Survey'!DK30-'Existing Levels Drone Survey'!DK30</f>
        <v>0.48502222222225555</v>
      </c>
      <c r="DL30" s="191">
        <f>'Functional Levels Drone Survey'!DL30-'Existing Levels Drone Survey'!DL30</f>
        <v>0.46662222222227001</v>
      </c>
      <c r="DM30" s="191">
        <f>'Functional Levels Drone Survey'!DM30-'Existing Levels Drone Survey'!DM30</f>
        <v>0.19462222222227865</v>
      </c>
      <c r="DN30" s="191">
        <f>'Functional Levels Drone Survey'!DN30-'Existing Levels Drone Survey'!DN30</f>
        <v>0.25742222222226019</v>
      </c>
      <c r="DO30" s="191">
        <f>'Functional Levels Drone Survey'!DO30-'Existing Levels Drone Survey'!DO30</f>
        <v>0.31082222222227074</v>
      </c>
      <c r="DP30" s="191">
        <f>'Functional Levels Drone Survey'!DP30-'Existing Levels Drone Survey'!DP30</f>
        <v>0.29292222222227338</v>
      </c>
      <c r="DQ30" s="191">
        <f>'Functional Levels Drone Survey'!DQ30-'Existing Levels Drone Survey'!DQ30</f>
        <v>0.37492222222226701</v>
      </c>
      <c r="DR30" s="191">
        <f>'Functional Levels Drone Survey'!DR30-'Existing Levels Drone Survey'!DR30</f>
        <v>0.29002222222226237</v>
      </c>
      <c r="DS30" s="191">
        <f>'Functional Levels Drone Survey'!DS30-'Existing Levels Drone Survey'!DS30</f>
        <v>0.26232222222228074</v>
      </c>
      <c r="DT30" s="191">
        <f>'Functional Levels Drone Survey'!DT30-'Existing Levels Drone Survey'!DT30</f>
        <v>0.54432222222226301</v>
      </c>
      <c r="DU30" s="191">
        <f>'Functional Levels Drone Survey'!DU30-'Existing Levels Drone Survey'!DU30</f>
        <v>0.44152222222226101</v>
      </c>
      <c r="DV30" s="191">
        <f>'Functional Levels Drone Survey'!DV30-'Existing Levels Drone Survey'!DV30</f>
        <v>0.12542222222225519</v>
      </c>
      <c r="DW30" s="191">
        <f>'Functional Levels Drone Survey'!DW30-'Existing Levels Drone Survey'!DW30</f>
        <v>0.12352222222227738</v>
      </c>
      <c r="DX30" s="191">
        <f>'Functional Levels Drone Survey'!DX30-'Existing Levels Drone Survey'!DX30</f>
        <v>0.28732222222225801</v>
      </c>
      <c r="DY30" s="191">
        <f>'Functional Levels Drone Survey'!DY30-'Existing Levels Drone Survey'!DY30</f>
        <v>0.19942222222226746</v>
      </c>
      <c r="DZ30" s="191">
        <f>'Functional Levels Drone Survey'!DZ30-'Existing Levels Drone Survey'!DZ30</f>
        <v>0.17362222222226364</v>
      </c>
      <c r="EA30" s="279">
        <f>'Functional Levels Drone Survey'!EA30-'Existing Levels Drone Survey'!EA30</f>
        <v>0.41612222222227047</v>
      </c>
      <c r="EB30" s="191">
        <f>'Functional Levels Drone Survey'!EB30-'Existing Levels Drone Survey'!EB30</f>
        <v>0.11586315789475066</v>
      </c>
      <c r="EC30" s="279">
        <f>'Functional Levels Drone Survey'!EC30-'Existing Levels Drone Survey'!EC30</f>
        <v>0.5122631578947221</v>
      </c>
      <c r="ED30" s="191">
        <f>'Functional Levels Drone Survey'!ED30-'Existing Levels Drone Survey'!ED30</f>
        <v>0.3024631578947492</v>
      </c>
      <c r="EE30" s="191">
        <f>'Functional Levels Drone Survey'!EE30-'Existing Levels Drone Survey'!EE30</f>
        <v>0.32406315789472728</v>
      </c>
      <c r="EF30" s="191">
        <f>'Functional Levels Drone Survey'!EF30-'Existing Levels Drone Survey'!EF30</f>
        <v>0.26886315789471382</v>
      </c>
      <c r="EG30" s="191">
        <f>'Functional Levels Drone Survey'!EG30-'Existing Levels Drone Survey'!EG30</f>
        <v>0.33026315789476257</v>
      </c>
      <c r="EH30" s="191">
        <f>'Functional Levels Drone Survey'!EH30-'Existing Levels Drone Survey'!EH30</f>
        <v>0.43706315789472683</v>
      </c>
      <c r="EI30" s="191">
        <f>'Functional Levels Drone Survey'!EI30-'Existing Levels Drone Survey'!EI30</f>
        <v>0.35336315789476203</v>
      </c>
      <c r="EJ30" s="191">
        <f>'Functional Levels Drone Survey'!EJ30-'Existing Levels Drone Survey'!EJ30</f>
        <v>0.44296315789472374</v>
      </c>
      <c r="EK30" s="191">
        <f>'Functional Levels Drone Survey'!EK30-'Existing Levels Drone Survey'!EK30</f>
        <v>0.48216315789471764</v>
      </c>
      <c r="EL30" s="191">
        <f>'Functional Levels Drone Survey'!EL30-'Existing Levels Drone Survey'!EL30</f>
        <v>0.45336315789472792</v>
      </c>
      <c r="EM30" s="191">
        <f>'Functional Levels Drone Survey'!EM30-'Existing Levels Drone Survey'!EM30</f>
        <v>0.50876315789474802</v>
      </c>
      <c r="EN30" s="191">
        <f>'Functional Levels Drone Survey'!EN30-'Existing Levels Drone Survey'!EN30</f>
        <v>0.63596315789476421</v>
      </c>
      <c r="EO30" s="191">
        <f>'Functional Levels Drone Survey'!EO30-'Existing Levels Drone Survey'!EO30</f>
        <v>0.55336315789475066</v>
      </c>
      <c r="EP30" s="191">
        <f>'Functional Levels Drone Survey'!EP30-'Existing Levels Drone Survey'!EP30</f>
        <v>0.52616315789475721</v>
      </c>
      <c r="EQ30" s="191">
        <f>'Functional Levels Drone Survey'!EQ30-'Existing Levels Drone Survey'!EQ30</f>
        <v>0.60286315789471701</v>
      </c>
      <c r="ER30" s="191">
        <f>'Functional Levels Drone Survey'!ER30-'Existing Levels Drone Survey'!ER30</f>
        <v>0.60706315789474274</v>
      </c>
      <c r="ES30" s="191">
        <f>'Functional Levels Drone Survey'!ES30-'Existing Levels Drone Survey'!ES30</f>
        <v>0.66406315789475912</v>
      </c>
      <c r="ET30" s="191">
        <f>'Functional Levels Drone Survey'!ET30-'Existing Levels Drone Survey'!ET30</f>
        <v>0.74756315789471728</v>
      </c>
      <c r="EU30" s="279">
        <f>'Functional Levels Drone Survey'!EU30-'Existing Levels Drone Survey'!EU30</f>
        <v>0.50706315789472001</v>
      </c>
      <c r="EV30" s="191">
        <f>'Functional Levels Drone Survey'!EV30-'Existing Levels Drone Survey'!EV30</f>
        <v>0.51146315789469554</v>
      </c>
      <c r="EW30" s="191">
        <f>'Functional Levels Drone Survey'!EW30-'Existing Levels Drone Survey'!EW30</f>
        <v>0.6251631578946899</v>
      </c>
      <c r="EX30" s="278">
        <f>'Functional Levels Drone Survey'!EX30-'Existing Levels Drone Survey'!EX30</f>
        <v>0.39776315789470118</v>
      </c>
      <c r="EY30" s="191">
        <f>'Functional Levels Drone Survey'!EY30-'Existing Levels Drone Survey'!EY30</f>
        <v>0</v>
      </c>
    </row>
    <row r="31" spans="1:155" ht="45" customHeight="1" x14ac:dyDescent="0.45">
      <c r="A31" s="277">
        <v>150</v>
      </c>
      <c r="B31" s="191">
        <f>'Functional Levels Drone Survey'!B31-'Existing Levels Drone Survey'!B31</f>
        <v>0</v>
      </c>
      <c r="C31" s="191">
        <f>'Functional Levels Drone Survey'!C31-'Existing Levels Drone Survey'!C31</f>
        <v>0</v>
      </c>
      <c r="D31" s="191">
        <f>'Functional Levels Drone Survey'!D31-'Existing Levels Drone Survey'!D31</f>
        <v>0</v>
      </c>
      <c r="E31" s="191">
        <f>'Functional Levels Drone Survey'!E31-'Existing Levels Drone Survey'!E31</f>
        <v>0</v>
      </c>
      <c r="F31" s="191">
        <f>'Functional Levels Drone Survey'!F31-'Existing Levels Drone Survey'!F31</f>
        <v>0</v>
      </c>
      <c r="G31" s="191">
        <f>'Functional Levels Drone Survey'!G31-'Existing Levels Drone Survey'!G31</f>
        <v>0</v>
      </c>
      <c r="H31" s="191">
        <f>'Functional Levels Drone Survey'!H31-'Existing Levels Drone Survey'!H31</f>
        <v>0</v>
      </c>
      <c r="I31" s="191">
        <f>'Functional Levels Drone Survey'!I31-'Existing Levels Drone Survey'!I31</f>
        <v>0</v>
      </c>
      <c r="J31" s="191">
        <f>'Functional Levels Drone Survey'!J31-'Existing Levels Drone Survey'!J31</f>
        <v>0</v>
      </c>
      <c r="K31" s="191">
        <f>'Functional Levels Drone Survey'!K31-'Existing Levels Drone Survey'!K31</f>
        <v>0</v>
      </c>
      <c r="L31" s="191">
        <f>'Functional Levels Drone Survey'!L31-'Existing Levels Drone Survey'!L31</f>
        <v>0</v>
      </c>
      <c r="M31" s="191">
        <f>'Functional Levels Drone Survey'!M31-'Existing Levels Drone Survey'!M31</f>
        <v>0</v>
      </c>
      <c r="N31" s="191">
        <f>'Functional Levels Drone Survey'!N31-'Existing Levels Drone Survey'!N31</f>
        <v>0</v>
      </c>
      <c r="O31" s="191">
        <f>'Functional Levels Drone Survey'!O31-'Existing Levels Drone Survey'!O31</f>
        <v>0</v>
      </c>
      <c r="P31" s="191">
        <f>'Functional Levels Drone Survey'!P31-'Existing Levels Drone Survey'!P31</f>
        <v>0</v>
      </c>
      <c r="Q31" s="191">
        <f>'Functional Levels Drone Survey'!Q31-'Existing Levels Drone Survey'!Q31</f>
        <v>0</v>
      </c>
      <c r="R31" s="191">
        <f>'Functional Levels Drone Survey'!R31-'Existing Levels Drone Survey'!R31</f>
        <v>0</v>
      </c>
      <c r="S31" s="191">
        <f>'Functional Levels Drone Survey'!S31-'Existing Levels Drone Survey'!S31</f>
        <v>0</v>
      </c>
      <c r="T31" s="191">
        <f>'Functional Levels Drone Survey'!T31-'Existing Levels Drone Survey'!T31</f>
        <v>0</v>
      </c>
      <c r="U31" s="191">
        <f>'Functional Levels Drone Survey'!U31-'Existing Levels Drone Survey'!U31</f>
        <v>0</v>
      </c>
      <c r="V31" s="191">
        <f>'Functional Levels Drone Survey'!V31-'Existing Levels Drone Survey'!V31</f>
        <v>0</v>
      </c>
      <c r="W31" s="191">
        <f>'Functional Levels Drone Survey'!W31-'Existing Levels Drone Survey'!W31</f>
        <v>0</v>
      </c>
      <c r="X31" s="191">
        <f>'Functional Levels Drone Survey'!X31-'Existing Levels Drone Survey'!X31</f>
        <v>0</v>
      </c>
      <c r="Y31" s="191">
        <f>'Functional Levels Drone Survey'!Y31-'Existing Levels Drone Survey'!Y31</f>
        <v>0</v>
      </c>
      <c r="Z31" s="191">
        <f>'Functional Levels Drone Survey'!Z31-'Existing Levels Drone Survey'!Z31</f>
        <v>0</v>
      </c>
      <c r="AA31" s="191">
        <f>'Functional Levels Drone Survey'!AA31-'Existing Levels Drone Survey'!AA31</f>
        <v>0</v>
      </c>
      <c r="AB31" s="191">
        <f>'Functional Levels Drone Survey'!AB31-'Existing Levels Drone Survey'!AB31</f>
        <v>0</v>
      </c>
      <c r="AC31" s="191">
        <f>'Functional Levels Drone Survey'!AC31-'Existing Levels Drone Survey'!AC31</f>
        <v>0</v>
      </c>
      <c r="AD31" s="191">
        <f>'Functional Levels Drone Survey'!AD31-'Existing Levels Drone Survey'!AD31</f>
        <v>0</v>
      </c>
      <c r="AE31" s="191">
        <f>'Functional Levels Drone Survey'!AE31-'Existing Levels Drone Survey'!AE31</f>
        <v>0</v>
      </c>
      <c r="AF31" s="191">
        <f>'Functional Levels Drone Survey'!AF31-'Existing Levels Drone Survey'!AF31</f>
        <v>0</v>
      </c>
      <c r="AG31" s="191">
        <f>'Functional Levels Drone Survey'!AG31-'Existing Levels Drone Survey'!AG31</f>
        <v>0</v>
      </c>
      <c r="AH31" s="191">
        <f>'Functional Levels Drone Survey'!AH31-'Existing Levels Drone Survey'!AH31</f>
        <v>0</v>
      </c>
      <c r="AI31" s="191">
        <f>'Functional Levels Drone Survey'!AI31-'Existing Levels Drone Survey'!AI31</f>
        <v>0</v>
      </c>
      <c r="AJ31" s="191">
        <f>'Functional Levels Drone Survey'!AJ31-'Existing Levels Drone Survey'!AJ31</f>
        <v>0</v>
      </c>
      <c r="AK31" s="191">
        <f>'Functional Levels Drone Survey'!AK31-'Existing Levels Drone Survey'!AK31</f>
        <v>0</v>
      </c>
      <c r="AL31" s="191">
        <f>'Functional Levels Drone Survey'!AL31-'Existing Levels Drone Survey'!AL31</f>
        <v>0</v>
      </c>
      <c r="AM31" s="191">
        <f>'Functional Levels Drone Survey'!AM31-'Existing Levels Drone Survey'!AM31</f>
        <v>0</v>
      </c>
      <c r="AN31" s="191">
        <f>'Functional Levels Drone Survey'!AN31-'Existing Levels Drone Survey'!AN31</f>
        <v>0</v>
      </c>
      <c r="AO31" s="191">
        <f>'Functional Levels Drone Survey'!AO31-'Existing Levels Drone Survey'!AO31</f>
        <v>0</v>
      </c>
      <c r="AP31" s="191">
        <f>'Functional Levels Drone Survey'!AP31-'Existing Levels Drone Survey'!AP31</f>
        <v>0</v>
      </c>
      <c r="AQ31" s="191">
        <f>'Functional Levels Drone Survey'!AQ31-'Existing Levels Drone Survey'!AQ31</f>
        <v>0</v>
      </c>
      <c r="AR31" s="191">
        <f>'Functional Levels Drone Survey'!AR31-'Existing Levels Drone Survey'!AR31</f>
        <v>0</v>
      </c>
      <c r="AS31" s="191">
        <f>'Functional Levels Drone Survey'!AS31-'Existing Levels Drone Survey'!AS31</f>
        <v>0</v>
      </c>
      <c r="AT31" s="191">
        <f>'Functional Levels Drone Survey'!AT31-'Existing Levels Drone Survey'!AT31</f>
        <v>0</v>
      </c>
      <c r="AU31" s="191">
        <f>'Functional Levels Drone Survey'!AU31-'Existing Levels Drone Survey'!AU31</f>
        <v>0</v>
      </c>
      <c r="AV31" s="191">
        <f>'Functional Levels Drone Survey'!AV31-'Existing Levels Drone Survey'!AV31</f>
        <v>0</v>
      </c>
      <c r="AW31" s="191">
        <f>'Functional Levels Drone Survey'!AW31-'Existing Levels Drone Survey'!AW31</f>
        <v>0</v>
      </c>
      <c r="AX31" s="191">
        <f>'Functional Levels Drone Survey'!AX31-'Existing Levels Drone Survey'!AX31</f>
        <v>0</v>
      </c>
      <c r="AY31" s="191">
        <f>'Functional Levels Drone Survey'!AY31-'Existing Levels Drone Survey'!AY31</f>
        <v>0</v>
      </c>
      <c r="AZ31" s="191">
        <f>'Functional Levels Drone Survey'!AZ31-'Existing Levels Drone Survey'!AZ31</f>
        <v>0</v>
      </c>
      <c r="BA31" s="278">
        <f>'Functional Levels Drone Survey'!BA31-'Existing Levels Drone Survey'!BA31</f>
        <v>-0.33526000000006206</v>
      </c>
      <c r="BB31" s="279">
        <f>'Functional Levels Drone Survey'!BB31-'Existing Levels Drone Survey'!BB31</f>
        <v>-0.50246000000009872</v>
      </c>
      <c r="BC31" s="191">
        <f>'Functional Levels Drone Survey'!BC31-'Existing Levels Drone Survey'!BC31</f>
        <v>-0.28126000000008844</v>
      </c>
      <c r="BD31" s="191">
        <f>'Functional Levels Drone Survey'!BD31-'Existing Levels Drone Survey'!BD31</f>
        <v>-0.19026000000008025</v>
      </c>
      <c r="BE31" s="191">
        <f>'Functional Levels Drone Survey'!BE31-'Existing Levels Drone Survey'!BE31</f>
        <v>-0.14456000000006952</v>
      </c>
      <c r="BF31" s="191">
        <f>'Functional Levels Drone Survey'!BF31-'Existing Levels Drone Survey'!BF31</f>
        <v>-0.10966000000007625</v>
      </c>
      <c r="BG31" s="191">
        <f>'Functional Levels Drone Survey'!BG31-'Existing Levels Drone Survey'!BG31</f>
        <v>-0.17156000000005633</v>
      </c>
      <c r="BH31" s="191">
        <f>'Functional Levels Drone Survey'!BH31-'Existing Levels Drone Survey'!BH31</f>
        <v>-8.1160000000068067E-2</v>
      </c>
      <c r="BI31" s="191">
        <f>'Functional Levels Drone Survey'!BI31-'Existing Levels Drone Survey'!BI31</f>
        <v>-9.4560000000058153E-2</v>
      </c>
      <c r="BJ31" s="191">
        <f>'Functional Levels Drone Survey'!BJ31-'Existing Levels Drone Survey'!BJ31</f>
        <v>-0.11526000000009162</v>
      </c>
      <c r="BK31" s="191">
        <f>'Functional Levels Drone Survey'!BK31-'Existing Levels Drone Survey'!BK31</f>
        <v>-0.15526000000005524</v>
      </c>
      <c r="BL31" s="191">
        <f>'Functional Levels Drone Survey'!BL31-'Existing Levels Drone Survey'!BL31</f>
        <v>-4.1860000000099262E-2</v>
      </c>
      <c r="BM31" s="191">
        <f>'Functional Levels Drone Survey'!BM31-'Existing Levels Drone Survey'!BM31</f>
        <v>-4.1460000000085984E-2</v>
      </c>
      <c r="BN31" s="191">
        <f>'Functional Levels Drone Survey'!BN31-'Existing Levels Drone Survey'!BN31</f>
        <v>-6.9060000000092714E-2</v>
      </c>
      <c r="BO31" s="191">
        <f>'Functional Levels Drone Survey'!BO31-'Existing Levels Drone Survey'!BO31</f>
        <v>-0.1893600000000788</v>
      </c>
      <c r="BP31" s="191">
        <f>'Functional Levels Drone Survey'!BP31-'Existing Levels Drone Survey'!BP31</f>
        <v>-0.1601600000000758</v>
      </c>
      <c r="BQ31" s="191">
        <f>'Functional Levels Drone Survey'!BQ31-'Existing Levels Drone Survey'!BQ31</f>
        <v>-6.3660000000083983E-2</v>
      </c>
      <c r="BR31" s="191">
        <f>'Functional Levels Drone Survey'!BR31-'Existing Levels Drone Survey'!BR31</f>
        <v>-0.23866000000009535</v>
      </c>
      <c r="BS31" s="191">
        <f>'Functional Levels Drone Survey'!BS31-'Existing Levels Drone Survey'!BS31</f>
        <v>-0.17186000000009471</v>
      </c>
      <c r="BT31" s="191">
        <f>'Functional Levels Drone Survey'!BT31-'Existing Levels Drone Survey'!BT31</f>
        <v>-0.12496000000010099</v>
      </c>
      <c r="BU31" s="279">
        <f>'Functional Levels Drone Survey'!BU31-'Existing Levels Drone Survey'!BU31</f>
        <v>-0.21776000000005524</v>
      </c>
      <c r="BV31" s="191">
        <f>'Functional Levels Drone Survey'!BV31-'Existing Levels Drone Survey'!BV31</f>
        <v>-0.48300000000000409</v>
      </c>
      <c r="BW31" s="279">
        <f>'Functional Levels Drone Survey'!BW31-'Existing Levels Drone Survey'!BW31</f>
        <v>-0.22130000000004202</v>
      </c>
      <c r="BX31" s="191">
        <f>'Functional Levels Drone Survey'!BX31-'Existing Levels Drone Survey'!BX31</f>
        <v>-0.1944000000000301</v>
      </c>
      <c r="BY31" s="191">
        <f>'Functional Levels Drone Survey'!BY31-'Existing Levels Drone Survey'!BY31</f>
        <v>-1.2300000000038835E-2</v>
      </c>
      <c r="BZ31" s="191">
        <f>'Functional Levels Drone Survey'!BZ31-'Existing Levels Drone Survey'!BZ31</f>
        <v>-4.5600000000035834E-2</v>
      </c>
      <c r="CA31" s="191">
        <f>'Functional Levels Drone Survey'!CA31-'Existing Levels Drone Survey'!CA31</f>
        <v>-0.198599999999999</v>
      </c>
      <c r="CB31" s="191">
        <f>'Functional Levels Drone Survey'!CB31-'Existing Levels Drone Survey'!CB31</f>
        <v>-0.2942000000000462</v>
      </c>
      <c r="CC31" s="191">
        <f>'Functional Levels Drone Survey'!CC31-'Existing Levels Drone Survey'!CC31</f>
        <v>-0.15700000000003911</v>
      </c>
      <c r="CD31" s="191">
        <f>'Functional Levels Drone Survey'!CD31-'Existing Levels Drone Survey'!CD31</f>
        <v>-9.5599999999990359E-2</v>
      </c>
      <c r="CE31" s="191">
        <f>'Functional Levels Drone Survey'!CE31-'Existing Levels Drone Survey'!CE31</f>
        <v>-2.7300000000025193E-2</v>
      </c>
      <c r="CF31" s="191">
        <f>'Functional Levels Drone Survey'!CF31-'Existing Levels Drone Survey'!CF31</f>
        <v>3.2999999999674401E-3</v>
      </c>
      <c r="CG31" s="191">
        <f>'Functional Levels Drone Survey'!CG31-'Existing Levels Drone Survey'!CG31</f>
        <v>0.12829999999996744</v>
      </c>
      <c r="CH31" s="191">
        <f>'Functional Levels Drone Survey'!CH31-'Existing Levels Drone Survey'!CH31</f>
        <v>-2.8000000000361069E-3</v>
      </c>
      <c r="CI31" s="191">
        <f>'Functional Levels Drone Survey'!CI31-'Existing Levels Drone Survey'!CI31</f>
        <v>0.10890000000000555</v>
      </c>
      <c r="CJ31" s="191">
        <f>'Functional Levels Drone Survey'!CJ31-'Existing Levels Drone Survey'!CJ31</f>
        <v>0.11989999999997281</v>
      </c>
      <c r="CK31" s="191">
        <f>'Functional Levels Drone Survey'!CK31-'Existing Levels Drone Survey'!CK31</f>
        <v>-3.7700000000029377E-2</v>
      </c>
      <c r="CL31" s="191">
        <f>'Functional Levels Drone Survey'!CL31-'Existing Levels Drone Survey'!CL31</f>
        <v>-0.12040000000001783</v>
      </c>
      <c r="CM31" s="191">
        <f>'Functional Levels Drone Survey'!CM31-'Existing Levels Drone Survey'!CM31</f>
        <v>-8.5900000000037835E-2</v>
      </c>
      <c r="CN31" s="279">
        <f>'Functional Levels Drone Survey'!CN31-'Existing Levels Drone Survey'!CN31</f>
        <v>-5.6999999999902684E-3</v>
      </c>
      <c r="CO31" s="191">
        <f>'Functional Levels Drone Survey'!CO31-'Existing Levels Drone Survey'!CO31</f>
        <v>-8.7833333333435348E-2</v>
      </c>
      <c r="CP31" s="191">
        <f>'Functional Levels Drone Survey'!CP31-'Existing Levels Drone Survey'!CP31</f>
        <v>-5.3333333333966948E-3</v>
      </c>
      <c r="CQ31" s="279">
        <f>'Functional Levels Drone Survey'!CQ31-'Existing Levels Drone Survey'!CQ31</f>
        <v>0.28656666666660158</v>
      </c>
      <c r="CR31" s="191">
        <f>'Functional Levels Drone Survey'!CR31-'Existing Levels Drone Survey'!CR31</f>
        <v>9.1066666666620222E-2</v>
      </c>
      <c r="CS31" s="191">
        <f>'Functional Levels Drone Survey'!CS31-'Existing Levels Drone Survey'!CS31</f>
        <v>9.1266666666626861E-2</v>
      </c>
      <c r="CT31" s="191">
        <f>'Functional Levels Drone Survey'!CT31-'Existing Levels Drone Survey'!CT31</f>
        <v>0.27156666666661522</v>
      </c>
      <c r="CU31" s="191">
        <f>'Functional Levels Drone Survey'!CU31-'Existing Levels Drone Survey'!CU31</f>
        <v>0.38026666666661413</v>
      </c>
      <c r="CV31" s="191">
        <f>'Functional Levels Drone Survey'!CV31-'Existing Levels Drone Survey'!CV31</f>
        <v>-0.12853333333339378</v>
      </c>
      <c r="CW31" s="191">
        <f>'Functional Levels Drone Survey'!CW31-'Existing Levels Drone Survey'!CW31</f>
        <v>-5.3033333333416977E-2</v>
      </c>
      <c r="CX31" s="191">
        <f>'Functional Levels Drone Survey'!CX31-'Existing Levels Drone Survey'!CX31</f>
        <v>4.7066666666637502E-2</v>
      </c>
      <c r="CY31" s="191">
        <f>'Functional Levels Drone Survey'!CY31-'Existing Levels Drone Survey'!CY31</f>
        <v>-0.15323333333338951</v>
      </c>
      <c r="CZ31" s="191">
        <f>'Functional Levels Drone Survey'!CZ31-'Existing Levels Drone Survey'!CZ31</f>
        <v>-7.8733333333389055E-2</v>
      </c>
      <c r="DA31" s="191">
        <f>'Functional Levels Drone Survey'!DA31-'Existing Levels Drone Survey'!DA31</f>
        <v>0.11946666666659667</v>
      </c>
      <c r="DB31" s="191">
        <f>'Functional Levels Drone Survey'!DB31-'Existing Levels Drone Survey'!DB31</f>
        <v>3.7266666666596393E-2</v>
      </c>
      <c r="DC31" s="191">
        <f>'Functional Levels Drone Survey'!DC31-'Existing Levels Drone Survey'!DC31</f>
        <v>1.8066666666584297E-2</v>
      </c>
      <c r="DD31" s="191">
        <f>'Functional Levels Drone Survey'!DD31-'Existing Levels Drone Survey'!DD31</f>
        <v>-9.5233333333396786E-2</v>
      </c>
      <c r="DE31" s="191">
        <f>'Functional Levels Drone Survey'!DE31-'Existing Levels Drone Survey'!DE31</f>
        <v>0.21296666666660258</v>
      </c>
      <c r="DF31" s="191">
        <f>'Functional Levels Drone Survey'!DF31-'Existing Levels Drone Survey'!DF31</f>
        <v>0.27756666666658703</v>
      </c>
      <c r="DG31" s="191">
        <f>'Functional Levels Drone Survey'!DG31-'Existing Levels Drone Survey'!DG31</f>
        <v>0.23306666666661613</v>
      </c>
      <c r="DH31" s="279">
        <f>'Functional Levels Drone Survey'!DH31-'Existing Levels Drone Survey'!DH31</f>
        <v>0.29896666666661531</v>
      </c>
      <c r="DI31" s="191">
        <f>'Functional Levels Drone Survey'!DI31-'Existing Levels Drone Survey'!DI31</f>
        <v>0.30436666666662404</v>
      </c>
      <c r="DJ31" s="279">
        <f>'Functional Levels Drone Survey'!DJ31-'Existing Levels Drone Survey'!DJ31</f>
        <v>0.43502222222230102</v>
      </c>
      <c r="DK31" s="191">
        <f>'Functional Levels Drone Survey'!DK31-'Existing Levels Drone Survey'!DK31</f>
        <v>0.49472222222226492</v>
      </c>
      <c r="DL31" s="191">
        <f>'Functional Levels Drone Survey'!DL31-'Existing Levels Drone Survey'!DL31</f>
        <v>0.5272222222222922</v>
      </c>
      <c r="DM31" s="191">
        <f>'Functional Levels Drone Survey'!DM31-'Existing Levels Drone Survey'!DM31</f>
        <v>0.42652222222227465</v>
      </c>
      <c r="DN31" s="191">
        <f>'Functional Levels Drone Survey'!DN31-'Existing Levels Drone Survey'!DN31</f>
        <v>0.29042222222227565</v>
      </c>
      <c r="DO31" s="191">
        <f>'Functional Levels Drone Survey'!DO31-'Existing Levels Drone Survey'!DO31</f>
        <v>0.31142222222229066</v>
      </c>
      <c r="DP31" s="191">
        <f>'Functional Levels Drone Survey'!DP31-'Existing Levels Drone Survey'!DP31</f>
        <v>0.29082222222228893</v>
      </c>
      <c r="DQ31" s="191">
        <f>'Functional Levels Drone Survey'!DQ31-'Existing Levels Drone Survey'!DQ31</f>
        <v>0.39542222222229384</v>
      </c>
      <c r="DR31" s="191">
        <f>'Functional Levels Drone Survey'!DR31-'Existing Levels Drone Survey'!DR31</f>
        <v>0.33162222222227911</v>
      </c>
      <c r="DS31" s="191">
        <f>'Functional Levels Drone Survey'!DS31-'Existing Levels Drone Survey'!DS31</f>
        <v>0.38612222222229775</v>
      </c>
      <c r="DT31" s="191">
        <f>'Functional Levels Drone Survey'!DT31-'Existing Levels Drone Survey'!DT31</f>
        <v>0.56772222222230084</v>
      </c>
      <c r="DU31" s="191">
        <f>'Functional Levels Drone Survey'!DU31-'Existing Levels Drone Survey'!DU31</f>
        <v>0.22212222222231048</v>
      </c>
      <c r="DV31" s="191">
        <f>'Functional Levels Drone Survey'!DV31-'Existing Levels Drone Survey'!DV31</f>
        <v>0.15252222222227374</v>
      </c>
      <c r="DW31" s="191">
        <f>'Functional Levels Drone Survey'!DW31-'Existing Levels Drone Survey'!DW31</f>
        <v>0.32242222222225791</v>
      </c>
      <c r="DX31" s="191">
        <f>'Functional Levels Drone Survey'!DX31-'Existing Levels Drone Survey'!DX31</f>
        <v>0.42722222222226947</v>
      </c>
      <c r="DY31" s="191">
        <f>'Functional Levels Drone Survey'!DY31-'Existing Levels Drone Survey'!DY31</f>
        <v>0.43392222222229293</v>
      </c>
      <c r="DZ31" s="191">
        <f>'Functional Levels Drone Survey'!DZ31-'Existing Levels Drone Survey'!DZ31</f>
        <v>0.27202222222229011</v>
      </c>
      <c r="EA31" s="279">
        <f>'Functional Levels Drone Survey'!EA31-'Existing Levels Drone Survey'!EA31</f>
        <v>0.48072222222231176</v>
      </c>
      <c r="EB31" s="191">
        <f>'Functional Levels Drone Survey'!EB31-'Existing Levels Drone Survey'!EB31</f>
        <v>0.26346315789476193</v>
      </c>
      <c r="EC31" s="279">
        <f>'Functional Levels Drone Survey'!EC31-'Existing Levels Drone Survey'!EC31</f>
        <v>0.26096315789476421</v>
      </c>
      <c r="ED31" s="191">
        <f>'Functional Levels Drone Survey'!ED31-'Existing Levels Drone Survey'!ED31</f>
        <v>0.36046315789474193</v>
      </c>
      <c r="EE31" s="191">
        <f>'Functional Levels Drone Survey'!EE31-'Existing Levels Drone Survey'!EE31</f>
        <v>0.30976315789473574</v>
      </c>
      <c r="EF31" s="191">
        <f>'Functional Levels Drone Survey'!EF31-'Existing Levels Drone Survey'!EF31</f>
        <v>0.28586315789476657</v>
      </c>
      <c r="EG31" s="191">
        <f>'Functional Levels Drone Survey'!EG31-'Existing Levels Drone Survey'!EG31</f>
        <v>0.45186315789476339</v>
      </c>
      <c r="EH31" s="191">
        <f>'Functional Levels Drone Survey'!EH31-'Existing Levels Drone Survey'!EH31</f>
        <v>0.53856315789477094</v>
      </c>
      <c r="EI31" s="191">
        <f>'Functional Levels Drone Survey'!EI31-'Existing Levels Drone Survey'!EI31</f>
        <v>0.42656315789474775</v>
      </c>
      <c r="EJ31" s="191">
        <f>'Functional Levels Drone Survey'!EJ31-'Existing Levels Drone Survey'!EJ31</f>
        <v>0.55056315789477139</v>
      </c>
      <c r="EK31" s="191">
        <f>'Functional Levels Drone Survey'!EK31-'Existing Levels Drone Survey'!EK31</f>
        <v>0.59046315789476012</v>
      </c>
      <c r="EL31" s="191">
        <f>'Functional Levels Drone Survey'!EL31-'Existing Levels Drone Survey'!EL31</f>
        <v>0.5856631578947713</v>
      </c>
      <c r="EM31" s="191">
        <f>'Functional Levels Drone Survey'!EM31-'Existing Levels Drone Survey'!EM31</f>
        <v>0.61986315789476976</v>
      </c>
      <c r="EN31" s="191">
        <f>'Functional Levels Drone Survey'!EN31-'Existing Levels Drone Survey'!EN31</f>
        <v>0.72616315789474584</v>
      </c>
      <c r="EO31" s="191">
        <f>'Functional Levels Drone Survey'!EO31-'Existing Levels Drone Survey'!EO31</f>
        <v>0.68386315789473429</v>
      </c>
      <c r="EP31" s="191">
        <f>'Functional Levels Drone Survey'!EP31-'Existing Levels Drone Survey'!EP31</f>
        <v>0.67686315789472928</v>
      </c>
      <c r="EQ31" s="191">
        <f>'Functional Levels Drone Survey'!EQ31-'Existing Levels Drone Survey'!EQ31</f>
        <v>0.6915631578947341</v>
      </c>
      <c r="ER31" s="191">
        <f>'Functional Levels Drone Survey'!ER31-'Existing Levels Drone Survey'!ER31</f>
        <v>0.82306315789475093</v>
      </c>
      <c r="ES31" s="191">
        <f>'Functional Levels Drone Survey'!ES31-'Existing Levels Drone Survey'!ES31</f>
        <v>0.80476315789474029</v>
      </c>
      <c r="ET31" s="191">
        <f>'Functional Levels Drone Survey'!ET31-'Existing Levels Drone Survey'!ET31</f>
        <v>0.82906315789472274</v>
      </c>
      <c r="EU31" s="279">
        <f>'Functional Levels Drone Survey'!EU31-'Existing Levels Drone Survey'!EU31</f>
        <v>0.67106315789476412</v>
      </c>
      <c r="EV31" s="191">
        <f>'Functional Levels Drone Survey'!EV31-'Existing Levels Drone Survey'!EV31</f>
        <v>0.64246315789472419</v>
      </c>
      <c r="EW31" s="191">
        <f>'Functional Levels Drone Survey'!EW31-'Existing Levels Drone Survey'!EW31</f>
        <v>0.69776315789471255</v>
      </c>
      <c r="EX31" s="278">
        <f>'Functional Levels Drone Survey'!EX31-'Existing Levels Drone Survey'!EX31</f>
        <v>0.33426315789472483</v>
      </c>
      <c r="EY31" s="191">
        <f>'Functional Levels Drone Survey'!EY31-'Existing Levels Drone Survey'!EY31</f>
        <v>0</v>
      </c>
    </row>
    <row r="32" spans="1:155" ht="45" customHeight="1" x14ac:dyDescent="0.45">
      <c r="A32" s="277">
        <v>155</v>
      </c>
      <c r="B32" s="191">
        <f>'Functional Levels Drone Survey'!B32-'Existing Levels Drone Survey'!B32</f>
        <v>0</v>
      </c>
      <c r="C32" s="191">
        <f>'Functional Levels Drone Survey'!C32-'Existing Levels Drone Survey'!C32</f>
        <v>0</v>
      </c>
      <c r="D32" s="191">
        <f>'Functional Levels Drone Survey'!D32-'Existing Levels Drone Survey'!D32</f>
        <v>0</v>
      </c>
      <c r="E32" s="191">
        <f>'Functional Levels Drone Survey'!E32-'Existing Levels Drone Survey'!E32</f>
        <v>0</v>
      </c>
      <c r="F32" s="191">
        <f>'Functional Levels Drone Survey'!F32-'Existing Levels Drone Survey'!F32</f>
        <v>0</v>
      </c>
      <c r="G32" s="191">
        <f>'Functional Levels Drone Survey'!G32-'Existing Levels Drone Survey'!G32</f>
        <v>0</v>
      </c>
      <c r="H32" s="191">
        <f>'Functional Levels Drone Survey'!H32-'Existing Levels Drone Survey'!H32</f>
        <v>0</v>
      </c>
      <c r="I32" s="191">
        <f>'Functional Levels Drone Survey'!I32-'Existing Levels Drone Survey'!I32</f>
        <v>0</v>
      </c>
      <c r="J32" s="191">
        <f>'Functional Levels Drone Survey'!J32-'Existing Levels Drone Survey'!J32</f>
        <v>0</v>
      </c>
      <c r="K32" s="191">
        <f>'Functional Levels Drone Survey'!K32-'Existing Levels Drone Survey'!K32</f>
        <v>0</v>
      </c>
      <c r="L32" s="191">
        <f>'Functional Levels Drone Survey'!L32-'Existing Levels Drone Survey'!L32</f>
        <v>0</v>
      </c>
      <c r="M32" s="191">
        <f>'Functional Levels Drone Survey'!M32-'Existing Levels Drone Survey'!M32</f>
        <v>0</v>
      </c>
      <c r="N32" s="191">
        <f>'Functional Levels Drone Survey'!N32-'Existing Levels Drone Survey'!N32</f>
        <v>0</v>
      </c>
      <c r="O32" s="191">
        <f>'Functional Levels Drone Survey'!O32-'Existing Levels Drone Survey'!O32</f>
        <v>0</v>
      </c>
      <c r="P32" s="191">
        <f>'Functional Levels Drone Survey'!P32-'Existing Levels Drone Survey'!P32</f>
        <v>0</v>
      </c>
      <c r="Q32" s="191">
        <f>'Functional Levels Drone Survey'!Q32-'Existing Levels Drone Survey'!Q32</f>
        <v>0</v>
      </c>
      <c r="R32" s="191">
        <f>'Functional Levels Drone Survey'!R32-'Existing Levels Drone Survey'!R32</f>
        <v>0</v>
      </c>
      <c r="S32" s="191">
        <f>'Functional Levels Drone Survey'!S32-'Existing Levels Drone Survey'!S32</f>
        <v>0</v>
      </c>
      <c r="T32" s="191">
        <f>'Functional Levels Drone Survey'!T32-'Existing Levels Drone Survey'!T32</f>
        <v>0</v>
      </c>
      <c r="U32" s="191">
        <f>'Functional Levels Drone Survey'!U32-'Existing Levels Drone Survey'!U32</f>
        <v>0</v>
      </c>
      <c r="V32" s="191">
        <f>'Functional Levels Drone Survey'!V32-'Existing Levels Drone Survey'!V32</f>
        <v>0</v>
      </c>
      <c r="W32" s="191">
        <f>'Functional Levels Drone Survey'!W32-'Existing Levels Drone Survey'!W32</f>
        <v>0</v>
      </c>
      <c r="X32" s="191">
        <f>'Functional Levels Drone Survey'!X32-'Existing Levels Drone Survey'!X32</f>
        <v>0</v>
      </c>
      <c r="Y32" s="191">
        <f>'Functional Levels Drone Survey'!Y32-'Existing Levels Drone Survey'!Y32</f>
        <v>0</v>
      </c>
      <c r="Z32" s="191">
        <f>'Functional Levels Drone Survey'!Z32-'Existing Levels Drone Survey'!Z32</f>
        <v>0</v>
      </c>
      <c r="AA32" s="191">
        <f>'Functional Levels Drone Survey'!AA32-'Existing Levels Drone Survey'!AA32</f>
        <v>0</v>
      </c>
      <c r="AB32" s="191">
        <f>'Functional Levels Drone Survey'!AB32-'Existing Levels Drone Survey'!AB32</f>
        <v>0</v>
      </c>
      <c r="AC32" s="191">
        <f>'Functional Levels Drone Survey'!AC32-'Existing Levels Drone Survey'!AC32</f>
        <v>0</v>
      </c>
      <c r="AD32" s="191">
        <f>'Functional Levels Drone Survey'!AD32-'Existing Levels Drone Survey'!AD32</f>
        <v>0</v>
      </c>
      <c r="AE32" s="191">
        <f>'Functional Levels Drone Survey'!AE32-'Existing Levels Drone Survey'!AE32</f>
        <v>0</v>
      </c>
      <c r="AF32" s="191">
        <f>'Functional Levels Drone Survey'!AF32-'Existing Levels Drone Survey'!AF32</f>
        <v>0</v>
      </c>
      <c r="AG32" s="191">
        <f>'Functional Levels Drone Survey'!AG32-'Existing Levels Drone Survey'!AG32</f>
        <v>0</v>
      </c>
      <c r="AH32" s="191">
        <f>'Functional Levels Drone Survey'!AH32-'Existing Levels Drone Survey'!AH32</f>
        <v>0</v>
      </c>
      <c r="AI32" s="191">
        <f>'Functional Levels Drone Survey'!AI32-'Existing Levels Drone Survey'!AI32</f>
        <v>0</v>
      </c>
      <c r="AJ32" s="191">
        <f>'Functional Levels Drone Survey'!AJ32-'Existing Levels Drone Survey'!AJ32</f>
        <v>0</v>
      </c>
      <c r="AK32" s="191">
        <f>'Functional Levels Drone Survey'!AK32-'Existing Levels Drone Survey'!AK32</f>
        <v>0</v>
      </c>
      <c r="AL32" s="191">
        <f>'Functional Levels Drone Survey'!AL32-'Existing Levels Drone Survey'!AL32</f>
        <v>0</v>
      </c>
      <c r="AM32" s="191">
        <f>'Functional Levels Drone Survey'!AM32-'Existing Levels Drone Survey'!AM32</f>
        <v>0</v>
      </c>
      <c r="AN32" s="191">
        <f>'Functional Levels Drone Survey'!AN32-'Existing Levels Drone Survey'!AN32</f>
        <v>0</v>
      </c>
      <c r="AO32" s="191">
        <f>'Functional Levels Drone Survey'!AO32-'Existing Levels Drone Survey'!AO32</f>
        <v>0</v>
      </c>
      <c r="AP32" s="191">
        <f>'Functional Levels Drone Survey'!AP32-'Existing Levels Drone Survey'!AP32</f>
        <v>0</v>
      </c>
      <c r="AQ32" s="191">
        <f>'Functional Levels Drone Survey'!AQ32-'Existing Levels Drone Survey'!AQ32</f>
        <v>0</v>
      </c>
      <c r="AR32" s="191">
        <f>'Functional Levels Drone Survey'!AR32-'Existing Levels Drone Survey'!AR32</f>
        <v>0</v>
      </c>
      <c r="AS32" s="191">
        <f>'Functional Levels Drone Survey'!AS32-'Existing Levels Drone Survey'!AS32</f>
        <v>0</v>
      </c>
      <c r="AT32" s="191">
        <f>'Functional Levels Drone Survey'!AT32-'Existing Levels Drone Survey'!AT32</f>
        <v>0</v>
      </c>
      <c r="AU32" s="191">
        <f>'Functional Levels Drone Survey'!AU32-'Existing Levels Drone Survey'!AU32</f>
        <v>0</v>
      </c>
      <c r="AV32" s="191">
        <f>'Functional Levels Drone Survey'!AV32-'Existing Levels Drone Survey'!AV32</f>
        <v>0</v>
      </c>
      <c r="AW32" s="191">
        <f>'Functional Levels Drone Survey'!AW32-'Existing Levels Drone Survey'!AW32</f>
        <v>0</v>
      </c>
      <c r="AX32" s="191">
        <f>'Functional Levels Drone Survey'!AX32-'Existing Levels Drone Survey'!AX32</f>
        <v>0</v>
      </c>
      <c r="AY32" s="191">
        <f>'Functional Levels Drone Survey'!AY32-'Existing Levels Drone Survey'!AY32</f>
        <v>0</v>
      </c>
      <c r="AZ32" s="191">
        <f>'Functional Levels Drone Survey'!AZ32-'Existing Levels Drone Survey'!AZ32</f>
        <v>0</v>
      </c>
      <c r="BA32" s="278">
        <f>'Functional Levels Drone Survey'!BA32-'Existing Levels Drone Survey'!BA32</f>
        <v>-0.52066000000007762</v>
      </c>
      <c r="BB32" s="279">
        <f>'Functional Levels Drone Survey'!BB32-'Existing Levels Drone Survey'!BB32</f>
        <v>-0.20826000000005251</v>
      </c>
      <c r="BC32" s="191">
        <f>'Functional Levels Drone Survey'!BC32-'Existing Levels Drone Survey'!BC32</f>
        <v>-4.8160000000052605E-2</v>
      </c>
      <c r="BD32" s="191">
        <f>'Functional Levels Drone Survey'!BD32-'Existing Levels Drone Survey'!BD32</f>
        <v>-0.3254600000000778</v>
      </c>
      <c r="BE32" s="191">
        <f>'Functional Levels Drone Survey'!BE32-'Existing Levels Drone Survey'!BE32</f>
        <v>-0.27966000000003532</v>
      </c>
      <c r="BF32" s="191">
        <f>'Functional Levels Drone Survey'!BF32-'Existing Levels Drone Survey'!BF32</f>
        <v>-0.33286000000003924</v>
      </c>
      <c r="BG32" s="191">
        <f>'Functional Levels Drone Survey'!BG32-'Existing Levels Drone Survey'!BG32</f>
        <v>-0.30606000000005906</v>
      </c>
      <c r="BH32" s="191">
        <f>'Functional Levels Drone Survey'!BH32-'Existing Levels Drone Survey'!BH32</f>
        <v>-0.15766000000007807</v>
      </c>
      <c r="BI32" s="191">
        <f>'Functional Levels Drone Survey'!BI32-'Existing Levels Drone Survey'!BI32</f>
        <v>-0.17996000000005097</v>
      </c>
      <c r="BJ32" s="191">
        <f>'Functional Levels Drone Survey'!BJ32-'Existing Levels Drone Survey'!BJ32</f>
        <v>-0.27536000000003469</v>
      </c>
      <c r="BK32" s="191">
        <f>'Functional Levels Drone Survey'!BK32-'Existing Levels Drone Survey'!BK32</f>
        <v>-0.15286000000008926</v>
      </c>
      <c r="BL32" s="191">
        <f>'Functional Levels Drone Survey'!BL32-'Existing Levels Drone Survey'!BL32</f>
        <v>-0.18726000000003751</v>
      </c>
      <c r="BM32" s="191">
        <f>'Functional Levels Drone Survey'!BM32-'Existing Levels Drone Survey'!BM32</f>
        <v>-9.5260000000052969E-2</v>
      </c>
      <c r="BN32" s="191">
        <f>'Functional Levels Drone Survey'!BN32-'Existing Levels Drone Survey'!BN32</f>
        <v>-5.7060000000035416E-2</v>
      </c>
      <c r="BO32" s="191">
        <f>'Functional Levels Drone Survey'!BO32-'Existing Levels Drone Survey'!BO32</f>
        <v>-1.2760000000071159E-2</v>
      </c>
      <c r="BP32" s="191">
        <f>'Functional Levels Drone Survey'!BP32-'Existing Levels Drone Survey'!BP32</f>
        <v>-2.8460000000052332E-2</v>
      </c>
      <c r="BQ32" s="191">
        <f>'Functional Levels Drone Survey'!BQ32-'Existing Levels Drone Survey'!BQ32</f>
        <v>-8.4600000000705222E-3</v>
      </c>
      <c r="BR32" s="191">
        <f>'Functional Levels Drone Survey'!BR32-'Existing Levels Drone Survey'!BR32</f>
        <v>-0.2215600000000677</v>
      </c>
      <c r="BS32" s="191">
        <f>'Functional Levels Drone Survey'!BS32-'Existing Levels Drone Survey'!BS32</f>
        <v>-7.9600000000823457E-3</v>
      </c>
      <c r="BT32" s="191">
        <f>'Functional Levels Drone Survey'!BT32-'Existing Levels Drone Survey'!BT32</f>
        <v>-1.2060000000076343E-2</v>
      </c>
      <c r="BU32" s="279">
        <f>'Functional Levels Drone Survey'!BU32-'Existing Levels Drone Survey'!BU32</f>
        <v>4.2399999999247484E-3</v>
      </c>
      <c r="BV32" s="191">
        <f>'Functional Levels Drone Survey'!BV32-'Existing Levels Drone Survey'!BV32</f>
        <v>-0.30790000000001783</v>
      </c>
      <c r="BW32" s="279">
        <f>'Functional Levels Drone Survey'!BW32-'Existing Levels Drone Survey'!BW32</f>
        <v>-0.13490000000001601</v>
      </c>
      <c r="BX32" s="191">
        <f>'Functional Levels Drone Survey'!BX32-'Existing Levels Drone Survey'!BX32</f>
        <v>6.100000000003547E-3</v>
      </c>
      <c r="BY32" s="191">
        <f>'Functional Levels Drone Survey'!BY32-'Existing Levels Drone Survey'!BY32</f>
        <v>8.2800000000020191E-2</v>
      </c>
      <c r="BZ32" s="191">
        <f>'Functional Levels Drone Survey'!BZ32-'Existing Levels Drone Survey'!BZ32</f>
        <v>-4.3200000000013006E-2</v>
      </c>
      <c r="CA32" s="191">
        <f>'Functional Levels Drone Survey'!CA32-'Existing Levels Drone Survey'!CA32</f>
        <v>0.10609999999996944</v>
      </c>
      <c r="CB32" s="191">
        <f>'Functional Levels Drone Survey'!CB32-'Existing Levels Drone Survey'!CB32</f>
        <v>9.4099999999968986E-2</v>
      </c>
      <c r="CC32" s="191">
        <f>'Functional Levels Drone Survey'!CC32-'Existing Levels Drone Survey'!CC32</f>
        <v>-5.7000000000016371E-2</v>
      </c>
      <c r="CD32" s="191">
        <f>'Functional Levels Drone Survey'!CD32-'Existing Levels Drone Survey'!CD32</f>
        <v>0.15339999999997644</v>
      </c>
      <c r="CE32" s="191">
        <f>'Functional Levels Drone Survey'!CE32-'Existing Levels Drone Survey'!CE32</f>
        <v>0.18259999999997945</v>
      </c>
      <c r="CF32" s="191">
        <f>'Functional Levels Drone Survey'!CF32-'Existing Levels Drone Survey'!CF32</f>
        <v>0.18360000000001264</v>
      </c>
      <c r="CG32" s="191">
        <f>'Functional Levels Drone Survey'!CG32-'Existing Levels Drone Survey'!CG32</f>
        <v>0.23019999999996799</v>
      </c>
      <c r="CH32" s="191">
        <f>'Functional Levels Drone Survey'!CH32-'Existing Levels Drone Survey'!CH32</f>
        <v>0.17189999999999372</v>
      </c>
      <c r="CI32" s="191">
        <f>'Functional Levels Drone Survey'!CI32-'Existing Levels Drone Survey'!CI32</f>
        <v>0.15670000000000073</v>
      </c>
      <c r="CJ32" s="191">
        <f>'Functional Levels Drone Survey'!CJ32-'Existing Levels Drone Survey'!CJ32</f>
        <v>0.122099999999989</v>
      </c>
      <c r="CK32" s="191">
        <f>'Functional Levels Drone Survey'!CK32-'Existing Levels Drone Survey'!CK32</f>
        <v>4.6199999999998909E-2</v>
      </c>
      <c r="CL32" s="191">
        <f>'Functional Levels Drone Survey'!CL32-'Existing Levels Drone Survey'!CL32</f>
        <v>0.1805999999999699</v>
      </c>
      <c r="CM32" s="191">
        <f>'Functional Levels Drone Survey'!CM32-'Existing Levels Drone Survey'!CM32</f>
        <v>0.1904999999999859</v>
      </c>
      <c r="CN32" s="279">
        <f>'Functional Levels Drone Survey'!CN32-'Existing Levels Drone Survey'!CN32</f>
        <v>0.22839999999996508</v>
      </c>
      <c r="CO32" s="191">
        <f>'Functional Levels Drone Survey'!CO32-'Existing Levels Drone Survey'!CO32</f>
        <v>-8.723333333341543E-2</v>
      </c>
      <c r="CP32" s="191">
        <f>'Functional Levels Drone Survey'!CP32-'Existing Levels Drone Survey'!CP32</f>
        <v>0.1541666666665833</v>
      </c>
      <c r="CQ32" s="279">
        <f>'Functional Levels Drone Survey'!CQ32-'Existing Levels Drone Survey'!CQ32</f>
        <v>0.18806666666660021</v>
      </c>
      <c r="CR32" s="191">
        <f>'Functional Levels Drone Survey'!CR32-'Existing Levels Drone Survey'!CR32</f>
        <v>0.4916666666666174</v>
      </c>
      <c r="CS32" s="191">
        <f>'Functional Levels Drone Survey'!CS32-'Existing Levels Drone Survey'!CS32</f>
        <v>0.36846666666662031</v>
      </c>
      <c r="CT32" s="191">
        <f>'Functional Levels Drone Survey'!CT32-'Existing Levels Drone Survey'!CT32</f>
        <v>7.5766666666595484E-2</v>
      </c>
      <c r="CU32" s="191">
        <f>'Functional Levels Drone Survey'!CU32-'Existing Levels Drone Survey'!CU32</f>
        <v>0.18056666666660703</v>
      </c>
      <c r="CV32" s="191">
        <f>'Functional Levels Drone Survey'!CV32-'Existing Levels Drone Survey'!CV32</f>
        <v>0.18276666666662322</v>
      </c>
      <c r="CW32" s="191">
        <f>'Functional Levels Drone Survey'!CW32-'Existing Levels Drone Survey'!CW32</f>
        <v>1.2866666666639048E-2</v>
      </c>
      <c r="CX32" s="191">
        <f>'Functional Levels Drone Survey'!CX32-'Existing Levels Drone Survey'!CX32</f>
        <v>7.3566666666636138E-2</v>
      </c>
      <c r="CY32" s="191">
        <f>'Functional Levels Drone Survey'!CY32-'Existing Levels Drone Survey'!CY32</f>
        <v>3.8966666666624405E-2</v>
      </c>
      <c r="CZ32" s="191">
        <f>'Functional Levels Drone Survey'!CZ32-'Existing Levels Drone Survey'!CZ32</f>
        <v>2.6766666666617311E-2</v>
      </c>
      <c r="DA32" s="191">
        <f>'Functional Levels Drone Survey'!DA32-'Existing Levels Drone Survey'!DA32</f>
        <v>8.2666666666625588E-2</v>
      </c>
      <c r="DB32" s="191">
        <f>'Functional Levels Drone Survey'!DB32-'Existing Levels Drone Survey'!DB32</f>
        <v>0.12416666666661058</v>
      </c>
      <c r="DC32" s="191">
        <f>'Functional Levels Drone Survey'!DC32-'Existing Levels Drone Survey'!DC32</f>
        <v>2.2766666666598212E-2</v>
      </c>
      <c r="DD32" s="191">
        <f>'Functional Levels Drone Survey'!DD32-'Existing Levels Drone Survey'!DD32</f>
        <v>0.16426666666660594</v>
      </c>
      <c r="DE32" s="191">
        <f>'Functional Levels Drone Survey'!DE32-'Existing Levels Drone Survey'!DE32</f>
        <v>0.41906666666659476</v>
      </c>
      <c r="DF32" s="191">
        <f>'Functional Levels Drone Survey'!DF32-'Existing Levels Drone Survey'!DF32</f>
        <v>0.3566666666666265</v>
      </c>
      <c r="DG32" s="191">
        <f>'Functional Levels Drone Survey'!DG32-'Existing Levels Drone Survey'!DG32</f>
        <v>0.27936666666664678</v>
      </c>
      <c r="DH32" s="279">
        <f>'Functional Levels Drone Survey'!DH32-'Existing Levels Drone Survey'!DH32</f>
        <v>0.33666666666664469</v>
      </c>
      <c r="DI32" s="191">
        <f>'Functional Levels Drone Survey'!DI32-'Existing Levels Drone Survey'!DI32</f>
        <v>0.31626666666659276</v>
      </c>
      <c r="DJ32" s="279">
        <f>'Functional Levels Drone Survey'!DJ32-'Existing Levels Drone Survey'!DJ32</f>
        <v>0.45732222222227392</v>
      </c>
      <c r="DK32" s="191">
        <f>'Functional Levels Drone Survey'!DK32-'Existing Levels Drone Survey'!DK32</f>
        <v>0.45662222222227911</v>
      </c>
      <c r="DL32" s="191">
        <f>'Functional Levels Drone Survey'!DL32-'Existing Levels Drone Survey'!DL32</f>
        <v>0.4730222222222551</v>
      </c>
      <c r="DM32" s="191">
        <f>'Functional Levels Drone Survey'!DM32-'Existing Levels Drone Survey'!DM32</f>
        <v>0.53632222222228165</v>
      </c>
      <c r="DN32" s="191">
        <f>'Functional Levels Drone Survey'!DN32-'Existing Levels Drone Survey'!DN32</f>
        <v>0.59562222222228911</v>
      </c>
      <c r="DO32" s="191">
        <f>'Functional Levels Drone Survey'!DO32-'Existing Levels Drone Survey'!DO32</f>
        <v>0.56932222222229711</v>
      </c>
      <c r="DP32" s="191">
        <f>'Functional Levels Drone Survey'!DP32-'Existing Levels Drone Survey'!DP32</f>
        <v>0.30342222222225246</v>
      </c>
      <c r="DQ32" s="191">
        <f>'Functional Levels Drone Survey'!DQ32-'Existing Levels Drone Survey'!DQ32</f>
        <v>0.43122222222228856</v>
      </c>
      <c r="DR32" s="191">
        <f>'Functional Levels Drone Survey'!DR32-'Existing Levels Drone Survey'!DR32</f>
        <v>0.31552222222228465</v>
      </c>
      <c r="DS32" s="191">
        <f>'Functional Levels Drone Survey'!DS32-'Existing Levels Drone Survey'!DS32</f>
        <v>0.55602222222228193</v>
      </c>
      <c r="DT32" s="191">
        <f>'Functional Levels Drone Survey'!DT32-'Existing Levels Drone Survey'!DT32</f>
        <v>0.35962222222229911</v>
      </c>
      <c r="DU32" s="191">
        <f>'Functional Levels Drone Survey'!DU32-'Existing Levels Drone Survey'!DU32</f>
        <v>0.26772222222228947</v>
      </c>
      <c r="DV32" s="191">
        <f>'Functional Levels Drone Survey'!DV32-'Existing Levels Drone Survey'!DV32</f>
        <v>0.20592222222228429</v>
      </c>
      <c r="DW32" s="191">
        <f>'Functional Levels Drone Survey'!DW32-'Existing Levels Drone Survey'!DW32</f>
        <v>0.21922222222229948</v>
      </c>
      <c r="DX32" s="191">
        <f>'Functional Levels Drone Survey'!DX32-'Existing Levels Drone Survey'!DX32</f>
        <v>0.3036222222222591</v>
      </c>
      <c r="DY32" s="191">
        <f>'Functional Levels Drone Survey'!DY32-'Existing Levels Drone Survey'!DY32</f>
        <v>0.47532222222224618</v>
      </c>
      <c r="DZ32" s="191">
        <f>'Functional Levels Drone Survey'!DZ32-'Existing Levels Drone Survey'!DZ32</f>
        <v>0.335822222222248</v>
      </c>
      <c r="EA32" s="279">
        <f>'Functional Levels Drone Survey'!EA32-'Existing Levels Drone Survey'!EA32</f>
        <v>0.60282222222230075</v>
      </c>
      <c r="EB32" s="191">
        <f>'Functional Levels Drone Survey'!EB32-'Existing Levels Drone Survey'!EB32</f>
        <v>0.43746315789474011</v>
      </c>
      <c r="EC32" s="279">
        <f>'Functional Levels Drone Survey'!EC32-'Existing Levels Drone Survey'!EC32</f>
        <v>0.30826315789471437</v>
      </c>
      <c r="ED32" s="191">
        <f>'Functional Levels Drone Survey'!ED32-'Existing Levels Drone Survey'!ED32</f>
        <v>0.45036315789474202</v>
      </c>
      <c r="EE32" s="191">
        <f>'Functional Levels Drone Survey'!EE32-'Existing Levels Drone Survey'!EE32</f>
        <v>0.48066315789475311</v>
      </c>
      <c r="EF32" s="191">
        <f>'Functional Levels Drone Survey'!EF32-'Existing Levels Drone Survey'!EF32</f>
        <v>0.31266315789474675</v>
      </c>
      <c r="EG32" s="191">
        <f>'Functional Levels Drone Survey'!EG32-'Existing Levels Drone Survey'!EG32</f>
        <v>0.38266315789473992</v>
      </c>
      <c r="EH32" s="191">
        <f>'Functional Levels Drone Survey'!EH32-'Existing Levels Drone Survey'!EH32</f>
        <v>0.26486315789475157</v>
      </c>
      <c r="EI32" s="191">
        <f>'Functional Levels Drone Survey'!EI32-'Existing Levels Drone Survey'!EI32</f>
        <v>0.28806315789472592</v>
      </c>
      <c r="EJ32" s="191">
        <f>'Functional Levels Drone Survey'!EJ32-'Existing Levels Drone Survey'!EJ32</f>
        <v>0.39506315789475366</v>
      </c>
      <c r="EK32" s="191">
        <f>'Functional Levels Drone Survey'!EK32-'Existing Levels Drone Survey'!EK32</f>
        <v>0.49576315789471437</v>
      </c>
      <c r="EL32" s="191">
        <f>'Functional Levels Drone Survey'!EL32-'Existing Levels Drone Survey'!EL32</f>
        <v>0.53236315789473565</v>
      </c>
      <c r="EM32" s="191">
        <f>'Functional Levels Drone Survey'!EM32-'Existing Levels Drone Survey'!EM32</f>
        <v>0.55726315789473801</v>
      </c>
      <c r="EN32" s="191">
        <f>'Functional Levels Drone Survey'!EN32-'Existing Levels Drone Survey'!EN32</f>
        <v>0.52306315789473956</v>
      </c>
      <c r="EO32" s="191">
        <f>'Functional Levels Drone Survey'!EO32-'Existing Levels Drone Survey'!EO32</f>
        <v>0.66076315789473483</v>
      </c>
      <c r="EP32" s="191">
        <f>'Functional Levels Drone Survey'!EP32-'Existing Levels Drone Survey'!EP32</f>
        <v>0.5705631578947532</v>
      </c>
      <c r="EQ32" s="191">
        <f>'Functional Levels Drone Survey'!EQ32-'Existing Levels Drone Survey'!EQ32</f>
        <v>0.5938631578947593</v>
      </c>
      <c r="ER32" s="191">
        <f>'Functional Levels Drone Survey'!ER32-'Existing Levels Drone Survey'!ER32</f>
        <v>0.67206315789474047</v>
      </c>
      <c r="ES32" s="191">
        <f>'Functional Levels Drone Survey'!ES32-'Existing Levels Drone Survey'!ES32</f>
        <v>0.67036315789471246</v>
      </c>
      <c r="ET32" s="191">
        <f>'Functional Levels Drone Survey'!ET32-'Existing Levels Drone Survey'!ET32</f>
        <v>0.74916315789471355</v>
      </c>
      <c r="EU32" s="279">
        <f>'Functional Levels Drone Survey'!EU32-'Existing Levels Drone Survey'!EU32</f>
        <v>0.55376315789476394</v>
      </c>
      <c r="EV32" s="191">
        <f>'Functional Levels Drone Survey'!EV32-'Existing Levels Drone Survey'!EV32</f>
        <v>0.64886315789470927</v>
      </c>
      <c r="EW32" s="191">
        <f>'Functional Levels Drone Survey'!EW32-'Existing Levels Drone Survey'!EW32</f>
        <v>0.66866315789474129</v>
      </c>
      <c r="EX32" s="278">
        <f>'Functional Levels Drone Survey'!EX32-'Existing Levels Drone Survey'!EX32</f>
        <v>-4.0836842105306914E-2</v>
      </c>
      <c r="EY32" s="191">
        <f>'Functional Levels Drone Survey'!EY32-'Existing Levels Drone Survey'!EY32</f>
        <v>0</v>
      </c>
    </row>
    <row r="33" spans="1:155" ht="45" customHeight="1" x14ac:dyDescent="0.45">
      <c r="A33" s="277">
        <v>160</v>
      </c>
      <c r="B33" s="191">
        <f>'Functional Levels Drone Survey'!B33-'Existing Levels Drone Survey'!B33</f>
        <v>0</v>
      </c>
      <c r="C33" s="191">
        <f>'Functional Levels Drone Survey'!C33-'Existing Levels Drone Survey'!C33</f>
        <v>0</v>
      </c>
      <c r="D33" s="191">
        <f>'Functional Levels Drone Survey'!D33-'Existing Levels Drone Survey'!D33</f>
        <v>0</v>
      </c>
      <c r="E33" s="191">
        <f>'Functional Levels Drone Survey'!E33-'Existing Levels Drone Survey'!E33</f>
        <v>0</v>
      </c>
      <c r="F33" s="191">
        <f>'Functional Levels Drone Survey'!F33-'Existing Levels Drone Survey'!F33</f>
        <v>0</v>
      </c>
      <c r="G33" s="191">
        <f>'Functional Levels Drone Survey'!G33-'Existing Levels Drone Survey'!G33</f>
        <v>0</v>
      </c>
      <c r="H33" s="191">
        <f>'Functional Levels Drone Survey'!H33-'Existing Levels Drone Survey'!H33</f>
        <v>0</v>
      </c>
      <c r="I33" s="191">
        <f>'Functional Levels Drone Survey'!I33-'Existing Levels Drone Survey'!I33</f>
        <v>0</v>
      </c>
      <c r="J33" s="191">
        <f>'Functional Levels Drone Survey'!J33-'Existing Levels Drone Survey'!J33</f>
        <v>0</v>
      </c>
      <c r="K33" s="191">
        <f>'Functional Levels Drone Survey'!K33-'Existing Levels Drone Survey'!K33</f>
        <v>0</v>
      </c>
      <c r="L33" s="191">
        <f>'Functional Levels Drone Survey'!L33-'Existing Levels Drone Survey'!L33</f>
        <v>0</v>
      </c>
      <c r="M33" s="191">
        <f>'Functional Levels Drone Survey'!M33-'Existing Levels Drone Survey'!M33</f>
        <v>0</v>
      </c>
      <c r="N33" s="191">
        <f>'Functional Levels Drone Survey'!N33-'Existing Levels Drone Survey'!N33</f>
        <v>0</v>
      </c>
      <c r="O33" s="191">
        <f>'Functional Levels Drone Survey'!O33-'Existing Levels Drone Survey'!O33</f>
        <v>0</v>
      </c>
      <c r="P33" s="191">
        <f>'Functional Levels Drone Survey'!P33-'Existing Levels Drone Survey'!P33</f>
        <v>0</v>
      </c>
      <c r="Q33" s="191">
        <f>'Functional Levels Drone Survey'!Q33-'Existing Levels Drone Survey'!Q33</f>
        <v>0</v>
      </c>
      <c r="R33" s="191">
        <f>'Functional Levels Drone Survey'!R33-'Existing Levels Drone Survey'!R33</f>
        <v>0</v>
      </c>
      <c r="S33" s="191">
        <f>'Functional Levels Drone Survey'!S33-'Existing Levels Drone Survey'!S33</f>
        <v>0</v>
      </c>
      <c r="T33" s="191">
        <f>'Functional Levels Drone Survey'!T33-'Existing Levels Drone Survey'!T33</f>
        <v>0</v>
      </c>
      <c r="U33" s="191">
        <f>'Functional Levels Drone Survey'!U33-'Existing Levels Drone Survey'!U33</f>
        <v>0</v>
      </c>
      <c r="V33" s="191">
        <f>'Functional Levels Drone Survey'!V33-'Existing Levels Drone Survey'!V33</f>
        <v>0</v>
      </c>
      <c r="W33" s="191">
        <f>'Functional Levels Drone Survey'!W33-'Existing Levels Drone Survey'!W33</f>
        <v>0</v>
      </c>
      <c r="X33" s="191">
        <f>'Functional Levels Drone Survey'!X33-'Existing Levels Drone Survey'!X33</f>
        <v>0</v>
      </c>
      <c r="Y33" s="191">
        <f>'Functional Levels Drone Survey'!Y33-'Existing Levels Drone Survey'!Y33</f>
        <v>0</v>
      </c>
      <c r="Z33" s="191">
        <f>'Functional Levels Drone Survey'!Z33-'Existing Levels Drone Survey'!Z33</f>
        <v>0</v>
      </c>
      <c r="AA33" s="191">
        <f>'Functional Levels Drone Survey'!AA33-'Existing Levels Drone Survey'!AA33</f>
        <v>0</v>
      </c>
      <c r="AB33" s="191">
        <f>'Functional Levels Drone Survey'!AB33-'Existing Levels Drone Survey'!AB33</f>
        <v>0</v>
      </c>
      <c r="AC33" s="191">
        <f>'Functional Levels Drone Survey'!AC33-'Existing Levels Drone Survey'!AC33</f>
        <v>0</v>
      </c>
      <c r="AD33" s="191">
        <f>'Functional Levels Drone Survey'!AD33-'Existing Levels Drone Survey'!AD33</f>
        <v>0</v>
      </c>
      <c r="AE33" s="191">
        <f>'Functional Levels Drone Survey'!AE33-'Existing Levels Drone Survey'!AE33</f>
        <v>0</v>
      </c>
      <c r="AF33" s="191">
        <f>'Functional Levels Drone Survey'!AF33-'Existing Levels Drone Survey'!AF33</f>
        <v>0</v>
      </c>
      <c r="AG33" s="191">
        <f>'Functional Levels Drone Survey'!AG33-'Existing Levels Drone Survey'!AG33</f>
        <v>0</v>
      </c>
      <c r="AH33" s="191">
        <f>'Functional Levels Drone Survey'!AH33-'Existing Levels Drone Survey'!AH33</f>
        <v>0</v>
      </c>
      <c r="AI33" s="191">
        <f>'Functional Levels Drone Survey'!AI33-'Existing Levels Drone Survey'!AI33</f>
        <v>0</v>
      </c>
      <c r="AJ33" s="191">
        <f>'Functional Levels Drone Survey'!AJ33-'Existing Levels Drone Survey'!AJ33</f>
        <v>0</v>
      </c>
      <c r="AK33" s="191">
        <f>'Functional Levels Drone Survey'!AK33-'Existing Levels Drone Survey'!AK33</f>
        <v>0</v>
      </c>
      <c r="AL33" s="191">
        <f>'Functional Levels Drone Survey'!AL33-'Existing Levels Drone Survey'!AL33</f>
        <v>0</v>
      </c>
      <c r="AM33" s="191">
        <f>'Functional Levels Drone Survey'!AM33-'Existing Levels Drone Survey'!AM33</f>
        <v>0</v>
      </c>
      <c r="AN33" s="191">
        <f>'Functional Levels Drone Survey'!AN33-'Existing Levels Drone Survey'!AN33</f>
        <v>0</v>
      </c>
      <c r="AO33" s="191">
        <f>'Functional Levels Drone Survey'!AO33-'Existing Levels Drone Survey'!AO33</f>
        <v>0</v>
      </c>
      <c r="AP33" s="191">
        <f>'Functional Levels Drone Survey'!AP33-'Existing Levels Drone Survey'!AP33</f>
        <v>0</v>
      </c>
      <c r="AQ33" s="191">
        <f>'Functional Levels Drone Survey'!AQ33-'Existing Levels Drone Survey'!AQ33</f>
        <v>0</v>
      </c>
      <c r="AR33" s="191">
        <f>'Functional Levels Drone Survey'!AR33-'Existing Levels Drone Survey'!AR33</f>
        <v>0</v>
      </c>
      <c r="AS33" s="191">
        <f>'Functional Levels Drone Survey'!AS33-'Existing Levels Drone Survey'!AS33</f>
        <v>0</v>
      </c>
      <c r="AT33" s="191">
        <f>'Functional Levels Drone Survey'!AT33-'Existing Levels Drone Survey'!AT33</f>
        <v>0</v>
      </c>
      <c r="AU33" s="191">
        <f>'Functional Levels Drone Survey'!AU33-'Existing Levels Drone Survey'!AU33</f>
        <v>0</v>
      </c>
      <c r="AV33" s="191">
        <f>'Functional Levels Drone Survey'!AV33-'Existing Levels Drone Survey'!AV33</f>
        <v>0</v>
      </c>
      <c r="AW33" s="191">
        <f>'Functional Levels Drone Survey'!AW33-'Existing Levels Drone Survey'!AW33</f>
        <v>0</v>
      </c>
      <c r="AX33" s="191">
        <f>'Functional Levels Drone Survey'!AX33-'Existing Levels Drone Survey'!AX33</f>
        <v>0</v>
      </c>
      <c r="AY33" s="191">
        <f>'Functional Levels Drone Survey'!AY33-'Existing Levels Drone Survey'!AY33</f>
        <v>0</v>
      </c>
      <c r="AZ33" s="191">
        <f>'Functional Levels Drone Survey'!AZ33-'Existing Levels Drone Survey'!AZ33</f>
        <v>0</v>
      </c>
      <c r="BA33" s="278">
        <f>'Functional Levels Drone Survey'!BA33-'Existing Levels Drone Survey'!BA33</f>
        <v>-0.40466000000003532</v>
      </c>
      <c r="BB33" s="279">
        <f>'Functional Levels Drone Survey'!BB33-'Existing Levels Drone Survey'!BB33</f>
        <v>-0.33116000000006807</v>
      </c>
      <c r="BC33" s="191">
        <f>'Functional Levels Drone Survey'!BC33-'Existing Levels Drone Survey'!BC33</f>
        <v>-4.9960000000055516E-2</v>
      </c>
      <c r="BD33" s="191">
        <f>'Functional Levels Drone Survey'!BD33-'Existing Levels Drone Survey'!BD33</f>
        <v>-0.19686000000007198</v>
      </c>
      <c r="BE33" s="191">
        <f>'Functional Levels Drone Survey'!BE33-'Existing Levels Drone Survey'!BE33</f>
        <v>-0.26946000000003778</v>
      </c>
      <c r="BF33" s="191">
        <f>'Functional Levels Drone Survey'!BF33-'Existing Levels Drone Survey'!BF33</f>
        <v>-0.26786000000004151</v>
      </c>
      <c r="BG33" s="191">
        <f>'Functional Levels Drone Survey'!BG33-'Existing Levels Drone Survey'!BG33</f>
        <v>-0.27456000000006497</v>
      </c>
      <c r="BH33" s="191">
        <f>'Functional Levels Drone Survey'!BH33-'Existing Levels Drone Survey'!BH33</f>
        <v>-0.20926000000002887</v>
      </c>
      <c r="BI33" s="191">
        <f>'Functional Levels Drone Survey'!BI33-'Existing Levels Drone Survey'!BI33</f>
        <v>-0.24566000000004351</v>
      </c>
      <c r="BJ33" s="191">
        <f>'Functional Levels Drone Survey'!BJ33-'Existing Levels Drone Survey'!BJ33</f>
        <v>-0.32016000000004396</v>
      </c>
      <c r="BK33" s="191">
        <f>'Functional Levels Drone Survey'!BK33-'Existing Levels Drone Survey'!BK33</f>
        <v>-0.1783600000000547</v>
      </c>
      <c r="BL33" s="191">
        <f>'Functional Levels Drone Survey'!BL33-'Existing Levels Drone Survey'!BL33</f>
        <v>-8.6060000000031778E-2</v>
      </c>
      <c r="BM33" s="191">
        <f>'Functional Levels Drone Survey'!BM33-'Existing Levels Drone Survey'!BM33</f>
        <v>-5.7160000000067157E-2</v>
      </c>
      <c r="BN33" s="191">
        <f>'Functional Levels Drone Survey'!BN33-'Existing Levels Drone Survey'!BN33</f>
        <v>-6.216000000006261E-2</v>
      </c>
      <c r="BO33" s="191">
        <f>'Functional Levels Drone Survey'!BO33-'Existing Levels Drone Survey'!BO33</f>
        <v>-2.8600000000551518E-3</v>
      </c>
      <c r="BP33" s="191">
        <f>'Functional Levels Drone Survey'!BP33-'Existing Levels Drone Survey'!BP33</f>
        <v>-2.2060000000067248E-2</v>
      </c>
      <c r="BQ33" s="191">
        <f>'Functional Levels Drone Survey'!BQ33-'Existing Levels Drone Survey'!BQ33</f>
        <v>-0.14736000000004879</v>
      </c>
      <c r="BR33" s="191">
        <f>'Functional Levels Drone Survey'!BR33-'Existing Levels Drone Survey'!BR33</f>
        <v>-0.12866000000002487</v>
      </c>
      <c r="BS33" s="191">
        <f>'Functional Levels Drone Survey'!BS33-'Existing Levels Drone Survey'!BS33</f>
        <v>-7.1860000000071977E-2</v>
      </c>
      <c r="BT33" s="191">
        <f>'Functional Levels Drone Survey'!BT33-'Existing Levels Drone Survey'!BT33</f>
        <v>0.13653999999996813</v>
      </c>
      <c r="BU33" s="279">
        <f>'Functional Levels Drone Survey'!BU33-'Existing Levels Drone Survey'!BU33</f>
        <v>0.12033999999994194</v>
      </c>
      <c r="BV33" s="191">
        <f>'Functional Levels Drone Survey'!BV33-'Existing Levels Drone Survey'!BV33</f>
        <v>-0.1986999999999739</v>
      </c>
      <c r="BW33" s="279">
        <f>'Functional Levels Drone Survey'!BW33-'Existing Levels Drone Survey'!BW33</f>
        <v>-0.11160000000000991</v>
      </c>
      <c r="BX33" s="191">
        <f>'Functional Levels Drone Survey'!BX33-'Existing Levels Drone Survey'!BX33</f>
        <v>7.6300000000003365E-2</v>
      </c>
      <c r="BY33" s="191">
        <f>'Functional Levels Drone Survey'!BY33-'Existing Levels Drone Survey'!BY33</f>
        <v>0.16779999999999973</v>
      </c>
      <c r="BZ33" s="191">
        <f>'Functional Levels Drone Survey'!BZ33-'Existing Levels Drone Survey'!BZ33</f>
        <v>0.22230000000001837</v>
      </c>
      <c r="CA33" s="191">
        <f>'Functional Levels Drone Survey'!CA33-'Existing Levels Drone Survey'!CA33</f>
        <v>0.18540000000001555</v>
      </c>
      <c r="CB33" s="191">
        <f>'Functional Levels Drone Survey'!CB33-'Existing Levels Drone Survey'!CB33</f>
        <v>0.14159999999998263</v>
      </c>
      <c r="CC33" s="191">
        <f>'Functional Levels Drone Survey'!CC33-'Existing Levels Drone Survey'!CC33</f>
        <v>0.1593000000000302</v>
      </c>
      <c r="CD33" s="191">
        <f>'Functional Levels Drone Survey'!CD33-'Existing Levels Drone Survey'!CD33</f>
        <v>0.12850000000003092</v>
      </c>
      <c r="CE33" s="191">
        <f>'Functional Levels Drone Survey'!CE33-'Existing Levels Drone Survey'!CE33</f>
        <v>0.15300000000002001</v>
      </c>
      <c r="CF33" s="191">
        <f>'Functional Levels Drone Survey'!CF33-'Existing Levels Drone Survey'!CF33</f>
        <v>0.27830000000000155</v>
      </c>
      <c r="CG33" s="191">
        <f>'Functional Levels Drone Survey'!CG33-'Existing Levels Drone Survey'!CG33</f>
        <v>0.33179999999998699</v>
      </c>
      <c r="CH33" s="191">
        <f>'Functional Levels Drone Survey'!CH33-'Existing Levels Drone Survey'!CH33</f>
        <v>0.18400000000002592</v>
      </c>
      <c r="CI33" s="191">
        <f>'Functional Levels Drone Survey'!CI33-'Existing Levels Drone Survey'!CI33</f>
        <v>0.41899999999998272</v>
      </c>
      <c r="CJ33" s="191">
        <f>'Functional Levels Drone Survey'!CJ33-'Existing Levels Drone Survey'!CJ33</f>
        <v>0.1512000000000171</v>
      </c>
      <c r="CK33" s="191">
        <f>'Functional Levels Drone Survey'!CK33-'Existing Levels Drone Survey'!CK33</f>
        <v>7.1799999999996089E-2</v>
      </c>
      <c r="CL33" s="191">
        <f>'Functional Levels Drone Survey'!CL33-'Existing Levels Drone Survey'!CL33</f>
        <v>0.26740000000000919</v>
      </c>
      <c r="CM33" s="191">
        <f>'Functional Levels Drone Survey'!CM33-'Existing Levels Drone Survey'!CM33</f>
        <v>0.11910000000000309</v>
      </c>
      <c r="CN33" s="279">
        <f>'Functional Levels Drone Survey'!CN33-'Existing Levels Drone Survey'!CN33</f>
        <v>0.18680000000000518</v>
      </c>
      <c r="CO33" s="191">
        <f>'Functional Levels Drone Survey'!CO33-'Existing Levels Drone Survey'!CO33</f>
        <v>0.19606666666663841</v>
      </c>
      <c r="CP33" s="191">
        <f>'Functional Levels Drone Survey'!CP33-'Existing Levels Drone Survey'!CP33</f>
        <v>0.48266666666660285</v>
      </c>
      <c r="CQ33" s="279">
        <f>'Functional Levels Drone Survey'!CQ33-'Existing Levels Drone Survey'!CQ33</f>
        <v>-1.5233333333355858E-2</v>
      </c>
      <c r="CR33" s="191">
        <f>'Functional Levels Drone Survey'!CR33-'Existing Levels Drone Survey'!CR33</f>
        <v>2.5766666666640958E-2</v>
      </c>
      <c r="CS33" s="191">
        <f>'Functional Levels Drone Survey'!CS33-'Existing Levels Drone Survey'!CS33</f>
        <v>4.6966666666605761E-2</v>
      </c>
      <c r="CT33" s="191">
        <f>'Functional Levels Drone Survey'!CT33-'Existing Levels Drone Survey'!CT33</f>
        <v>7.856666666663159E-2</v>
      </c>
      <c r="CU33" s="191">
        <f>'Functional Levels Drone Survey'!CU33-'Existing Levels Drone Survey'!CU33</f>
        <v>0.52126666666663368</v>
      </c>
      <c r="CV33" s="191">
        <f>'Functional Levels Drone Survey'!CV33-'Existing Levels Drone Survey'!CV33</f>
        <v>0.33216666666663741</v>
      </c>
      <c r="CW33" s="191">
        <f>'Functional Levels Drone Survey'!CW33-'Existing Levels Drone Survey'!CW33</f>
        <v>4.7066666666637502E-2</v>
      </c>
      <c r="CX33" s="191">
        <f>'Functional Levels Drone Survey'!CX33-'Existing Levels Drone Survey'!CX33</f>
        <v>4.9666666666610126E-2</v>
      </c>
      <c r="CY33" s="191">
        <f>'Functional Levels Drone Survey'!CY33-'Existing Levels Drone Survey'!CY33</f>
        <v>0.21916666666663787</v>
      </c>
      <c r="CZ33" s="191">
        <f>'Functional Levels Drone Survey'!CZ33-'Existing Levels Drone Survey'!CZ33</f>
        <v>0.18556666666665933</v>
      </c>
      <c r="DA33" s="191">
        <f>'Functional Levels Drone Survey'!DA33-'Existing Levels Drone Survey'!DA33</f>
        <v>0.14716666666663514</v>
      </c>
      <c r="DB33" s="191">
        <f>'Functional Levels Drone Survey'!DB33-'Existing Levels Drone Survey'!DB33</f>
        <v>0.19546666666661849</v>
      </c>
      <c r="DC33" s="191">
        <f>'Functional Levels Drone Survey'!DC33-'Existing Levels Drone Survey'!DC33</f>
        <v>0.20356666666663159</v>
      </c>
      <c r="DD33" s="191">
        <f>'Functional Levels Drone Survey'!DD33-'Existing Levels Drone Survey'!DD33</f>
        <v>0.29656666666664933</v>
      </c>
      <c r="DE33" s="191">
        <f>'Functional Levels Drone Survey'!DE33-'Existing Levels Drone Survey'!DE33</f>
        <v>0.52936666666664678</v>
      </c>
      <c r="DF33" s="191">
        <f>'Functional Levels Drone Survey'!DF33-'Existing Levels Drone Survey'!DF33</f>
        <v>0.45086666666662722</v>
      </c>
      <c r="DG33" s="191">
        <f>'Functional Levels Drone Survey'!DG33-'Existing Levels Drone Survey'!DG33</f>
        <v>0.34476666666665778</v>
      </c>
      <c r="DH33" s="279">
        <f>'Functional Levels Drone Survey'!DH33-'Existing Levels Drone Survey'!DH33</f>
        <v>0.39126666666663823</v>
      </c>
      <c r="DI33" s="191">
        <f>'Functional Levels Drone Survey'!DI33-'Existing Levels Drone Survey'!DI33</f>
        <v>0.21996666666660758</v>
      </c>
      <c r="DJ33" s="279">
        <f>'Functional Levels Drone Survey'!DJ33-'Existing Levels Drone Survey'!DJ33</f>
        <v>0.36822222222224354</v>
      </c>
      <c r="DK33" s="191">
        <f>'Functional Levels Drone Survey'!DK33-'Existing Levels Drone Survey'!DK33</f>
        <v>0.409422222222247</v>
      </c>
      <c r="DL33" s="191">
        <f>'Functional Levels Drone Survey'!DL33-'Existing Levels Drone Survey'!DL33</f>
        <v>0.49542222222225973</v>
      </c>
      <c r="DM33" s="191">
        <f>'Functional Levels Drone Survey'!DM33-'Existing Levels Drone Survey'!DM33</f>
        <v>0.41172222222223809</v>
      </c>
      <c r="DN33" s="191">
        <f>'Functional Levels Drone Survey'!DN33-'Existing Levels Drone Survey'!DN33</f>
        <v>0.41592222222226383</v>
      </c>
      <c r="DO33" s="191">
        <f>'Functional Levels Drone Survey'!DO33-'Existing Levels Drone Survey'!DO33</f>
        <v>0.5132222222222822</v>
      </c>
      <c r="DP33" s="191">
        <f>'Functional Levels Drone Survey'!DP33-'Existing Levels Drone Survey'!DP33</f>
        <v>0.30742222222227156</v>
      </c>
      <c r="DQ33" s="191">
        <f>'Functional Levels Drone Survey'!DQ33-'Existing Levels Drone Survey'!DQ33</f>
        <v>0.34922222222223809</v>
      </c>
      <c r="DR33" s="191">
        <f>'Functional Levels Drone Survey'!DR33-'Existing Levels Drone Survey'!DR33</f>
        <v>0.23132222222227483</v>
      </c>
      <c r="DS33" s="191">
        <f>'Functional Levels Drone Survey'!DS33-'Existing Levels Drone Survey'!DS33</f>
        <v>0.5968222222222721</v>
      </c>
      <c r="DT33" s="191">
        <f>'Functional Levels Drone Survey'!DT33-'Existing Levels Drone Survey'!DT33</f>
        <v>0.20222222222224673</v>
      </c>
      <c r="DU33" s="191">
        <f>'Functional Levels Drone Survey'!DU33-'Existing Levels Drone Survey'!DU33</f>
        <v>0.21952222222228102</v>
      </c>
      <c r="DV33" s="191">
        <f>'Functional Levels Drone Survey'!DV33-'Existing Levels Drone Survey'!DV33</f>
        <v>0.19532222222227347</v>
      </c>
      <c r="DW33" s="191">
        <f>'Functional Levels Drone Survey'!DW33-'Existing Levels Drone Survey'!DW33</f>
        <v>0.28662222222226319</v>
      </c>
      <c r="DX33" s="191">
        <f>'Functional Levels Drone Survey'!DX33-'Existing Levels Drone Survey'!DX33</f>
        <v>0.38492222222225791</v>
      </c>
      <c r="DY33" s="191">
        <f>'Functional Levels Drone Survey'!DY33-'Existing Levels Drone Survey'!DY33</f>
        <v>0.40752222222226919</v>
      </c>
      <c r="DZ33" s="191">
        <f>'Functional Levels Drone Survey'!DZ33-'Existing Levels Drone Survey'!DZ33</f>
        <v>0.57972222222224445</v>
      </c>
      <c r="EA33" s="279">
        <f>'Functional Levels Drone Survey'!EA33-'Existing Levels Drone Survey'!EA33</f>
        <v>0.78052222222225964</v>
      </c>
      <c r="EB33" s="191">
        <f>'Functional Levels Drone Survey'!EB33-'Existing Levels Drone Survey'!EB33</f>
        <v>0.29736315789472201</v>
      </c>
      <c r="EC33" s="279">
        <f>'Functional Levels Drone Survey'!EC33-'Existing Levels Drone Survey'!EC33</f>
        <v>0.34396315789473419</v>
      </c>
      <c r="ED33" s="191">
        <f>'Functional Levels Drone Survey'!ED33-'Existing Levels Drone Survey'!ED33</f>
        <v>0.37516315789474675</v>
      </c>
      <c r="EE33" s="191">
        <f>'Functional Levels Drone Survey'!EE33-'Existing Levels Drone Survey'!EE33</f>
        <v>0.5052631578947171</v>
      </c>
      <c r="EF33" s="191">
        <f>'Functional Levels Drone Survey'!EF33-'Existing Levels Drone Survey'!EF33</f>
        <v>0.42836315789475066</v>
      </c>
      <c r="EG33" s="191">
        <f>'Functional Levels Drone Survey'!EG33-'Existing Levels Drone Survey'!EG33</f>
        <v>0.3317631578947271</v>
      </c>
      <c r="EH33" s="191">
        <f>'Functional Levels Drone Survey'!EH33-'Existing Levels Drone Survey'!EH33</f>
        <v>0.11416315789472264</v>
      </c>
      <c r="EI33" s="191">
        <f>'Functional Levels Drone Survey'!EI33-'Existing Levels Drone Survey'!EI33</f>
        <v>0.26766315789473083</v>
      </c>
      <c r="EJ33" s="191">
        <f>'Functional Levels Drone Survey'!EJ33-'Existing Levels Drone Survey'!EJ33</f>
        <v>0.31576315789470755</v>
      </c>
      <c r="EK33" s="191">
        <f>'Functional Levels Drone Survey'!EK33-'Existing Levels Drone Survey'!EK33</f>
        <v>0.49646315789470918</v>
      </c>
      <c r="EL33" s="191">
        <f>'Functional Levels Drone Survey'!EL33-'Existing Levels Drone Survey'!EL33</f>
        <v>0.51856315789473229</v>
      </c>
      <c r="EM33" s="191">
        <f>'Functional Levels Drone Survey'!EM33-'Existing Levels Drone Survey'!EM33</f>
        <v>0.52186315789469973</v>
      </c>
      <c r="EN33" s="191">
        <f>'Functional Levels Drone Survey'!EN33-'Existing Levels Drone Survey'!EN33</f>
        <v>0.54666315789472719</v>
      </c>
      <c r="EO33" s="191">
        <f>'Functional Levels Drone Survey'!EO33-'Existing Levels Drone Survey'!EO33</f>
        <v>0.59416315789474083</v>
      </c>
      <c r="EP33" s="191">
        <f>'Functional Levels Drone Survey'!EP33-'Existing Levels Drone Survey'!EP33</f>
        <v>0.573663157894714</v>
      </c>
      <c r="EQ33" s="191">
        <f>'Functional Levels Drone Survey'!EQ33-'Existing Levels Drone Survey'!EQ33</f>
        <v>0.45756315789475366</v>
      </c>
      <c r="ER33" s="191">
        <f>'Functional Levels Drone Survey'!ER33-'Existing Levels Drone Survey'!ER33</f>
        <v>0.31306315789470318</v>
      </c>
      <c r="ES33" s="191">
        <f>'Functional Levels Drone Survey'!ES33-'Existing Levels Drone Survey'!ES33</f>
        <v>0.44946315789474056</v>
      </c>
      <c r="ET33" s="191">
        <f>'Functional Levels Drone Survey'!ET33-'Existing Levels Drone Survey'!ET33</f>
        <v>0.56826315789470527</v>
      </c>
      <c r="EU33" s="279">
        <f>'Functional Levels Drone Survey'!EU33-'Existing Levels Drone Survey'!EU33</f>
        <v>0.36366315789473447</v>
      </c>
      <c r="EV33" s="191">
        <f>'Functional Levels Drone Survey'!EV33-'Existing Levels Drone Survey'!EV33</f>
        <v>0.3942631578947271</v>
      </c>
      <c r="EW33" s="191">
        <f>'Functional Levels Drone Survey'!EW33-'Existing Levels Drone Survey'!EW33</f>
        <v>0.61426315789469754</v>
      </c>
      <c r="EX33" s="278">
        <f>'Functional Levels Drone Survey'!EX33-'Existing Levels Drone Survey'!EX33</f>
        <v>-8.553684210528445E-2</v>
      </c>
      <c r="EY33" s="191">
        <f>'Functional Levels Drone Survey'!EY33-'Existing Levels Drone Survey'!EY33</f>
        <v>0</v>
      </c>
    </row>
    <row r="34" spans="1:155" ht="45" customHeight="1" x14ac:dyDescent="0.45">
      <c r="A34" s="277">
        <v>165</v>
      </c>
      <c r="B34" s="191">
        <f>'Functional Levels Drone Survey'!B34-'Existing Levels Drone Survey'!B34</f>
        <v>0</v>
      </c>
      <c r="C34" s="191">
        <f>'Functional Levels Drone Survey'!C34-'Existing Levels Drone Survey'!C34</f>
        <v>0</v>
      </c>
      <c r="D34" s="191">
        <f>'Functional Levels Drone Survey'!D34-'Existing Levels Drone Survey'!D34</f>
        <v>0</v>
      </c>
      <c r="E34" s="191">
        <f>'Functional Levels Drone Survey'!E34-'Existing Levels Drone Survey'!E34</f>
        <v>0</v>
      </c>
      <c r="F34" s="191">
        <f>'Functional Levels Drone Survey'!F34-'Existing Levels Drone Survey'!F34</f>
        <v>0</v>
      </c>
      <c r="G34" s="191">
        <f>'Functional Levels Drone Survey'!G34-'Existing Levels Drone Survey'!G34</f>
        <v>0</v>
      </c>
      <c r="H34" s="191">
        <f>'Functional Levels Drone Survey'!H34-'Existing Levels Drone Survey'!H34</f>
        <v>0</v>
      </c>
      <c r="I34" s="191">
        <f>'Functional Levels Drone Survey'!I34-'Existing Levels Drone Survey'!I34</f>
        <v>0</v>
      </c>
      <c r="J34" s="191">
        <f>'Functional Levels Drone Survey'!J34-'Existing Levels Drone Survey'!J34</f>
        <v>0</v>
      </c>
      <c r="K34" s="191">
        <f>'Functional Levels Drone Survey'!K34-'Existing Levels Drone Survey'!K34</f>
        <v>0</v>
      </c>
      <c r="L34" s="191">
        <f>'Functional Levels Drone Survey'!L34-'Existing Levels Drone Survey'!L34</f>
        <v>0</v>
      </c>
      <c r="M34" s="191">
        <f>'Functional Levels Drone Survey'!M34-'Existing Levels Drone Survey'!M34</f>
        <v>0</v>
      </c>
      <c r="N34" s="191">
        <f>'Functional Levels Drone Survey'!N34-'Existing Levels Drone Survey'!N34</f>
        <v>0</v>
      </c>
      <c r="O34" s="191">
        <f>'Functional Levels Drone Survey'!O34-'Existing Levels Drone Survey'!O34</f>
        <v>0</v>
      </c>
      <c r="P34" s="191">
        <f>'Functional Levels Drone Survey'!P34-'Existing Levels Drone Survey'!P34</f>
        <v>0</v>
      </c>
      <c r="Q34" s="191">
        <f>'Functional Levels Drone Survey'!Q34-'Existing Levels Drone Survey'!Q34</f>
        <v>0</v>
      </c>
      <c r="R34" s="191">
        <f>'Functional Levels Drone Survey'!R34-'Existing Levels Drone Survey'!R34</f>
        <v>0</v>
      </c>
      <c r="S34" s="191">
        <f>'Functional Levels Drone Survey'!S34-'Existing Levels Drone Survey'!S34</f>
        <v>0</v>
      </c>
      <c r="T34" s="191">
        <f>'Functional Levels Drone Survey'!T34-'Existing Levels Drone Survey'!T34</f>
        <v>0</v>
      </c>
      <c r="U34" s="191">
        <f>'Functional Levels Drone Survey'!U34-'Existing Levels Drone Survey'!U34</f>
        <v>0</v>
      </c>
      <c r="V34" s="191">
        <f>'Functional Levels Drone Survey'!V34-'Existing Levels Drone Survey'!V34</f>
        <v>0</v>
      </c>
      <c r="W34" s="191">
        <f>'Functional Levels Drone Survey'!W34-'Existing Levels Drone Survey'!W34</f>
        <v>0</v>
      </c>
      <c r="X34" s="191">
        <f>'Functional Levels Drone Survey'!X34-'Existing Levels Drone Survey'!X34</f>
        <v>0</v>
      </c>
      <c r="Y34" s="191">
        <f>'Functional Levels Drone Survey'!Y34-'Existing Levels Drone Survey'!Y34</f>
        <v>0</v>
      </c>
      <c r="Z34" s="191">
        <f>'Functional Levels Drone Survey'!Z34-'Existing Levels Drone Survey'!Z34</f>
        <v>0</v>
      </c>
      <c r="AA34" s="191">
        <f>'Functional Levels Drone Survey'!AA34-'Existing Levels Drone Survey'!AA34</f>
        <v>0</v>
      </c>
      <c r="AB34" s="191">
        <f>'Functional Levels Drone Survey'!AB34-'Existing Levels Drone Survey'!AB34</f>
        <v>0</v>
      </c>
      <c r="AC34" s="191">
        <f>'Functional Levels Drone Survey'!AC34-'Existing Levels Drone Survey'!AC34</f>
        <v>0</v>
      </c>
      <c r="AD34" s="191">
        <f>'Functional Levels Drone Survey'!AD34-'Existing Levels Drone Survey'!AD34</f>
        <v>0</v>
      </c>
      <c r="AE34" s="191">
        <f>'Functional Levels Drone Survey'!AE34-'Existing Levels Drone Survey'!AE34</f>
        <v>0</v>
      </c>
      <c r="AF34" s="191">
        <f>'Functional Levels Drone Survey'!AF34-'Existing Levels Drone Survey'!AF34</f>
        <v>0</v>
      </c>
      <c r="AG34" s="191">
        <f>'Functional Levels Drone Survey'!AG34-'Existing Levels Drone Survey'!AG34</f>
        <v>0</v>
      </c>
      <c r="AH34" s="191">
        <f>'Functional Levels Drone Survey'!AH34-'Existing Levels Drone Survey'!AH34</f>
        <v>0</v>
      </c>
      <c r="AI34" s="191">
        <f>'Functional Levels Drone Survey'!AI34-'Existing Levels Drone Survey'!AI34</f>
        <v>0</v>
      </c>
      <c r="AJ34" s="191">
        <f>'Functional Levels Drone Survey'!AJ34-'Existing Levels Drone Survey'!AJ34</f>
        <v>0</v>
      </c>
      <c r="AK34" s="191">
        <f>'Functional Levels Drone Survey'!AK34-'Existing Levels Drone Survey'!AK34</f>
        <v>0</v>
      </c>
      <c r="AL34" s="191">
        <f>'Functional Levels Drone Survey'!AL34-'Existing Levels Drone Survey'!AL34</f>
        <v>0</v>
      </c>
      <c r="AM34" s="191">
        <f>'Functional Levels Drone Survey'!AM34-'Existing Levels Drone Survey'!AM34</f>
        <v>0</v>
      </c>
      <c r="AN34" s="191">
        <f>'Functional Levels Drone Survey'!AN34-'Existing Levels Drone Survey'!AN34</f>
        <v>0</v>
      </c>
      <c r="AO34" s="191">
        <f>'Functional Levels Drone Survey'!AO34-'Existing Levels Drone Survey'!AO34</f>
        <v>0</v>
      </c>
      <c r="AP34" s="191">
        <f>'Functional Levels Drone Survey'!AP34-'Existing Levels Drone Survey'!AP34</f>
        <v>0</v>
      </c>
      <c r="AQ34" s="191">
        <f>'Functional Levels Drone Survey'!AQ34-'Existing Levels Drone Survey'!AQ34</f>
        <v>0</v>
      </c>
      <c r="AR34" s="191">
        <f>'Functional Levels Drone Survey'!AR34-'Existing Levels Drone Survey'!AR34</f>
        <v>0</v>
      </c>
      <c r="AS34" s="191">
        <f>'Functional Levels Drone Survey'!AS34-'Existing Levels Drone Survey'!AS34</f>
        <v>0</v>
      </c>
      <c r="AT34" s="191">
        <f>'Functional Levels Drone Survey'!AT34-'Existing Levels Drone Survey'!AT34</f>
        <v>0</v>
      </c>
      <c r="AU34" s="191">
        <f>'Functional Levels Drone Survey'!AU34-'Existing Levels Drone Survey'!AU34</f>
        <v>0</v>
      </c>
      <c r="AV34" s="191">
        <f>'Functional Levels Drone Survey'!AV34-'Existing Levels Drone Survey'!AV34</f>
        <v>0</v>
      </c>
      <c r="AW34" s="191">
        <f>'Functional Levels Drone Survey'!AW34-'Existing Levels Drone Survey'!AW34</f>
        <v>0</v>
      </c>
      <c r="AX34" s="191">
        <f>'Functional Levels Drone Survey'!AX34-'Existing Levels Drone Survey'!AX34</f>
        <v>0</v>
      </c>
      <c r="AY34" s="191">
        <f>'Functional Levels Drone Survey'!AY34-'Existing Levels Drone Survey'!AY34</f>
        <v>0</v>
      </c>
      <c r="AZ34" s="191">
        <f>'Functional Levels Drone Survey'!AZ34-'Existing Levels Drone Survey'!AZ34</f>
        <v>0</v>
      </c>
      <c r="BA34" s="278">
        <f>'Functional Levels Drone Survey'!BA34-'Existing Levels Drone Survey'!BA34</f>
        <v>-0.34346000000005006</v>
      </c>
      <c r="BB34" s="279">
        <f>'Functional Levels Drone Survey'!BB34-'Existing Levels Drone Survey'!BB34</f>
        <v>-0.21366000000006125</v>
      </c>
      <c r="BC34" s="191">
        <f>'Functional Levels Drone Survey'!BC34-'Existing Levels Drone Survey'!BC34</f>
        <v>-0.13306000000005724</v>
      </c>
      <c r="BD34" s="191">
        <f>'Functional Levels Drone Survey'!BD34-'Existing Levels Drone Survey'!BD34</f>
        <v>-0.18756000000001904</v>
      </c>
      <c r="BE34" s="191">
        <f>'Functional Levels Drone Survey'!BE34-'Existing Levels Drone Survey'!BE34</f>
        <v>-0.11566000000004806</v>
      </c>
      <c r="BF34" s="191">
        <f>'Functional Levels Drone Survey'!BF34-'Existing Levels Drone Survey'!BF34</f>
        <v>-0.10506000000003723</v>
      </c>
      <c r="BG34" s="191">
        <f>'Functional Levels Drone Survey'!BG34-'Existing Levels Drone Survey'!BG34</f>
        <v>-6.0060000000021319E-2</v>
      </c>
      <c r="BH34" s="191">
        <f>'Functional Levels Drone Survey'!BH34-'Existing Levels Drone Survey'!BH34</f>
        <v>5.7239999999978863E-2</v>
      </c>
      <c r="BI34" s="191">
        <f>'Functional Levels Drone Survey'!BI34-'Existing Levels Drone Survey'!BI34</f>
        <v>-0.10096000000004324</v>
      </c>
      <c r="BJ34" s="191">
        <f>'Functional Levels Drone Survey'!BJ34-'Existing Levels Drone Survey'!BJ34</f>
        <v>-0.24116000000003623</v>
      </c>
      <c r="BK34" s="191">
        <f>'Functional Levels Drone Survey'!BK34-'Existing Levels Drone Survey'!BK34</f>
        <v>-3.2160000000033051E-2</v>
      </c>
      <c r="BL34" s="191">
        <f>'Functional Levels Drone Survey'!BL34-'Existing Levels Drone Survey'!BL34</f>
        <v>-1.8560000000036325E-2</v>
      </c>
      <c r="BM34" s="191">
        <f>'Functional Levels Drone Survey'!BM34-'Existing Levels Drone Survey'!BM34</f>
        <v>-1.056000000005497E-2</v>
      </c>
      <c r="BN34" s="191">
        <f>'Functional Levels Drone Survey'!BN34-'Existing Levels Drone Survey'!BN34</f>
        <v>-0.10146000000003141</v>
      </c>
      <c r="BO34" s="191">
        <f>'Functional Levels Drone Survey'!BO34-'Existing Levels Drone Survey'!BO34</f>
        <v>5.4539999999974498E-2</v>
      </c>
      <c r="BP34" s="191">
        <f>'Functional Levels Drone Survey'!BP34-'Existing Levels Drone Survey'!BP34</f>
        <v>0.1171399999999494</v>
      </c>
      <c r="BQ34" s="191">
        <f>'Functional Levels Drone Survey'!BQ34-'Existing Levels Drone Survey'!BQ34</f>
        <v>0.12083999999998696</v>
      </c>
      <c r="BR34" s="191">
        <f>'Functional Levels Drone Survey'!BR34-'Existing Levels Drone Survey'!BR34</f>
        <v>-5.6460000000015498E-2</v>
      </c>
      <c r="BS34" s="191">
        <f>'Functional Levels Drone Survey'!BS34-'Existing Levels Drone Survey'!BS34</f>
        <v>4.0039999999976317E-2</v>
      </c>
      <c r="BT34" s="191">
        <f>'Functional Levels Drone Survey'!BT34-'Existing Levels Drone Survey'!BT34</f>
        <v>0.20413999999993848</v>
      </c>
      <c r="BU34" s="279">
        <f>'Functional Levels Drone Survey'!BU34-'Existing Levels Drone Survey'!BU34</f>
        <v>0.2824399999999514</v>
      </c>
      <c r="BV34" s="191">
        <f>'Functional Levels Drone Survey'!BV34-'Existing Levels Drone Survey'!BV34</f>
        <v>0.12330000000002883</v>
      </c>
      <c r="BW34" s="279">
        <f>'Functional Levels Drone Survey'!BW34-'Existing Levels Drone Survey'!BW34</f>
        <v>0.140199999999993</v>
      </c>
      <c r="BX34" s="191">
        <f>'Functional Levels Drone Survey'!BX34-'Existing Levels Drone Survey'!BX34</f>
        <v>0.11379999999996926</v>
      </c>
      <c r="BY34" s="191">
        <f>'Functional Levels Drone Survey'!BY34-'Existing Levels Drone Survey'!BY34</f>
        <v>0.28679999999997108</v>
      </c>
      <c r="BZ34" s="191">
        <f>'Functional Levels Drone Survey'!BZ34-'Existing Levels Drone Survey'!BZ34</f>
        <v>0.2156999999999698</v>
      </c>
      <c r="CA34" s="191">
        <f>'Functional Levels Drone Survey'!CA34-'Existing Levels Drone Survey'!CA34</f>
        <v>0.14299999999997226</v>
      </c>
      <c r="CB34" s="191">
        <f>'Functional Levels Drone Survey'!CB34-'Existing Levels Drone Survey'!CB34</f>
        <v>0.21240000000000236</v>
      </c>
      <c r="CC34" s="191">
        <f>'Functional Levels Drone Survey'!CC34-'Existing Levels Drone Survey'!CC34</f>
        <v>1.439999999996644E-2</v>
      </c>
      <c r="CD34" s="191">
        <f>'Functional Levels Drone Survey'!CD34-'Existing Levels Drone Survey'!CD34</f>
        <v>4.1699999999991633E-2</v>
      </c>
      <c r="CE34" s="191">
        <f>'Functional Levels Drone Survey'!CE34-'Existing Levels Drone Survey'!CE34</f>
        <v>0.25040000000001328</v>
      </c>
      <c r="CF34" s="191">
        <f>'Functional Levels Drone Survey'!CF34-'Existing Levels Drone Survey'!CF34</f>
        <v>0.21850000000000591</v>
      </c>
      <c r="CG34" s="191">
        <f>'Functional Levels Drone Survey'!CG34-'Existing Levels Drone Survey'!CG34</f>
        <v>8.7299999999970623E-2</v>
      </c>
      <c r="CH34" s="191">
        <f>'Functional Levels Drone Survey'!CH34-'Existing Levels Drone Survey'!CH34</f>
        <v>0.23559999999997672</v>
      </c>
      <c r="CI34" s="191">
        <f>'Functional Levels Drone Survey'!CI34-'Existing Levels Drone Survey'!CI34</f>
        <v>0.4053000000000111</v>
      </c>
      <c r="CJ34" s="191">
        <f>'Functional Levels Drone Survey'!CJ34-'Existing Levels Drone Survey'!CJ34</f>
        <v>0.35919999999998709</v>
      </c>
      <c r="CK34" s="191">
        <f>'Functional Levels Drone Survey'!CK34-'Existing Levels Drone Survey'!CK34</f>
        <v>0.33799999999996544</v>
      </c>
      <c r="CL34" s="191">
        <f>'Functional Levels Drone Survey'!CL34-'Existing Levels Drone Survey'!CL34</f>
        <v>0.37329999999997199</v>
      </c>
      <c r="CM34" s="191">
        <f>'Functional Levels Drone Survey'!CM34-'Existing Levels Drone Survey'!CM34</f>
        <v>0.37309999999996535</v>
      </c>
      <c r="CN34" s="279">
        <f>'Functional Levels Drone Survey'!CN34-'Existing Levels Drone Survey'!CN34</f>
        <v>0.56939999999997326</v>
      </c>
      <c r="CO34" s="191">
        <f>'Functional Levels Drone Survey'!CO34-'Existing Levels Drone Survey'!CO34</f>
        <v>-0.14213333333339051</v>
      </c>
      <c r="CP34" s="191">
        <f>'Functional Levels Drone Survey'!CP34-'Existing Levels Drone Survey'!CP34</f>
        <v>-0.26143333333340024</v>
      </c>
      <c r="CQ34" s="279">
        <f>'Functional Levels Drone Survey'!CQ34-'Existing Levels Drone Survey'!CQ34</f>
        <v>-0.25163333333335913</v>
      </c>
      <c r="CR34" s="191">
        <f>'Functional Levels Drone Survey'!CR34-'Existing Levels Drone Survey'!CR34</f>
        <v>-0.1836333333333755</v>
      </c>
      <c r="CS34" s="191">
        <f>'Functional Levels Drone Survey'!CS34-'Existing Levels Drone Survey'!CS34</f>
        <v>-0.16423333333335677</v>
      </c>
      <c r="CT34" s="191">
        <f>'Functional Levels Drone Survey'!CT34-'Existing Levels Drone Survey'!CT34</f>
        <v>-2.9033333333359224E-2</v>
      </c>
      <c r="CU34" s="191">
        <f>'Functional Levels Drone Survey'!CU34-'Existing Levels Drone Survey'!CU34</f>
        <v>0.1236666666666224</v>
      </c>
      <c r="CV34" s="191">
        <f>'Functional Levels Drone Survey'!CV34-'Existing Levels Drone Survey'!CV34</f>
        <v>0.30316666666664105</v>
      </c>
      <c r="CW34" s="191">
        <f>'Functional Levels Drone Survey'!CW34-'Existing Levels Drone Survey'!CW34</f>
        <v>5.5866666666645415E-2</v>
      </c>
      <c r="CX34" s="191">
        <f>'Functional Levels Drone Survey'!CX34-'Existing Levels Drone Survey'!CX34</f>
        <v>-3.333333333335986E-2</v>
      </c>
      <c r="CY34" s="191">
        <f>'Functional Levels Drone Survey'!CY34-'Existing Levels Drone Survey'!CY34</f>
        <v>0.13366666666661331</v>
      </c>
      <c r="CZ34" s="191">
        <f>'Functional Levels Drone Survey'!CZ34-'Existing Levels Drone Survey'!CZ34</f>
        <v>0.14446666666663077</v>
      </c>
      <c r="DA34" s="191">
        <f>'Functional Levels Drone Survey'!DA34-'Existing Levels Drone Survey'!DA34</f>
        <v>0.1347666666666214</v>
      </c>
      <c r="DB34" s="191">
        <f>'Functional Levels Drone Survey'!DB34-'Existing Levels Drone Survey'!DB34</f>
        <v>0.14776666666659821</v>
      </c>
      <c r="DC34" s="191">
        <f>'Functional Levels Drone Survey'!DC34-'Existing Levels Drone Survey'!DC34</f>
        <v>2.6966666666623951E-2</v>
      </c>
      <c r="DD34" s="191">
        <f>'Functional Levels Drone Survey'!DD34-'Existing Levels Drone Survey'!DD34</f>
        <v>0.19126666666659276</v>
      </c>
      <c r="DE34" s="191">
        <f>'Functional Levels Drone Survey'!DE34-'Existing Levels Drone Survey'!DE34</f>
        <v>0.29926666666659685</v>
      </c>
      <c r="DF34" s="191">
        <f>'Functional Levels Drone Survey'!DF34-'Existing Levels Drone Survey'!DF34</f>
        <v>0.39196666666663305</v>
      </c>
      <c r="DG34" s="191">
        <f>'Functional Levels Drone Survey'!DG34-'Existing Levels Drone Survey'!DG34</f>
        <v>0.3223666666665963</v>
      </c>
      <c r="DH34" s="279">
        <f>'Functional Levels Drone Survey'!DH34-'Existing Levels Drone Survey'!DH34</f>
        <v>0.36936666666662177</v>
      </c>
      <c r="DI34" s="191">
        <f>'Functional Levels Drone Survey'!DI34-'Existing Levels Drone Survey'!DI34</f>
        <v>0.14686666666659676</v>
      </c>
      <c r="DJ34" s="279">
        <f>'Functional Levels Drone Survey'!DJ34-'Existing Levels Drone Survey'!DJ34</f>
        <v>0.22522222222227128</v>
      </c>
      <c r="DK34" s="191">
        <f>'Functional Levels Drone Survey'!DK34-'Existing Levels Drone Survey'!DK34</f>
        <v>0.30982222222223754</v>
      </c>
      <c r="DL34" s="191">
        <f>'Functional Levels Drone Survey'!DL34-'Existing Levels Drone Survey'!DL34</f>
        <v>0.4981222222222641</v>
      </c>
      <c r="DM34" s="191">
        <f>'Functional Levels Drone Survey'!DM34-'Existing Levels Drone Survey'!DM34</f>
        <v>0.33332222222225028</v>
      </c>
      <c r="DN34" s="191">
        <f>'Functional Levels Drone Survey'!DN34-'Existing Levels Drone Survey'!DN34</f>
        <v>0.4215222222222792</v>
      </c>
      <c r="DO34" s="191">
        <f>'Functional Levels Drone Survey'!DO34-'Existing Levels Drone Survey'!DO34</f>
        <v>0.5263222222222339</v>
      </c>
      <c r="DP34" s="191">
        <f>'Functional Levels Drone Survey'!DP34-'Existing Levels Drone Survey'!DP34</f>
        <v>0.28342222222227065</v>
      </c>
      <c r="DQ34" s="191">
        <f>'Functional Levels Drone Survey'!DQ34-'Existing Levels Drone Survey'!DQ34</f>
        <v>0.34842222222226837</v>
      </c>
      <c r="DR34" s="191">
        <f>'Functional Levels Drone Survey'!DR34-'Existing Levels Drone Survey'!DR34</f>
        <v>0.25322222222223445</v>
      </c>
      <c r="DS34" s="191">
        <f>'Functional Levels Drone Survey'!DS34-'Existing Levels Drone Survey'!DS34</f>
        <v>0.62462222222222863</v>
      </c>
      <c r="DT34" s="191">
        <f>'Functional Levels Drone Survey'!DT34-'Existing Levels Drone Survey'!DT34</f>
        <v>0.16002222222226692</v>
      </c>
      <c r="DU34" s="191">
        <f>'Functional Levels Drone Survey'!DU34-'Existing Levels Drone Survey'!DU34</f>
        <v>0.18682222222224709</v>
      </c>
      <c r="DV34" s="191">
        <f>'Functional Levels Drone Survey'!DV34-'Existing Levels Drone Survey'!DV34</f>
        <v>0.18352222222222281</v>
      </c>
      <c r="DW34" s="191">
        <f>'Functional Levels Drone Survey'!DW34-'Existing Levels Drone Survey'!DW34</f>
        <v>0.29812222222227547</v>
      </c>
      <c r="DX34" s="191">
        <f>'Functional Levels Drone Survey'!DX34-'Existing Levels Drone Survey'!DX34</f>
        <v>0.55642222222223836</v>
      </c>
      <c r="DY34" s="191">
        <f>'Functional Levels Drone Survey'!DY34-'Existing Levels Drone Survey'!DY34</f>
        <v>0.54602222222223418</v>
      </c>
      <c r="DZ34" s="191">
        <f>'Functional Levels Drone Survey'!DZ34-'Existing Levels Drone Survey'!DZ34</f>
        <v>0.62952222222224918</v>
      </c>
      <c r="EA34" s="279">
        <f>'Functional Levels Drone Survey'!EA34-'Existing Levels Drone Survey'!EA34</f>
        <v>0.54082222222223209</v>
      </c>
      <c r="EB34" s="191">
        <f>'Functional Levels Drone Survey'!EB34-'Existing Levels Drone Survey'!EB34</f>
        <v>0.16196315789471782</v>
      </c>
      <c r="EC34" s="279">
        <f>'Functional Levels Drone Survey'!EC34-'Existing Levels Drone Survey'!EC34</f>
        <v>0.312563157894715</v>
      </c>
      <c r="ED34" s="191">
        <f>'Functional Levels Drone Survey'!ED34-'Existing Levels Drone Survey'!ED34</f>
        <v>0.32316315789472583</v>
      </c>
      <c r="EE34" s="191">
        <f>'Functional Levels Drone Survey'!EE34-'Existing Levels Drone Survey'!EE34</f>
        <v>0.38066315789473038</v>
      </c>
      <c r="EF34" s="191">
        <f>'Functional Levels Drone Survey'!EF34-'Existing Levels Drone Survey'!EF34</f>
        <v>0.2592631578947362</v>
      </c>
      <c r="EG34" s="191">
        <f>'Functional Levels Drone Survey'!EG34-'Existing Levels Drone Survey'!EG34</f>
        <v>0.20476315789471755</v>
      </c>
      <c r="EH34" s="191">
        <f>'Functional Levels Drone Survey'!EH34-'Existing Levels Drone Survey'!EH34</f>
        <v>0.13066315789473038</v>
      </c>
      <c r="EI34" s="191">
        <f>'Functional Levels Drone Survey'!EI34-'Existing Levels Drone Survey'!EI34</f>
        <v>0.16906315789469772</v>
      </c>
      <c r="EJ34" s="191">
        <f>'Functional Levels Drone Survey'!EJ34-'Existing Levels Drone Survey'!EJ34</f>
        <v>0.27776315789469663</v>
      </c>
      <c r="EK34" s="191">
        <f>'Functional Levels Drone Survey'!EK34-'Existing Levels Drone Survey'!EK34</f>
        <v>0.45546315789471237</v>
      </c>
      <c r="EL34" s="191">
        <f>'Functional Levels Drone Survey'!EL34-'Existing Levels Drone Survey'!EL34</f>
        <v>0.47946315789471328</v>
      </c>
      <c r="EM34" s="191">
        <f>'Functional Levels Drone Survey'!EM34-'Existing Levels Drone Survey'!EM34</f>
        <v>0.50736315789470154</v>
      </c>
      <c r="EN34" s="191">
        <f>'Functional Levels Drone Survey'!EN34-'Existing Levels Drone Survey'!EN34</f>
        <v>0.56566315789473265</v>
      </c>
      <c r="EO34" s="191">
        <f>'Functional Levels Drone Survey'!EO34-'Existing Levels Drone Survey'!EO34</f>
        <v>0.48406315789469545</v>
      </c>
      <c r="EP34" s="191">
        <f>'Functional Levels Drone Survey'!EP34-'Existing Levels Drone Survey'!EP34</f>
        <v>0.44946315789474056</v>
      </c>
      <c r="EQ34" s="191">
        <f>'Functional Levels Drone Survey'!EQ34-'Existing Levels Drone Survey'!EQ34</f>
        <v>0.33696315789472919</v>
      </c>
      <c r="ER34" s="191">
        <f>'Functional Levels Drone Survey'!ER34-'Existing Levels Drone Survey'!ER34</f>
        <v>0.36076315789472346</v>
      </c>
      <c r="ES34" s="191">
        <f>'Functional Levels Drone Survey'!ES34-'Existing Levels Drone Survey'!ES34</f>
        <v>0.32806315789468954</v>
      </c>
      <c r="ET34" s="191">
        <f>'Functional Levels Drone Survey'!ET34-'Existing Levels Drone Survey'!ET34</f>
        <v>0.597063157894695</v>
      </c>
      <c r="EU34" s="279">
        <f>'Functional Levels Drone Survey'!EU34-'Existing Levels Drone Survey'!EU34</f>
        <v>0.46586315789471655</v>
      </c>
      <c r="EV34" s="191">
        <f>'Functional Levels Drone Survey'!EV34-'Existing Levels Drone Survey'!EV34</f>
        <v>0.50846315789470964</v>
      </c>
      <c r="EW34" s="191">
        <f>'Functional Levels Drone Survey'!EW34-'Existing Levels Drone Survey'!EW34</f>
        <v>0.56796315789466689</v>
      </c>
      <c r="EX34" s="278">
        <f>'Functional Levels Drone Survey'!EX34-'Existing Levels Drone Survey'!EX34</f>
        <v>0</v>
      </c>
      <c r="EY34" s="191">
        <f>'Functional Levels Drone Survey'!EY34-'Existing Levels Drone Survey'!EY34</f>
        <v>0</v>
      </c>
    </row>
    <row r="35" spans="1:155" ht="45" customHeight="1" x14ac:dyDescent="0.45">
      <c r="A35" s="277">
        <v>170</v>
      </c>
      <c r="B35" s="191">
        <f>'Functional Levels Drone Survey'!B35-'Existing Levels Drone Survey'!B35</f>
        <v>0</v>
      </c>
      <c r="C35" s="191">
        <f>'Functional Levels Drone Survey'!C35-'Existing Levels Drone Survey'!C35</f>
        <v>0</v>
      </c>
      <c r="D35" s="191">
        <f>'Functional Levels Drone Survey'!D35-'Existing Levels Drone Survey'!D35</f>
        <v>0</v>
      </c>
      <c r="E35" s="191">
        <f>'Functional Levels Drone Survey'!E35-'Existing Levels Drone Survey'!E35</f>
        <v>0</v>
      </c>
      <c r="F35" s="191">
        <f>'Functional Levels Drone Survey'!F35-'Existing Levels Drone Survey'!F35</f>
        <v>0</v>
      </c>
      <c r="G35" s="191">
        <f>'Functional Levels Drone Survey'!G35-'Existing Levels Drone Survey'!G35</f>
        <v>0</v>
      </c>
      <c r="H35" s="191">
        <f>'Functional Levels Drone Survey'!H35-'Existing Levels Drone Survey'!H35</f>
        <v>0</v>
      </c>
      <c r="I35" s="191">
        <f>'Functional Levels Drone Survey'!I35-'Existing Levels Drone Survey'!I35</f>
        <v>0</v>
      </c>
      <c r="J35" s="191">
        <f>'Functional Levels Drone Survey'!J35-'Existing Levels Drone Survey'!J35</f>
        <v>0</v>
      </c>
      <c r="K35" s="191">
        <f>'Functional Levels Drone Survey'!K35-'Existing Levels Drone Survey'!K35</f>
        <v>0</v>
      </c>
      <c r="L35" s="191">
        <f>'Functional Levels Drone Survey'!L35-'Existing Levels Drone Survey'!L35</f>
        <v>0</v>
      </c>
      <c r="M35" s="191">
        <f>'Functional Levels Drone Survey'!M35-'Existing Levels Drone Survey'!M35</f>
        <v>0</v>
      </c>
      <c r="N35" s="191">
        <f>'Functional Levels Drone Survey'!N35-'Existing Levels Drone Survey'!N35</f>
        <v>0</v>
      </c>
      <c r="O35" s="191">
        <f>'Functional Levels Drone Survey'!O35-'Existing Levels Drone Survey'!O35</f>
        <v>0</v>
      </c>
      <c r="P35" s="191">
        <f>'Functional Levels Drone Survey'!P35-'Existing Levels Drone Survey'!P35</f>
        <v>0</v>
      </c>
      <c r="Q35" s="191">
        <f>'Functional Levels Drone Survey'!Q35-'Existing Levels Drone Survey'!Q35</f>
        <v>0</v>
      </c>
      <c r="R35" s="191">
        <f>'Functional Levels Drone Survey'!R35-'Existing Levels Drone Survey'!R35</f>
        <v>0</v>
      </c>
      <c r="S35" s="191">
        <f>'Functional Levels Drone Survey'!S35-'Existing Levels Drone Survey'!S35</f>
        <v>0</v>
      </c>
      <c r="T35" s="191">
        <f>'Functional Levels Drone Survey'!T35-'Existing Levels Drone Survey'!T35</f>
        <v>0</v>
      </c>
      <c r="U35" s="191">
        <f>'Functional Levels Drone Survey'!U35-'Existing Levels Drone Survey'!U35</f>
        <v>0</v>
      </c>
      <c r="V35" s="191">
        <f>'Functional Levels Drone Survey'!V35-'Existing Levels Drone Survey'!V35</f>
        <v>0</v>
      </c>
      <c r="W35" s="191">
        <f>'Functional Levels Drone Survey'!W35-'Existing Levels Drone Survey'!W35</f>
        <v>0</v>
      </c>
      <c r="X35" s="191">
        <f>'Functional Levels Drone Survey'!X35-'Existing Levels Drone Survey'!X35</f>
        <v>0</v>
      </c>
      <c r="Y35" s="191">
        <f>'Functional Levels Drone Survey'!Y35-'Existing Levels Drone Survey'!Y35</f>
        <v>0</v>
      </c>
      <c r="Z35" s="191">
        <f>'Functional Levels Drone Survey'!Z35-'Existing Levels Drone Survey'!Z35</f>
        <v>0</v>
      </c>
      <c r="AA35" s="191">
        <f>'Functional Levels Drone Survey'!AA35-'Existing Levels Drone Survey'!AA35</f>
        <v>0</v>
      </c>
      <c r="AB35" s="191">
        <f>'Functional Levels Drone Survey'!AB35-'Existing Levels Drone Survey'!AB35</f>
        <v>0</v>
      </c>
      <c r="AC35" s="191">
        <f>'Functional Levels Drone Survey'!AC35-'Existing Levels Drone Survey'!AC35</f>
        <v>0</v>
      </c>
      <c r="AD35" s="191">
        <f>'Functional Levels Drone Survey'!AD35-'Existing Levels Drone Survey'!AD35</f>
        <v>0</v>
      </c>
      <c r="AE35" s="191">
        <f>'Functional Levels Drone Survey'!AE35-'Existing Levels Drone Survey'!AE35</f>
        <v>0</v>
      </c>
      <c r="AF35" s="191">
        <f>'Functional Levels Drone Survey'!AF35-'Existing Levels Drone Survey'!AF35</f>
        <v>0</v>
      </c>
      <c r="AG35" s="191">
        <f>'Functional Levels Drone Survey'!AG35-'Existing Levels Drone Survey'!AG35</f>
        <v>0</v>
      </c>
      <c r="AH35" s="191">
        <f>'Functional Levels Drone Survey'!AH35-'Existing Levels Drone Survey'!AH35</f>
        <v>0</v>
      </c>
      <c r="AI35" s="191">
        <f>'Functional Levels Drone Survey'!AI35-'Existing Levels Drone Survey'!AI35</f>
        <v>0</v>
      </c>
      <c r="AJ35" s="191">
        <f>'Functional Levels Drone Survey'!AJ35-'Existing Levels Drone Survey'!AJ35</f>
        <v>0</v>
      </c>
      <c r="AK35" s="191">
        <f>'Functional Levels Drone Survey'!AK35-'Existing Levels Drone Survey'!AK35</f>
        <v>0</v>
      </c>
      <c r="AL35" s="191">
        <f>'Functional Levels Drone Survey'!AL35-'Existing Levels Drone Survey'!AL35</f>
        <v>0</v>
      </c>
      <c r="AM35" s="191">
        <f>'Functional Levels Drone Survey'!AM35-'Existing Levels Drone Survey'!AM35</f>
        <v>0</v>
      </c>
      <c r="AN35" s="191">
        <f>'Functional Levels Drone Survey'!AN35-'Existing Levels Drone Survey'!AN35</f>
        <v>0</v>
      </c>
      <c r="AO35" s="191">
        <f>'Functional Levels Drone Survey'!AO35-'Existing Levels Drone Survey'!AO35</f>
        <v>0</v>
      </c>
      <c r="AP35" s="191">
        <f>'Functional Levels Drone Survey'!AP35-'Existing Levels Drone Survey'!AP35</f>
        <v>0</v>
      </c>
      <c r="AQ35" s="191">
        <f>'Functional Levels Drone Survey'!AQ35-'Existing Levels Drone Survey'!AQ35</f>
        <v>0</v>
      </c>
      <c r="AR35" s="191">
        <f>'Functional Levels Drone Survey'!AR35-'Existing Levels Drone Survey'!AR35</f>
        <v>0</v>
      </c>
      <c r="AS35" s="191">
        <f>'Functional Levels Drone Survey'!AS35-'Existing Levels Drone Survey'!AS35</f>
        <v>0</v>
      </c>
      <c r="AT35" s="191">
        <f>'Functional Levels Drone Survey'!AT35-'Existing Levels Drone Survey'!AT35</f>
        <v>0</v>
      </c>
      <c r="AU35" s="191">
        <f>'Functional Levels Drone Survey'!AU35-'Existing Levels Drone Survey'!AU35</f>
        <v>0</v>
      </c>
      <c r="AV35" s="191">
        <f>'Functional Levels Drone Survey'!AV35-'Existing Levels Drone Survey'!AV35</f>
        <v>0</v>
      </c>
      <c r="AW35" s="191">
        <f>'Functional Levels Drone Survey'!AW35-'Existing Levels Drone Survey'!AW35</f>
        <v>0</v>
      </c>
      <c r="AX35" s="191">
        <f>'Functional Levels Drone Survey'!AX35-'Existing Levels Drone Survey'!AX35</f>
        <v>0</v>
      </c>
      <c r="AY35" s="191">
        <f>'Functional Levels Drone Survey'!AY35-'Existing Levels Drone Survey'!AY35</f>
        <v>0</v>
      </c>
      <c r="AZ35" s="191">
        <f>'Functional Levels Drone Survey'!AZ35-'Existing Levels Drone Survey'!AZ35</f>
        <v>0</v>
      </c>
      <c r="BA35" s="278">
        <f>'Functional Levels Drone Survey'!BA35-'Existing Levels Drone Survey'!BA35</f>
        <v>-0.15636000000006334</v>
      </c>
      <c r="BB35" s="279">
        <f>'Functional Levels Drone Survey'!BB35-'Existing Levels Drone Survey'!BB35</f>
        <v>-0.23226000000005342</v>
      </c>
      <c r="BC35" s="191">
        <f>'Functional Levels Drone Survey'!BC35-'Existing Levels Drone Survey'!BC35</f>
        <v>-0.16476000000005797</v>
      </c>
      <c r="BD35" s="191">
        <f>'Functional Levels Drone Survey'!BD35-'Existing Levels Drone Survey'!BD35</f>
        <v>-0.29856000000006588</v>
      </c>
      <c r="BE35" s="191">
        <f>'Functional Levels Drone Survey'!BE35-'Existing Levels Drone Survey'!BE35</f>
        <v>-0.12156000000004497</v>
      </c>
      <c r="BF35" s="191">
        <f>'Functional Levels Drone Survey'!BF35-'Existing Levels Drone Survey'!BF35</f>
        <v>-0.13956000000007407</v>
      </c>
      <c r="BG35" s="191">
        <f>'Functional Levels Drone Survey'!BG35-'Existing Levels Drone Survey'!BG35</f>
        <v>-8.0760000000054788E-2</v>
      </c>
      <c r="BH35" s="191">
        <f>'Functional Levels Drone Survey'!BH35-'Existing Levels Drone Survey'!BH35</f>
        <v>-5.3560000000061336E-2</v>
      </c>
      <c r="BI35" s="191">
        <f>'Functional Levels Drone Survey'!BI35-'Existing Levels Drone Survey'!BI35</f>
        <v>-5.6660000000078981E-2</v>
      </c>
      <c r="BJ35" s="191">
        <f>'Functional Levels Drone Survey'!BJ35-'Existing Levels Drone Survey'!BJ35</f>
        <v>-0.34026000000005752</v>
      </c>
      <c r="BK35" s="191">
        <f>'Functional Levels Drone Survey'!BK35-'Existing Levels Drone Survey'!BK35</f>
        <v>3.7439999999946849E-2</v>
      </c>
      <c r="BL35" s="191">
        <f>'Functional Levels Drone Survey'!BL35-'Existing Levels Drone Survey'!BL35</f>
        <v>-9.6560000000067703E-2</v>
      </c>
      <c r="BM35" s="191">
        <f>'Functional Levels Drone Survey'!BM35-'Existing Levels Drone Survey'!BM35</f>
        <v>-0.12046000000003687</v>
      </c>
      <c r="BN35" s="191">
        <f>'Functional Levels Drone Survey'!BN35-'Existing Levels Drone Survey'!BN35</f>
        <v>-8.2960000000070977E-2</v>
      </c>
      <c r="BO35" s="191">
        <f>'Functional Levels Drone Survey'!BO35-'Existing Levels Drone Survey'!BO35</f>
        <v>5.4539999999974498E-2</v>
      </c>
      <c r="BP35" s="191">
        <f>'Functional Levels Drone Survey'!BP35-'Existing Levels Drone Survey'!BP35</f>
        <v>7.7139999999928932E-2</v>
      </c>
      <c r="BQ35" s="191">
        <f>'Functional Levels Drone Survey'!BQ35-'Existing Levels Drone Survey'!BQ35</f>
        <v>0.21813999999994849</v>
      </c>
      <c r="BR35" s="191">
        <f>'Functional Levels Drone Survey'!BR35-'Existing Levels Drone Survey'!BR35</f>
        <v>6.4439999999933661E-2</v>
      </c>
      <c r="BS35" s="191">
        <f>'Functional Levels Drone Survey'!BS35-'Existing Levels Drone Survey'!BS35</f>
        <v>-1.6560000000026776E-2</v>
      </c>
      <c r="BT35" s="191">
        <f>'Functional Levels Drone Survey'!BT35-'Existing Levels Drone Survey'!BT35</f>
        <v>-2.6600000000485124E-3</v>
      </c>
      <c r="BU35" s="279">
        <f>'Functional Levels Drone Survey'!BU35-'Existing Levels Drone Survey'!BU35</f>
        <v>0.16593999999992093</v>
      </c>
      <c r="BV35" s="191">
        <f>'Functional Levels Drone Survey'!BV35-'Existing Levels Drone Survey'!BV35</f>
        <v>9.590000000002874E-2</v>
      </c>
      <c r="BW35" s="279">
        <f>'Functional Levels Drone Survey'!BW35-'Existing Levels Drone Survey'!BW35</f>
        <v>0.14670000000000982</v>
      </c>
      <c r="BX35" s="191">
        <f>'Functional Levels Drone Survey'!BX35-'Existing Levels Drone Survey'!BX35</f>
        <v>0.26929999999998699</v>
      </c>
      <c r="BY35" s="191">
        <f>'Functional Levels Drone Survey'!BY35-'Existing Levels Drone Survey'!BY35</f>
        <v>0.202699999999993</v>
      </c>
      <c r="BZ35" s="191">
        <f>'Functional Levels Drone Survey'!BZ35-'Existing Levels Drone Survey'!BZ35</f>
        <v>0.28729999999995925</v>
      </c>
      <c r="CA35" s="191">
        <f>'Functional Levels Drone Survey'!CA35-'Existing Levels Drone Survey'!CA35</f>
        <v>0.12959999999998217</v>
      </c>
      <c r="CB35" s="191">
        <f>'Functional Levels Drone Survey'!CB35-'Existing Levels Drone Survey'!CB35</f>
        <v>0.31939999999997326</v>
      </c>
      <c r="CC35" s="191">
        <f>'Functional Levels Drone Survey'!CC35-'Existing Levels Drone Survey'!CC35</f>
        <v>-5.4000000000087311E-3</v>
      </c>
      <c r="CD35" s="191">
        <f>'Functional Levels Drone Survey'!CD35-'Existing Levels Drone Survey'!CD35</f>
        <v>0.18469999999996389</v>
      </c>
      <c r="CE35" s="191">
        <f>'Functional Levels Drone Survey'!CE35-'Existing Levels Drone Survey'!CE35</f>
        <v>0.13929999999999154</v>
      </c>
      <c r="CF35" s="191">
        <f>'Functional Levels Drone Survey'!CF35-'Existing Levels Drone Survey'!CF35</f>
        <v>2.4399999999957345E-2</v>
      </c>
      <c r="CG35" s="191">
        <f>'Functional Levels Drone Survey'!CG35-'Existing Levels Drone Survey'!CG35</f>
        <v>-5.3500000000042292E-2</v>
      </c>
      <c r="CH35" s="191">
        <f>'Functional Levels Drone Survey'!CH35-'Existing Levels Drone Survey'!CH35</f>
        <v>0.25790000000000646</v>
      </c>
      <c r="CI35" s="191">
        <f>'Functional Levels Drone Survey'!CI35-'Existing Levels Drone Survey'!CI35</f>
        <v>0.16219999999998436</v>
      </c>
      <c r="CJ35" s="191">
        <f>'Functional Levels Drone Survey'!CJ35-'Existing Levels Drone Survey'!CJ35</f>
        <v>0.15519999999997935</v>
      </c>
      <c r="CK35" s="191">
        <f>'Functional Levels Drone Survey'!CK35-'Existing Levels Drone Survey'!CK35</f>
        <v>0.33459999999996626</v>
      </c>
      <c r="CL35" s="191">
        <f>'Functional Levels Drone Survey'!CL35-'Existing Levels Drone Survey'!CL35</f>
        <v>0.48809999999997444</v>
      </c>
      <c r="CM35" s="191">
        <f>'Functional Levels Drone Survey'!CM35-'Existing Levels Drone Survey'!CM35</f>
        <v>4.050000000000864E-2</v>
      </c>
      <c r="CN35" s="279">
        <f>'Functional Levels Drone Survey'!CN35-'Existing Levels Drone Survey'!CN35</f>
        <v>-8.9800000000025193E-2</v>
      </c>
      <c r="CO35" s="191">
        <f>'Functional Levels Drone Survey'!CO35-'Existing Levels Drone Survey'!CO35</f>
        <v>-0.23333333333340533</v>
      </c>
      <c r="CP35" s="191">
        <f>'Functional Levels Drone Survey'!CP35-'Existing Levels Drone Survey'!CP35</f>
        <v>-0.23283333333341716</v>
      </c>
      <c r="CQ35" s="279">
        <f>'Functional Levels Drone Survey'!CQ35-'Existing Levels Drone Survey'!CQ35</f>
        <v>-0.3168333333333635</v>
      </c>
      <c r="CR35" s="191">
        <f>'Functional Levels Drone Survey'!CR35-'Existing Levels Drone Survey'!CR35</f>
        <v>-0.2239333333333775</v>
      </c>
      <c r="CS35" s="191">
        <f>'Functional Levels Drone Survey'!CS35-'Existing Levels Drone Survey'!CS35</f>
        <v>-0.20463333333339051</v>
      </c>
      <c r="CT35" s="191">
        <f>'Functional Levels Drone Survey'!CT35-'Existing Levels Drone Survey'!CT35</f>
        <v>4.4866666666621313E-2</v>
      </c>
      <c r="CU35" s="191">
        <f>'Functional Levels Drone Survey'!CU35-'Existing Levels Drone Survey'!CU35</f>
        <v>9.2666666666332276E-3</v>
      </c>
      <c r="CV35" s="191">
        <f>'Functional Levels Drone Survey'!CV35-'Existing Levels Drone Survey'!CV35</f>
        <v>0.1067666666666014</v>
      </c>
      <c r="CW35" s="191">
        <f>'Functional Levels Drone Survey'!CW35-'Existing Levels Drone Survey'!CW35</f>
        <v>4.6266666666610945E-2</v>
      </c>
      <c r="CX35" s="191">
        <f>'Functional Levels Drone Survey'!CX35-'Existing Levels Drone Survey'!CX35</f>
        <v>-4.4133333333377323E-2</v>
      </c>
      <c r="CY35" s="191">
        <f>'Functional Levels Drone Survey'!CY35-'Existing Levels Drone Survey'!CY35</f>
        <v>6.3766666666595029E-2</v>
      </c>
      <c r="CZ35" s="191">
        <f>'Functional Levels Drone Survey'!CZ35-'Existing Levels Drone Survey'!CZ35</f>
        <v>2.7966666666600304E-2</v>
      </c>
      <c r="DA35" s="191">
        <f>'Functional Levels Drone Survey'!DA35-'Existing Levels Drone Survey'!DA35</f>
        <v>3.4966666666605306E-2</v>
      </c>
      <c r="DB35" s="191">
        <f>'Functional Levels Drone Survey'!DB35-'Existing Levels Drone Survey'!DB35</f>
        <v>4.9866666666616766E-2</v>
      </c>
      <c r="DC35" s="191">
        <f>'Functional Levels Drone Survey'!DC35-'Existing Levels Drone Survey'!DC35</f>
        <v>9.2566666666584752E-2</v>
      </c>
      <c r="DD35" s="191">
        <f>'Functional Levels Drone Survey'!DD35-'Existing Levels Drone Survey'!DD35</f>
        <v>0.36336666666659312</v>
      </c>
      <c r="DE35" s="191">
        <f>'Functional Levels Drone Survey'!DE35-'Existing Levels Drone Survey'!DE35</f>
        <v>0.35426666666660367</v>
      </c>
      <c r="DF35" s="191">
        <f>'Functional Levels Drone Survey'!DF35-'Existing Levels Drone Survey'!DF35</f>
        <v>0.42436666666662859</v>
      </c>
      <c r="DG35" s="191">
        <f>'Functional Levels Drone Survey'!DG35-'Existing Levels Drone Survey'!DG35</f>
        <v>0.32876666666658139</v>
      </c>
      <c r="DH35" s="279">
        <f>'Functional Levels Drone Survey'!DH35-'Existing Levels Drone Survey'!DH35</f>
        <v>0.31216666666659876</v>
      </c>
      <c r="DI35" s="191">
        <f>'Functional Levels Drone Survey'!DI35-'Existing Levels Drone Survey'!DI35</f>
        <v>0.18306666666660476</v>
      </c>
      <c r="DJ35" s="279">
        <f>'Functional Levels Drone Survey'!DJ35-'Existing Levels Drone Survey'!DJ35</f>
        <v>0.20312222222224818</v>
      </c>
      <c r="DK35" s="191">
        <f>'Functional Levels Drone Survey'!DK35-'Existing Levels Drone Survey'!DK35</f>
        <v>0.36972222222226492</v>
      </c>
      <c r="DL35" s="191">
        <f>'Functional Levels Drone Survey'!DL35-'Existing Levels Drone Survey'!DL35</f>
        <v>0.45042222222224382</v>
      </c>
      <c r="DM35" s="191">
        <f>'Functional Levels Drone Survey'!DM35-'Existing Levels Drone Survey'!DM35</f>
        <v>0.36372222222223627</v>
      </c>
      <c r="DN35" s="191">
        <f>'Functional Levels Drone Survey'!DN35-'Existing Levels Drone Survey'!DN35</f>
        <v>0.40082222222224573</v>
      </c>
      <c r="DO35" s="191">
        <f>'Functional Levels Drone Survey'!DO35-'Existing Levels Drone Survey'!DO35</f>
        <v>0.49802222222223236</v>
      </c>
      <c r="DP35" s="191">
        <f>'Functional Levels Drone Survey'!DP35-'Existing Levels Drone Survey'!DP35</f>
        <v>0.28572222222226173</v>
      </c>
      <c r="DQ35" s="191">
        <f>'Functional Levels Drone Survey'!DQ35-'Existing Levels Drone Survey'!DQ35</f>
        <v>0.2259222222222661</v>
      </c>
      <c r="DR35" s="191">
        <f>'Functional Levels Drone Survey'!DR35-'Existing Levels Drone Survey'!DR35</f>
        <v>0.23942222222223108</v>
      </c>
      <c r="DS35" s="191">
        <f>'Functional Levels Drone Survey'!DS35-'Existing Levels Drone Survey'!DS35</f>
        <v>0.56332222222221162</v>
      </c>
      <c r="DT35" s="191">
        <f>'Functional Levels Drone Survey'!DT35-'Existing Levels Drone Survey'!DT35</f>
        <v>9.4222222222242635E-2</v>
      </c>
      <c r="DU35" s="191">
        <f>'Functional Levels Drone Survey'!DU35-'Existing Levels Drone Survey'!DU35</f>
        <v>0.1181222222222118</v>
      </c>
      <c r="DV35" s="191">
        <f>'Functional Levels Drone Survey'!DV35-'Existing Levels Drone Survey'!DV35</f>
        <v>0.10642222222224973</v>
      </c>
      <c r="DW35" s="191">
        <f>'Functional Levels Drone Survey'!DW35-'Existing Levels Drone Survey'!DW35</f>
        <v>0.29522222222226446</v>
      </c>
      <c r="DX35" s="191">
        <f>'Functional Levels Drone Survey'!DX35-'Existing Levels Drone Survey'!DX35</f>
        <v>0.28512222222224182</v>
      </c>
      <c r="DY35" s="191">
        <f>'Functional Levels Drone Survey'!DY35-'Existing Levels Drone Survey'!DY35</f>
        <v>0.41232222222225801</v>
      </c>
      <c r="DZ35" s="191">
        <f>'Functional Levels Drone Survey'!DZ35-'Existing Levels Drone Survey'!DZ35</f>
        <v>0.68072222222224354</v>
      </c>
      <c r="EA35" s="279">
        <f>'Functional Levels Drone Survey'!EA35-'Existing Levels Drone Survey'!EA35</f>
        <v>0.45872222222226355</v>
      </c>
      <c r="EB35" s="191">
        <f>'Functional Levels Drone Survey'!EB35-'Existing Levels Drone Survey'!EB35</f>
        <v>0.22326315789467799</v>
      </c>
      <c r="EC35" s="279">
        <f>'Functional Levels Drone Survey'!EC35-'Existing Levels Drone Survey'!EC35</f>
        <v>0.54546315789468736</v>
      </c>
      <c r="ED35" s="191">
        <f>'Functional Levels Drone Survey'!ED35-'Existing Levels Drone Survey'!ED35</f>
        <v>0.27606315789472546</v>
      </c>
      <c r="EE35" s="191">
        <f>'Functional Levels Drone Survey'!EE35-'Existing Levels Drone Survey'!EE35</f>
        <v>0.250063157894715</v>
      </c>
      <c r="EF35" s="191">
        <f>'Functional Levels Drone Survey'!EF35-'Existing Levels Drone Survey'!EF35</f>
        <v>0.24646315789470918</v>
      </c>
      <c r="EG35" s="191">
        <f>'Functional Levels Drone Survey'!EG35-'Existing Levels Drone Survey'!EG35</f>
        <v>0.1333631578946779</v>
      </c>
      <c r="EH35" s="191">
        <f>'Functional Levels Drone Survey'!EH35-'Existing Levels Drone Survey'!EH35</f>
        <v>5.8763157894702545E-2</v>
      </c>
      <c r="EI35" s="191">
        <f>'Functional Levels Drone Survey'!EI35-'Existing Levels Drone Survey'!EI35</f>
        <v>0.16176315789471118</v>
      </c>
      <c r="EJ35" s="191">
        <f>'Functional Levels Drone Survey'!EJ35-'Existing Levels Drone Survey'!EJ35</f>
        <v>0.20446315789467917</v>
      </c>
      <c r="EK35" s="191">
        <f>'Functional Levels Drone Survey'!EK35-'Existing Levels Drone Survey'!EK35</f>
        <v>0.39316315789471901</v>
      </c>
      <c r="EL35" s="191">
        <f>'Functional Levels Drone Survey'!EL35-'Existing Levels Drone Survey'!EL35</f>
        <v>0.39056315789468954</v>
      </c>
      <c r="EM35" s="191">
        <f>'Functional Levels Drone Survey'!EM35-'Existing Levels Drone Survey'!EM35</f>
        <v>0.45886315789471155</v>
      </c>
      <c r="EN35" s="191">
        <f>'Functional Levels Drone Survey'!EN35-'Existing Levels Drone Survey'!EN35</f>
        <v>0.56466315789469945</v>
      </c>
      <c r="EO35" s="191">
        <f>'Functional Levels Drone Survey'!EO35-'Existing Levels Drone Survey'!EO35</f>
        <v>0.3983631578947211</v>
      </c>
      <c r="EP35" s="191">
        <f>'Functional Levels Drone Survey'!EP35-'Existing Levels Drone Survey'!EP35</f>
        <v>0.49656315789468408</v>
      </c>
      <c r="EQ35" s="191">
        <f>'Functional Levels Drone Survey'!EQ35-'Existing Levels Drone Survey'!EQ35</f>
        <v>0.48526315789467844</v>
      </c>
      <c r="ER35" s="191">
        <f>'Functional Levels Drone Survey'!ER35-'Existing Levels Drone Survey'!ER35</f>
        <v>0.38866315789471173</v>
      </c>
      <c r="ES35" s="191">
        <f>'Functional Levels Drone Survey'!ES35-'Existing Levels Drone Survey'!ES35</f>
        <v>0.48456315789468363</v>
      </c>
      <c r="ET35" s="191">
        <f>'Functional Levels Drone Survey'!ET35-'Existing Levels Drone Survey'!ET35</f>
        <v>0.50556315789469863</v>
      </c>
      <c r="EU35" s="279">
        <f>'Functional Levels Drone Survey'!EU35-'Existing Levels Drone Survey'!EU35</f>
        <v>0.38136315789472519</v>
      </c>
      <c r="EV35" s="191">
        <f>'Functional Levels Drone Survey'!EV35-'Existing Levels Drone Survey'!EV35</f>
        <v>0.53876315789466389</v>
      </c>
      <c r="EW35" s="191">
        <f>'Functional Levels Drone Survey'!EW35-'Existing Levels Drone Survey'!EW35</f>
        <v>0.53616315789469127</v>
      </c>
      <c r="EX35" s="278">
        <f>'Functional Levels Drone Survey'!EX35-'Existing Levels Drone Survey'!EX35</f>
        <v>0</v>
      </c>
      <c r="EY35" s="191">
        <f>'Functional Levels Drone Survey'!EY35-'Existing Levels Drone Survey'!EY35</f>
        <v>0</v>
      </c>
    </row>
    <row r="36" spans="1:155" ht="45" customHeight="1" x14ac:dyDescent="0.45">
      <c r="A36" s="277">
        <v>175</v>
      </c>
      <c r="B36" s="191">
        <f>'Functional Levels Drone Survey'!B36-'Existing Levels Drone Survey'!B36</f>
        <v>0</v>
      </c>
      <c r="C36" s="191">
        <f>'Functional Levels Drone Survey'!C36-'Existing Levels Drone Survey'!C36</f>
        <v>0</v>
      </c>
      <c r="D36" s="191">
        <f>'Functional Levels Drone Survey'!D36-'Existing Levels Drone Survey'!D36</f>
        <v>0</v>
      </c>
      <c r="E36" s="191">
        <f>'Functional Levels Drone Survey'!E36-'Existing Levels Drone Survey'!E36</f>
        <v>0</v>
      </c>
      <c r="F36" s="191">
        <f>'Functional Levels Drone Survey'!F36-'Existing Levels Drone Survey'!F36</f>
        <v>0</v>
      </c>
      <c r="G36" s="191">
        <f>'Functional Levels Drone Survey'!G36-'Existing Levels Drone Survey'!G36</f>
        <v>0</v>
      </c>
      <c r="H36" s="191">
        <f>'Functional Levels Drone Survey'!H36-'Existing Levels Drone Survey'!H36</f>
        <v>0</v>
      </c>
      <c r="I36" s="191">
        <f>'Functional Levels Drone Survey'!I36-'Existing Levels Drone Survey'!I36</f>
        <v>0</v>
      </c>
      <c r="J36" s="191">
        <f>'Functional Levels Drone Survey'!J36-'Existing Levels Drone Survey'!J36</f>
        <v>0</v>
      </c>
      <c r="K36" s="191">
        <f>'Functional Levels Drone Survey'!K36-'Existing Levels Drone Survey'!K36</f>
        <v>0</v>
      </c>
      <c r="L36" s="191">
        <f>'Functional Levels Drone Survey'!L36-'Existing Levels Drone Survey'!L36</f>
        <v>0</v>
      </c>
      <c r="M36" s="191">
        <f>'Functional Levels Drone Survey'!M36-'Existing Levels Drone Survey'!M36</f>
        <v>0</v>
      </c>
      <c r="N36" s="191">
        <f>'Functional Levels Drone Survey'!N36-'Existing Levels Drone Survey'!N36</f>
        <v>0</v>
      </c>
      <c r="O36" s="191">
        <f>'Functional Levels Drone Survey'!O36-'Existing Levels Drone Survey'!O36</f>
        <v>0</v>
      </c>
      <c r="P36" s="191">
        <f>'Functional Levels Drone Survey'!P36-'Existing Levels Drone Survey'!P36</f>
        <v>0</v>
      </c>
      <c r="Q36" s="191">
        <f>'Functional Levels Drone Survey'!Q36-'Existing Levels Drone Survey'!Q36</f>
        <v>0</v>
      </c>
      <c r="R36" s="191">
        <f>'Functional Levels Drone Survey'!R36-'Existing Levels Drone Survey'!R36</f>
        <v>0</v>
      </c>
      <c r="S36" s="191">
        <f>'Functional Levels Drone Survey'!S36-'Existing Levels Drone Survey'!S36</f>
        <v>0</v>
      </c>
      <c r="T36" s="191">
        <f>'Functional Levels Drone Survey'!T36-'Existing Levels Drone Survey'!T36</f>
        <v>0</v>
      </c>
      <c r="U36" s="191">
        <f>'Functional Levels Drone Survey'!U36-'Existing Levels Drone Survey'!U36</f>
        <v>0</v>
      </c>
      <c r="V36" s="191">
        <f>'Functional Levels Drone Survey'!V36-'Existing Levels Drone Survey'!V36</f>
        <v>0</v>
      </c>
      <c r="W36" s="191">
        <f>'Functional Levels Drone Survey'!W36-'Existing Levels Drone Survey'!W36</f>
        <v>0</v>
      </c>
      <c r="X36" s="191">
        <f>'Functional Levels Drone Survey'!X36-'Existing Levels Drone Survey'!X36</f>
        <v>0</v>
      </c>
      <c r="Y36" s="191">
        <f>'Functional Levels Drone Survey'!Y36-'Existing Levels Drone Survey'!Y36</f>
        <v>0</v>
      </c>
      <c r="Z36" s="191">
        <f>'Functional Levels Drone Survey'!Z36-'Existing Levels Drone Survey'!Z36</f>
        <v>0</v>
      </c>
      <c r="AA36" s="191">
        <f>'Functional Levels Drone Survey'!AA36-'Existing Levels Drone Survey'!AA36</f>
        <v>0</v>
      </c>
      <c r="AB36" s="191">
        <f>'Functional Levels Drone Survey'!AB36-'Existing Levels Drone Survey'!AB36</f>
        <v>0</v>
      </c>
      <c r="AC36" s="191">
        <f>'Functional Levels Drone Survey'!AC36-'Existing Levels Drone Survey'!AC36</f>
        <v>0</v>
      </c>
      <c r="AD36" s="191">
        <f>'Functional Levels Drone Survey'!AD36-'Existing Levels Drone Survey'!AD36</f>
        <v>0</v>
      </c>
      <c r="AE36" s="191">
        <f>'Functional Levels Drone Survey'!AE36-'Existing Levels Drone Survey'!AE36</f>
        <v>0</v>
      </c>
      <c r="AF36" s="191">
        <f>'Functional Levels Drone Survey'!AF36-'Existing Levels Drone Survey'!AF36</f>
        <v>0</v>
      </c>
      <c r="AG36" s="191">
        <f>'Functional Levels Drone Survey'!AG36-'Existing Levels Drone Survey'!AG36</f>
        <v>0</v>
      </c>
      <c r="AH36" s="191">
        <f>'Functional Levels Drone Survey'!AH36-'Existing Levels Drone Survey'!AH36</f>
        <v>0</v>
      </c>
      <c r="AI36" s="191">
        <f>'Functional Levels Drone Survey'!AI36-'Existing Levels Drone Survey'!AI36</f>
        <v>0</v>
      </c>
      <c r="AJ36" s="191">
        <f>'Functional Levels Drone Survey'!AJ36-'Existing Levels Drone Survey'!AJ36</f>
        <v>0</v>
      </c>
      <c r="AK36" s="191">
        <f>'Functional Levels Drone Survey'!AK36-'Existing Levels Drone Survey'!AK36</f>
        <v>0</v>
      </c>
      <c r="AL36" s="191">
        <f>'Functional Levels Drone Survey'!AL36-'Existing Levels Drone Survey'!AL36</f>
        <v>0</v>
      </c>
      <c r="AM36" s="191">
        <f>'Functional Levels Drone Survey'!AM36-'Existing Levels Drone Survey'!AM36</f>
        <v>0</v>
      </c>
      <c r="AN36" s="191">
        <f>'Functional Levels Drone Survey'!AN36-'Existing Levels Drone Survey'!AN36</f>
        <v>0</v>
      </c>
      <c r="AO36" s="191">
        <f>'Functional Levels Drone Survey'!AO36-'Existing Levels Drone Survey'!AO36</f>
        <v>0</v>
      </c>
      <c r="AP36" s="191">
        <f>'Functional Levels Drone Survey'!AP36-'Existing Levels Drone Survey'!AP36</f>
        <v>0</v>
      </c>
      <c r="AQ36" s="191">
        <f>'Functional Levels Drone Survey'!AQ36-'Existing Levels Drone Survey'!AQ36</f>
        <v>0</v>
      </c>
      <c r="AR36" s="191">
        <f>'Functional Levels Drone Survey'!AR36-'Existing Levels Drone Survey'!AR36</f>
        <v>0</v>
      </c>
      <c r="AS36" s="191">
        <f>'Functional Levels Drone Survey'!AS36-'Existing Levels Drone Survey'!AS36</f>
        <v>0</v>
      </c>
      <c r="AT36" s="191">
        <f>'Functional Levels Drone Survey'!AT36-'Existing Levels Drone Survey'!AT36</f>
        <v>0</v>
      </c>
      <c r="AU36" s="191">
        <f>'Functional Levels Drone Survey'!AU36-'Existing Levels Drone Survey'!AU36</f>
        <v>0</v>
      </c>
      <c r="AV36" s="191">
        <f>'Functional Levels Drone Survey'!AV36-'Existing Levels Drone Survey'!AV36</f>
        <v>0</v>
      </c>
      <c r="AW36" s="191">
        <f>'Functional Levels Drone Survey'!AW36-'Existing Levels Drone Survey'!AW36</f>
        <v>0</v>
      </c>
      <c r="AX36" s="191">
        <f>'Functional Levels Drone Survey'!AX36-'Existing Levels Drone Survey'!AX36</f>
        <v>0</v>
      </c>
      <c r="AY36" s="191">
        <f>'Functional Levels Drone Survey'!AY36-'Existing Levels Drone Survey'!AY36</f>
        <v>0</v>
      </c>
      <c r="AZ36" s="191">
        <f>'Functional Levels Drone Survey'!AZ36-'Existing Levels Drone Survey'!AZ36</f>
        <v>0</v>
      </c>
      <c r="BA36" s="278">
        <f>'Functional Levels Drone Survey'!BA36-'Existing Levels Drone Survey'!BA36</f>
        <v>-0.69846000000006825</v>
      </c>
      <c r="BB36" s="279">
        <f>'Functional Levels Drone Survey'!BB36-'Existing Levels Drone Survey'!BB36</f>
        <v>-0.27396000000004506</v>
      </c>
      <c r="BC36" s="191">
        <f>'Functional Levels Drone Survey'!BC36-'Existing Levels Drone Survey'!BC36</f>
        <v>-0.30306000000007316</v>
      </c>
      <c r="BD36" s="191">
        <f>'Functional Levels Drone Survey'!BD36-'Existing Levels Drone Survey'!BD36</f>
        <v>-0.30286000000006652</v>
      </c>
      <c r="BE36" s="191">
        <f>'Functional Levels Drone Survey'!BE36-'Existing Levels Drone Survey'!BE36</f>
        <v>-0.26106000000004315</v>
      </c>
      <c r="BF36" s="191">
        <f>'Functional Levels Drone Survey'!BF36-'Existing Levels Drone Survey'!BF36</f>
        <v>-0.11626000000006798</v>
      </c>
      <c r="BG36" s="191">
        <f>'Functional Levels Drone Survey'!BG36-'Existing Levels Drone Survey'!BG36</f>
        <v>-8.9160000000049422E-2</v>
      </c>
      <c r="BH36" s="191">
        <f>'Functional Levels Drone Survey'!BH36-'Existing Levels Drone Survey'!BH36</f>
        <v>-6.8360000000041055E-2</v>
      </c>
      <c r="BI36" s="191">
        <f>'Functional Levels Drone Survey'!BI36-'Existing Levels Drone Survey'!BI36</f>
        <v>-9.9660000000085347E-2</v>
      </c>
      <c r="BJ36" s="191">
        <f>'Functional Levels Drone Survey'!BJ36-'Existing Levels Drone Survey'!BJ36</f>
        <v>-0.30716000000006716</v>
      </c>
      <c r="BK36" s="191">
        <f>'Functional Levels Drone Survey'!BK36-'Existing Levels Drone Survey'!BK36</f>
        <v>-0.1630600000000868</v>
      </c>
      <c r="BL36" s="191">
        <f>'Functional Levels Drone Survey'!BL36-'Existing Levels Drone Survey'!BL36</f>
        <v>-0.10586000000006379</v>
      </c>
      <c r="BM36" s="191">
        <f>'Functional Levels Drone Survey'!BM36-'Existing Levels Drone Survey'!BM36</f>
        <v>-4.3860000000051969E-2</v>
      </c>
      <c r="BN36" s="191">
        <f>'Functional Levels Drone Survey'!BN36-'Existing Levels Drone Survey'!BN36</f>
        <v>5.3139999999928023E-2</v>
      </c>
      <c r="BO36" s="191">
        <f>'Functional Levels Drone Survey'!BO36-'Existing Levels Drone Survey'!BO36</f>
        <v>1.7439999999965039E-2</v>
      </c>
      <c r="BP36" s="191">
        <f>'Functional Levels Drone Survey'!BP36-'Existing Levels Drone Survey'!BP36</f>
        <v>-0.14136000000007698</v>
      </c>
      <c r="BQ36" s="191">
        <f>'Functional Levels Drone Survey'!BQ36-'Existing Levels Drone Survey'!BQ36</f>
        <v>0.10593999999991865</v>
      </c>
      <c r="BR36" s="191">
        <f>'Functional Levels Drone Survey'!BR36-'Existing Levels Drone Survey'!BR36</f>
        <v>0.10003999999992175</v>
      </c>
      <c r="BS36" s="191">
        <f>'Functional Levels Drone Survey'!BS36-'Existing Levels Drone Survey'!BS36</f>
        <v>-3.660000000081709E-3</v>
      </c>
      <c r="BT36" s="191">
        <f>'Functional Levels Drone Survey'!BT36-'Existing Levels Drone Survey'!BT36</f>
        <v>8.7939999999946394E-2</v>
      </c>
      <c r="BU36" s="279">
        <f>'Functional Levels Drone Survey'!BU36-'Existing Levels Drone Survey'!BU36</f>
        <v>0.34103999999996404</v>
      </c>
      <c r="BV36" s="191">
        <f>'Functional Levels Drone Survey'!BV36-'Existing Levels Drone Survey'!BV36</f>
        <v>9.4099999999968986E-2</v>
      </c>
      <c r="BW36" s="279">
        <f>'Functional Levels Drone Survey'!BW36-'Existing Levels Drone Survey'!BW36</f>
        <v>0.1028999999999769</v>
      </c>
      <c r="BX36" s="191">
        <f>'Functional Levels Drone Survey'!BX36-'Existing Levels Drone Survey'!BX36</f>
        <v>0.12989999999996371</v>
      </c>
      <c r="BY36" s="191">
        <f>'Functional Levels Drone Survey'!BY36-'Existing Levels Drone Survey'!BY36</f>
        <v>8.5899999999980992E-2</v>
      </c>
      <c r="BZ36" s="191">
        <f>'Functional Levels Drone Survey'!BZ36-'Existing Levels Drone Survey'!BZ36</f>
        <v>2.5699999999972079E-2</v>
      </c>
      <c r="CA36" s="191">
        <f>'Functional Levels Drone Survey'!CA36-'Existing Levels Drone Survey'!CA36</f>
        <v>-8.7800000000015643E-2</v>
      </c>
      <c r="CB36" s="191">
        <f>'Functional Levels Drone Survey'!CB36-'Existing Levels Drone Survey'!CB36</f>
        <v>-8.6000000000581167E-3</v>
      </c>
      <c r="CC36" s="191">
        <f>'Functional Levels Drone Survey'!CC36-'Existing Levels Drone Survey'!CC36</f>
        <v>4.8199999999951615E-2</v>
      </c>
      <c r="CD36" s="191">
        <f>'Functional Levels Drone Survey'!CD36-'Existing Levels Drone Survey'!CD36</f>
        <v>-0.15070000000002892</v>
      </c>
      <c r="CE36" s="191">
        <f>'Functional Levels Drone Survey'!CE36-'Existing Levels Drone Survey'!CE36</f>
        <v>-2.3800000000051114E-2</v>
      </c>
      <c r="CF36" s="191">
        <f>'Functional Levels Drone Survey'!CF36-'Existing Levels Drone Survey'!CF36</f>
        <v>-9.0200000000038472E-2</v>
      </c>
      <c r="CG36" s="191">
        <f>'Functional Levels Drone Survey'!CG36-'Existing Levels Drone Survey'!CG36</f>
        <v>-9.4000000000278305E-3</v>
      </c>
      <c r="CH36" s="191">
        <f>'Functional Levels Drone Survey'!CH36-'Existing Levels Drone Survey'!CH36</f>
        <v>0.13929999999999154</v>
      </c>
      <c r="CI36" s="191">
        <f>'Functional Levels Drone Survey'!CI36-'Existing Levels Drone Survey'!CI36</f>
        <v>0.27739999999994325</v>
      </c>
      <c r="CJ36" s="191">
        <f>'Functional Levels Drone Survey'!CJ36-'Existing Levels Drone Survey'!CJ36</f>
        <v>0.27769999999998163</v>
      </c>
      <c r="CK36" s="191">
        <f>'Functional Levels Drone Survey'!CK36-'Existing Levels Drone Survey'!CK36</f>
        <v>-6.680000000005748E-2</v>
      </c>
      <c r="CL36" s="191">
        <f>'Functional Levels Drone Survey'!CL36-'Existing Levels Drone Survey'!CL36</f>
        <v>-0.10370000000000346</v>
      </c>
      <c r="CM36" s="191">
        <f>'Functional Levels Drone Survey'!CM36-'Existing Levels Drone Survey'!CM36</f>
        <v>2.5799999999946976E-2</v>
      </c>
      <c r="CN36" s="279">
        <f>'Functional Levels Drone Survey'!CN36-'Existing Levels Drone Survey'!CN36</f>
        <v>-0.10120000000000573</v>
      </c>
      <c r="CO36" s="191">
        <f>'Functional Levels Drone Survey'!CO36-'Existing Levels Drone Survey'!CO36</f>
        <v>-0.33383333333341625</v>
      </c>
      <c r="CP36" s="191">
        <f>'Functional Levels Drone Survey'!CP36-'Existing Levels Drone Survey'!CP36</f>
        <v>-0.32923333333343408</v>
      </c>
      <c r="CQ36" s="279">
        <f>'Functional Levels Drone Survey'!CQ36-'Existing Levels Drone Survey'!CQ36</f>
        <v>-0.13653333333337514</v>
      </c>
      <c r="CR36" s="191">
        <f>'Functional Levels Drone Survey'!CR36-'Existing Levels Drone Survey'!CR36</f>
        <v>-0.17743333333339706</v>
      </c>
      <c r="CS36" s="191">
        <f>'Functional Levels Drone Survey'!CS36-'Existing Levels Drone Survey'!CS36</f>
        <v>-0.19543333333342616</v>
      </c>
      <c r="CT36" s="191">
        <f>'Functional Levels Drone Survey'!CT36-'Existing Levels Drone Survey'!CT36</f>
        <v>-0.11623333333341179</v>
      </c>
      <c r="CU36" s="191">
        <f>'Functional Levels Drone Survey'!CU36-'Existing Levels Drone Survey'!CU36</f>
        <v>-7.5633333333428254E-2</v>
      </c>
      <c r="CV36" s="191">
        <f>'Functional Levels Drone Survey'!CV36-'Existing Levels Drone Survey'!CV36</f>
        <v>0.13206666666661704</v>
      </c>
      <c r="CW36" s="191">
        <f>'Functional Levels Drone Survey'!CW36-'Existing Levels Drone Survey'!CW36</f>
        <v>8.8166666666609217E-2</v>
      </c>
      <c r="CX36" s="191">
        <f>'Functional Levels Drone Survey'!CX36-'Existing Levels Drone Survey'!CX36</f>
        <v>3.0766666666579567E-2</v>
      </c>
      <c r="CY36" s="191">
        <f>'Functional Levels Drone Survey'!CY36-'Existing Levels Drone Survey'!CY36</f>
        <v>-2.3233333333394057E-2</v>
      </c>
      <c r="CZ36" s="191">
        <f>'Functional Levels Drone Survey'!CZ36-'Existing Levels Drone Survey'!CZ36</f>
        <v>5.9166666666612855E-2</v>
      </c>
      <c r="DA36" s="191">
        <f>'Functional Levels Drone Survey'!DA36-'Existing Levels Drone Survey'!DA36</f>
        <v>0.11176666666659685</v>
      </c>
      <c r="DB36" s="191">
        <f>'Functional Levels Drone Survey'!DB36-'Existing Levels Drone Survey'!DB36</f>
        <v>0.19366666666661558</v>
      </c>
      <c r="DC36" s="191">
        <f>'Functional Levels Drone Survey'!DC36-'Existing Levels Drone Survey'!DC36</f>
        <v>1.8466666666597575E-2</v>
      </c>
      <c r="DD36" s="191">
        <f>'Functional Levels Drone Survey'!DD36-'Existing Levels Drone Survey'!DD36</f>
        <v>0.32466666666658739</v>
      </c>
      <c r="DE36" s="191">
        <f>'Functional Levels Drone Survey'!DE36-'Existing Levels Drone Survey'!DE36</f>
        <v>0.50566666666657056</v>
      </c>
      <c r="DF36" s="191">
        <f>'Functional Levels Drone Survey'!DF36-'Existing Levels Drone Survey'!DF36</f>
        <v>0.41166666666657648</v>
      </c>
      <c r="DG36" s="191">
        <f>'Functional Levels Drone Survey'!DG36-'Existing Levels Drone Survey'!DG36</f>
        <v>0.36106666666660203</v>
      </c>
      <c r="DH36" s="279">
        <f>'Functional Levels Drone Survey'!DH36-'Existing Levels Drone Survey'!DH36</f>
        <v>0.38426666666657638</v>
      </c>
      <c r="DI36" s="191">
        <f>'Functional Levels Drone Survey'!DI36-'Existing Levels Drone Survey'!DI36</f>
        <v>0.21006666666659157</v>
      </c>
      <c r="DJ36" s="279">
        <f>'Functional Levels Drone Survey'!DJ36-'Existing Levels Drone Survey'!DJ36</f>
        <v>0.28502222222221008</v>
      </c>
      <c r="DK36" s="191">
        <f>'Functional Levels Drone Survey'!DK36-'Existing Levels Drone Survey'!DK36</f>
        <v>0.33442222222220153</v>
      </c>
      <c r="DL36" s="191">
        <f>'Functional Levels Drone Survey'!DL36-'Existing Levels Drone Survey'!DL36</f>
        <v>0.30112222222220453</v>
      </c>
      <c r="DM36" s="191">
        <f>'Functional Levels Drone Survey'!DM36-'Existing Levels Drone Survey'!DM36</f>
        <v>0.33102222222220234</v>
      </c>
      <c r="DN36" s="191">
        <f>'Functional Levels Drone Survey'!DN36-'Existing Levels Drone Survey'!DN36</f>
        <v>0.43212222222223318</v>
      </c>
      <c r="DO36" s="191">
        <f>'Functional Levels Drone Survey'!DO36-'Existing Levels Drone Survey'!DO36</f>
        <v>0.46052222222220962</v>
      </c>
      <c r="DP36" s="191">
        <f>'Functional Levels Drone Survey'!DP36-'Existing Levels Drone Survey'!DP36</f>
        <v>0.21852222222224782</v>
      </c>
      <c r="DQ36" s="191">
        <f>'Functional Levels Drone Survey'!DQ36-'Existing Levels Drone Survey'!DQ36</f>
        <v>0.3167222222222108</v>
      </c>
      <c r="DR36" s="191">
        <f>'Functional Levels Drone Survey'!DR36-'Existing Levels Drone Survey'!DR36</f>
        <v>0.23122222222224309</v>
      </c>
      <c r="DS36" s="191">
        <f>'Functional Levels Drone Survey'!DS36-'Existing Levels Drone Survey'!DS36</f>
        <v>0.28252222222221235</v>
      </c>
      <c r="DT36" s="191">
        <f>'Functional Levels Drone Survey'!DT36-'Existing Levels Drone Survey'!DT36</f>
        <v>0.13282222222221662</v>
      </c>
      <c r="DU36" s="191">
        <f>'Functional Levels Drone Survey'!DU36-'Existing Levels Drone Survey'!DU36</f>
        <v>8.0922222222227447E-2</v>
      </c>
      <c r="DV36" s="191">
        <f>'Functional Levels Drone Survey'!DV36-'Existing Levels Drone Survey'!DV36</f>
        <v>0.13452222222224464</v>
      </c>
      <c r="DW36" s="191">
        <f>'Functional Levels Drone Survey'!DW36-'Existing Levels Drone Survey'!DW36</f>
        <v>0.20632222222224073</v>
      </c>
      <c r="DX36" s="191">
        <f>'Functional Levels Drone Survey'!DX36-'Existing Levels Drone Survey'!DX36</f>
        <v>0.20112222222223863</v>
      </c>
      <c r="DY36" s="191">
        <f>'Functional Levels Drone Survey'!DY36-'Existing Levels Drone Survey'!DY36</f>
        <v>0.51832222222225255</v>
      </c>
      <c r="DZ36" s="191">
        <f>'Functional Levels Drone Survey'!DZ36-'Existing Levels Drone Survey'!DZ36</f>
        <v>0.5153222222222098</v>
      </c>
      <c r="EA36" s="279">
        <f>'Functional Levels Drone Survey'!EA36-'Existing Levels Drone Survey'!EA36</f>
        <v>0.45622222222220898</v>
      </c>
      <c r="EB36" s="191">
        <f>'Functional Levels Drone Survey'!EB36-'Existing Levels Drone Survey'!EB36</f>
        <v>0.24116315789467535</v>
      </c>
      <c r="EC36" s="279">
        <f>'Functional Levels Drone Survey'!EC36-'Existing Levels Drone Survey'!EC36</f>
        <v>0.58686315789469745</v>
      </c>
      <c r="ED36" s="191">
        <f>'Functional Levels Drone Survey'!ED36-'Existing Levels Drone Survey'!ED36</f>
        <v>0.26366315789471173</v>
      </c>
      <c r="EE36" s="191">
        <f>'Functional Levels Drone Survey'!EE36-'Existing Levels Drone Survey'!EE36</f>
        <v>0.23846315789467099</v>
      </c>
      <c r="EF36" s="191">
        <f>'Functional Levels Drone Survey'!EF36-'Existing Levels Drone Survey'!EF36</f>
        <v>0.358163157894694</v>
      </c>
      <c r="EG36" s="191">
        <f>'Functional Levels Drone Survey'!EG36-'Existing Levels Drone Survey'!EG36</f>
        <v>0.18696315789469509</v>
      </c>
      <c r="EH36" s="191">
        <f>'Functional Levels Drone Survey'!EH36-'Existing Levels Drone Survey'!EH36</f>
        <v>4.1063157894711821E-2</v>
      </c>
      <c r="EI36" s="191">
        <f>'Functional Levels Drone Survey'!EI36-'Existing Levels Drone Survey'!EI36</f>
        <v>7.5763157894698452E-2</v>
      </c>
      <c r="EJ36" s="191">
        <f>'Functional Levels Drone Survey'!EJ36-'Existing Levels Drone Survey'!EJ36</f>
        <v>0.26436315789470655</v>
      </c>
      <c r="EK36" s="191">
        <f>'Functional Levels Drone Survey'!EK36-'Existing Levels Drone Survey'!EK36</f>
        <v>0.294463157894711</v>
      </c>
      <c r="EL36" s="191">
        <f>'Functional Levels Drone Survey'!EL36-'Existing Levels Drone Survey'!EL36</f>
        <v>0.45706315789470864</v>
      </c>
      <c r="EM36" s="191">
        <f>'Functional Levels Drone Survey'!EM36-'Existing Levels Drone Survey'!EM36</f>
        <v>0.55366315789467535</v>
      </c>
      <c r="EN36" s="191">
        <f>'Functional Levels Drone Survey'!EN36-'Existing Levels Drone Survey'!EN36</f>
        <v>0.4557631578946939</v>
      </c>
      <c r="EO36" s="191">
        <f>'Functional Levels Drone Survey'!EO36-'Existing Levels Drone Survey'!EO36</f>
        <v>0.50286315789469427</v>
      </c>
      <c r="EP36" s="191">
        <f>'Functional Levels Drone Survey'!EP36-'Existing Levels Drone Survey'!EP36</f>
        <v>0.40786315789466698</v>
      </c>
      <c r="EQ36" s="191">
        <f>'Functional Levels Drone Survey'!EQ36-'Existing Levels Drone Survey'!EQ36</f>
        <v>0.47326315789467799</v>
      </c>
      <c r="ER36" s="191">
        <f>'Functional Levels Drone Survey'!ER36-'Existing Levels Drone Survey'!ER36</f>
        <v>0.44156315789467726</v>
      </c>
      <c r="ES36" s="191">
        <f>'Functional Levels Drone Survey'!ES36-'Existing Levels Drone Survey'!ES36</f>
        <v>0.24166315789472037</v>
      </c>
      <c r="ET36" s="191">
        <f>'Functional Levels Drone Survey'!ET36-'Existing Levels Drone Survey'!ET36</f>
        <v>0.24146315789471373</v>
      </c>
      <c r="EU36" s="279">
        <f>'Functional Levels Drone Survey'!EU36-'Existing Levels Drone Survey'!EU36</f>
        <v>0.49436315789466789</v>
      </c>
      <c r="EV36" s="191">
        <f>'Functional Levels Drone Survey'!EV36-'Existing Levels Drone Survey'!EV36</f>
        <v>0.45006315789464679</v>
      </c>
      <c r="EW36" s="278">
        <f>'Functional Levels Drone Survey'!EW36-'Existing Levels Drone Survey'!EW36</f>
        <v>0.46246315789466053</v>
      </c>
      <c r="EX36" s="191">
        <f>'Functional Levels Drone Survey'!EX36-'Existing Levels Drone Survey'!EX36</f>
        <v>0</v>
      </c>
      <c r="EY36" s="191">
        <f>'Functional Levels Drone Survey'!EY36-'Existing Levels Drone Survey'!EY36</f>
        <v>0</v>
      </c>
    </row>
    <row r="37" spans="1:155" ht="45" customHeight="1" x14ac:dyDescent="0.45">
      <c r="A37" s="277">
        <v>180</v>
      </c>
      <c r="B37" s="191">
        <f>'Functional Levels Drone Survey'!B37-'Existing Levels Drone Survey'!B37</f>
        <v>0</v>
      </c>
      <c r="C37" s="191">
        <f>'Functional Levels Drone Survey'!C37-'Existing Levels Drone Survey'!C37</f>
        <v>0</v>
      </c>
      <c r="D37" s="191">
        <f>'Functional Levels Drone Survey'!D37-'Existing Levels Drone Survey'!D37</f>
        <v>0</v>
      </c>
      <c r="E37" s="191">
        <f>'Functional Levels Drone Survey'!E37-'Existing Levels Drone Survey'!E37</f>
        <v>0</v>
      </c>
      <c r="F37" s="191">
        <f>'Functional Levels Drone Survey'!F37-'Existing Levels Drone Survey'!F37</f>
        <v>0</v>
      </c>
      <c r="G37" s="191">
        <f>'Functional Levels Drone Survey'!G37-'Existing Levels Drone Survey'!G37</f>
        <v>0</v>
      </c>
      <c r="H37" s="191">
        <f>'Functional Levels Drone Survey'!H37-'Existing Levels Drone Survey'!H37</f>
        <v>0</v>
      </c>
      <c r="I37" s="191">
        <f>'Functional Levels Drone Survey'!I37-'Existing Levels Drone Survey'!I37</f>
        <v>0</v>
      </c>
      <c r="J37" s="191">
        <f>'Functional Levels Drone Survey'!J37-'Existing Levels Drone Survey'!J37</f>
        <v>0</v>
      </c>
      <c r="K37" s="191">
        <f>'Functional Levels Drone Survey'!K37-'Existing Levels Drone Survey'!K37</f>
        <v>0</v>
      </c>
      <c r="L37" s="191">
        <f>'Functional Levels Drone Survey'!L37-'Existing Levels Drone Survey'!L37</f>
        <v>0</v>
      </c>
      <c r="M37" s="191">
        <f>'Functional Levels Drone Survey'!M37-'Existing Levels Drone Survey'!M37</f>
        <v>0</v>
      </c>
      <c r="N37" s="191">
        <f>'Functional Levels Drone Survey'!N37-'Existing Levels Drone Survey'!N37</f>
        <v>0</v>
      </c>
      <c r="O37" s="191">
        <f>'Functional Levels Drone Survey'!O37-'Existing Levels Drone Survey'!O37</f>
        <v>0</v>
      </c>
      <c r="P37" s="191">
        <f>'Functional Levels Drone Survey'!P37-'Existing Levels Drone Survey'!P37</f>
        <v>0</v>
      </c>
      <c r="Q37" s="191">
        <f>'Functional Levels Drone Survey'!Q37-'Existing Levels Drone Survey'!Q37</f>
        <v>0</v>
      </c>
      <c r="R37" s="191">
        <f>'Functional Levels Drone Survey'!R37-'Existing Levels Drone Survey'!R37</f>
        <v>0</v>
      </c>
      <c r="S37" s="191">
        <f>'Functional Levels Drone Survey'!S37-'Existing Levels Drone Survey'!S37</f>
        <v>0</v>
      </c>
      <c r="T37" s="191">
        <f>'Functional Levels Drone Survey'!T37-'Existing Levels Drone Survey'!T37</f>
        <v>0</v>
      </c>
      <c r="U37" s="191">
        <f>'Functional Levels Drone Survey'!U37-'Existing Levels Drone Survey'!U37</f>
        <v>0</v>
      </c>
      <c r="V37" s="191">
        <f>'Functional Levels Drone Survey'!V37-'Existing Levels Drone Survey'!V37</f>
        <v>0</v>
      </c>
      <c r="W37" s="191">
        <f>'Functional Levels Drone Survey'!W37-'Existing Levels Drone Survey'!W37</f>
        <v>0</v>
      </c>
      <c r="X37" s="191">
        <f>'Functional Levels Drone Survey'!X37-'Existing Levels Drone Survey'!X37</f>
        <v>0</v>
      </c>
      <c r="Y37" s="191">
        <f>'Functional Levels Drone Survey'!Y37-'Existing Levels Drone Survey'!Y37</f>
        <v>0</v>
      </c>
      <c r="Z37" s="191">
        <f>'Functional Levels Drone Survey'!Z37-'Existing Levels Drone Survey'!Z37</f>
        <v>0</v>
      </c>
      <c r="AA37" s="191">
        <f>'Functional Levels Drone Survey'!AA37-'Existing Levels Drone Survey'!AA37</f>
        <v>0</v>
      </c>
      <c r="AB37" s="191">
        <f>'Functional Levels Drone Survey'!AB37-'Existing Levels Drone Survey'!AB37</f>
        <v>0</v>
      </c>
      <c r="AC37" s="191">
        <f>'Functional Levels Drone Survey'!AC37-'Existing Levels Drone Survey'!AC37</f>
        <v>0</v>
      </c>
      <c r="AD37" s="191">
        <f>'Functional Levels Drone Survey'!AD37-'Existing Levels Drone Survey'!AD37</f>
        <v>0</v>
      </c>
      <c r="AE37" s="191">
        <f>'Functional Levels Drone Survey'!AE37-'Existing Levels Drone Survey'!AE37</f>
        <v>0</v>
      </c>
      <c r="AF37" s="191">
        <f>'Functional Levels Drone Survey'!AF37-'Existing Levels Drone Survey'!AF37</f>
        <v>0</v>
      </c>
      <c r="AG37" s="191">
        <f>'Functional Levels Drone Survey'!AG37-'Existing Levels Drone Survey'!AG37</f>
        <v>0</v>
      </c>
      <c r="AH37" s="191">
        <f>'Functional Levels Drone Survey'!AH37-'Existing Levels Drone Survey'!AH37</f>
        <v>0</v>
      </c>
      <c r="AI37" s="191">
        <f>'Functional Levels Drone Survey'!AI37-'Existing Levels Drone Survey'!AI37</f>
        <v>0</v>
      </c>
      <c r="AJ37" s="191">
        <f>'Functional Levels Drone Survey'!AJ37-'Existing Levels Drone Survey'!AJ37</f>
        <v>0</v>
      </c>
      <c r="AK37" s="191">
        <f>'Functional Levels Drone Survey'!AK37-'Existing Levels Drone Survey'!AK37</f>
        <v>0</v>
      </c>
      <c r="AL37" s="191">
        <f>'Functional Levels Drone Survey'!AL37-'Existing Levels Drone Survey'!AL37</f>
        <v>0</v>
      </c>
      <c r="AM37" s="191">
        <f>'Functional Levels Drone Survey'!AM37-'Existing Levels Drone Survey'!AM37</f>
        <v>0</v>
      </c>
      <c r="AN37" s="191">
        <f>'Functional Levels Drone Survey'!AN37-'Existing Levels Drone Survey'!AN37</f>
        <v>0</v>
      </c>
      <c r="AO37" s="191">
        <f>'Functional Levels Drone Survey'!AO37-'Existing Levels Drone Survey'!AO37</f>
        <v>0</v>
      </c>
      <c r="AP37" s="191">
        <f>'Functional Levels Drone Survey'!AP37-'Existing Levels Drone Survey'!AP37</f>
        <v>0</v>
      </c>
      <c r="AQ37" s="191">
        <f>'Functional Levels Drone Survey'!AQ37-'Existing Levels Drone Survey'!AQ37</f>
        <v>0</v>
      </c>
      <c r="AR37" s="191">
        <f>'Functional Levels Drone Survey'!AR37-'Existing Levels Drone Survey'!AR37</f>
        <v>0</v>
      </c>
      <c r="AS37" s="191">
        <f>'Functional Levels Drone Survey'!AS37-'Existing Levels Drone Survey'!AS37</f>
        <v>0</v>
      </c>
      <c r="AT37" s="191">
        <f>'Functional Levels Drone Survey'!AT37-'Existing Levels Drone Survey'!AT37</f>
        <v>0</v>
      </c>
      <c r="AU37" s="191">
        <f>'Functional Levels Drone Survey'!AU37-'Existing Levels Drone Survey'!AU37</f>
        <v>0</v>
      </c>
      <c r="AV37" s="191">
        <f>'Functional Levels Drone Survey'!AV37-'Existing Levels Drone Survey'!AV37</f>
        <v>0</v>
      </c>
      <c r="AW37" s="191">
        <f>'Functional Levels Drone Survey'!AW37-'Existing Levels Drone Survey'!AW37</f>
        <v>0</v>
      </c>
      <c r="AX37" s="191">
        <f>'Functional Levels Drone Survey'!AX37-'Existing Levels Drone Survey'!AX37</f>
        <v>0</v>
      </c>
      <c r="AY37" s="191">
        <f>'Functional Levels Drone Survey'!AY37-'Existing Levels Drone Survey'!AY37</f>
        <v>0</v>
      </c>
      <c r="AZ37" s="191">
        <f>'Functional Levels Drone Survey'!AZ37-'Existing Levels Drone Survey'!AZ37</f>
        <v>0</v>
      </c>
      <c r="BA37" s="278">
        <f>'Functional Levels Drone Survey'!BA37-'Existing Levels Drone Survey'!BA37</f>
        <v>-0.24826000000007298</v>
      </c>
      <c r="BB37" s="279">
        <f>'Functional Levels Drone Survey'!BB37-'Existing Levels Drone Survey'!BB37</f>
        <v>-3.1860000000051514E-2</v>
      </c>
      <c r="BC37" s="191">
        <f>'Functional Levels Drone Survey'!BC37-'Existing Levels Drone Survey'!BC37</f>
        <v>-0.1228600000000597</v>
      </c>
      <c r="BD37" s="191">
        <f>'Functional Levels Drone Survey'!BD37-'Existing Levels Drone Survey'!BD37</f>
        <v>-0.19056000000006179</v>
      </c>
      <c r="BE37" s="191">
        <f>'Functional Levels Drone Survey'!BE37-'Existing Levels Drone Survey'!BE37</f>
        <v>-0.27266000000008717</v>
      </c>
      <c r="BF37" s="191">
        <f>'Functional Levels Drone Survey'!BF37-'Existing Levels Drone Survey'!BF37</f>
        <v>-0.24556000000006861</v>
      </c>
      <c r="BG37" s="191">
        <f>'Functional Levels Drone Survey'!BG37-'Existing Levels Drone Survey'!BG37</f>
        <v>3.1639999999924839E-2</v>
      </c>
      <c r="BH37" s="191">
        <f>'Functional Levels Drone Survey'!BH37-'Existing Levels Drone Survey'!BH37</f>
        <v>-3.2260000000064792E-2</v>
      </c>
      <c r="BI37" s="191">
        <f>'Functional Levels Drone Survey'!BI37-'Existing Levels Drone Survey'!BI37</f>
        <v>-2.8060000000095897E-2</v>
      </c>
      <c r="BJ37" s="191">
        <f>'Functional Levels Drone Survey'!BJ37-'Existing Levels Drone Survey'!BJ37</f>
        <v>-0.18476000000009662</v>
      </c>
      <c r="BK37" s="191">
        <f>'Functional Levels Drone Survey'!BK37-'Existing Levels Drone Survey'!BK37</f>
        <v>-0.12416000000007443</v>
      </c>
      <c r="BL37" s="191">
        <f>'Functional Levels Drone Survey'!BL37-'Existing Levels Drone Survey'!BL37</f>
        <v>-0.2377600000000939</v>
      </c>
      <c r="BM37" s="191">
        <f>'Functional Levels Drone Survey'!BM37-'Existing Levels Drone Survey'!BM37</f>
        <v>-0.12726000000009208</v>
      </c>
      <c r="BN37" s="191">
        <f>'Functional Levels Drone Survey'!BN37-'Existing Levels Drone Survey'!BN37</f>
        <v>-0.26386000000007925</v>
      </c>
      <c r="BO37" s="191">
        <f>'Functional Levels Drone Survey'!BO37-'Existing Levels Drone Survey'!BO37</f>
        <v>1.4939999999910469E-2</v>
      </c>
      <c r="BP37" s="191">
        <f>'Functional Levels Drone Survey'!BP37-'Existing Levels Drone Survey'!BP37</f>
        <v>-1.1260000000049786E-2</v>
      </c>
      <c r="BQ37" s="191">
        <f>'Functional Levels Drone Survey'!BQ37-'Existing Levels Drone Survey'!BQ37</f>
        <v>-5.2060000000096807E-2</v>
      </c>
      <c r="BR37" s="191">
        <f>'Functional Levels Drone Survey'!BR37-'Existing Levels Drone Survey'!BR37</f>
        <v>0.15563999999994849</v>
      </c>
      <c r="BS37" s="191">
        <f>'Functional Levels Drone Survey'!BS37-'Existing Levels Drone Survey'!BS37</f>
        <v>0.24323999999990065</v>
      </c>
      <c r="BT37" s="191">
        <f>'Functional Levels Drone Survey'!BT37-'Existing Levels Drone Survey'!BT37</f>
        <v>-0.22326000000009572</v>
      </c>
      <c r="BU37" s="279">
        <f>'Functional Levels Drone Survey'!BU37-'Existing Levels Drone Survey'!BU37</f>
        <v>0.24373999999994567</v>
      </c>
      <c r="BV37" s="191">
        <f>'Functional Levels Drone Survey'!BV37-'Existing Levels Drone Survey'!BV37</f>
        <v>1.5299999999967895E-2</v>
      </c>
      <c r="BW37" s="279">
        <f>'Functional Levels Drone Survey'!BW37-'Existing Levels Drone Survey'!BW37</f>
        <v>4.7399999999981901E-2</v>
      </c>
      <c r="BX37" s="191">
        <f>'Functional Levels Drone Survey'!BX37-'Existing Levels Drone Survey'!BX37</f>
        <v>0.16089999999996962</v>
      </c>
      <c r="BY37" s="191">
        <f>'Functional Levels Drone Survey'!BY37-'Existing Levels Drone Survey'!BY37</f>
        <v>6.7999999999983629E-2</v>
      </c>
      <c r="BZ37" s="191">
        <f>'Functional Levels Drone Survey'!BZ37-'Existing Levels Drone Survey'!BZ37</f>
        <v>9.8099999999931242E-2</v>
      </c>
      <c r="CA37" s="191">
        <f>'Functional Levels Drone Survey'!CA37-'Existing Levels Drone Survey'!CA37</f>
        <v>-0.12680000000005975</v>
      </c>
      <c r="CB37" s="191">
        <f>'Functional Levels Drone Survey'!CB37-'Existing Levels Drone Survey'!CB37</f>
        <v>-0.10130000000003747</v>
      </c>
      <c r="CC37" s="191">
        <f>'Functional Levels Drone Survey'!CC37-'Existing Levels Drone Survey'!CC37</f>
        <v>-0.10220000000003893</v>
      </c>
      <c r="CD37" s="191">
        <f>'Functional Levels Drone Survey'!CD37-'Existing Levels Drone Survey'!CD37</f>
        <v>-0.14380000000005566</v>
      </c>
      <c r="CE37" s="191">
        <f>'Functional Levels Drone Survey'!CE37-'Existing Levels Drone Survey'!CE37</f>
        <v>-0.10220000000003893</v>
      </c>
      <c r="CF37" s="191">
        <f>'Functional Levels Drone Survey'!CF37-'Existing Levels Drone Survey'!CF37</f>
        <v>-5.3000000000054115E-2</v>
      </c>
      <c r="CG37" s="191">
        <f>'Functional Levels Drone Survey'!CG37-'Existing Levels Drone Survey'!CG37</f>
        <v>0.36039999999997008</v>
      </c>
      <c r="CH37" s="191">
        <f>'Functional Levels Drone Survey'!CH37-'Existing Levels Drone Survey'!CH37</f>
        <v>0.27449999999993224</v>
      </c>
      <c r="CI37" s="191">
        <f>'Functional Levels Drone Survey'!CI37-'Existing Levels Drone Survey'!CI37</f>
        <v>1.4099999999984902E-2</v>
      </c>
      <c r="CJ37" s="191">
        <f>'Functional Levels Drone Survey'!CJ37-'Existing Levels Drone Survey'!CJ37</f>
        <v>-0.19450000000006185</v>
      </c>
      <c r="CK37" s="191">
        <f>'Functional Levels Drone Survey'!CK37-'Existing Levels Drone Survey'!CK37</f>
        <v>-0.20390000000003283</v>
      </c>
      <c r="CL37" s="191">
        <f>'Functional Levels Drone Survey'!CL37-'Existing Levels Drone Survey'!CL37</f>
        <v>-8.7800000000015643E-2</v>
      </c>
      <c r="CM37" s="191">
        <f>'Functional Levels Drone Survey'!CM37-'Existing Levels Drone Survey'!CM37</f>
        <v>-5.6900000000041473E-2</v>
      </c>
      <c r="CN37" s="279">
        <f>'Functional Levels Drone Survey'!CN37-'Existing Levels Drone Survey'!CN37</f>
        <v>-7.9400000000021009E-2</v>
      </c>
      <c r="CO37" s="191">
        <f>'Functional Levels Drone Survey'!CO37-'Existing Levels Drone Survey'!CO37</f>
        <v>-9.7233333333406335E-2</v>
      </c>
      <c r="CP37" s="191">
        <f>'Functional Levels Drone Survey'!CP37-'Existing Levels Drone Survey'!CP37</f>
        <v>-0.15673333333342043</v>
      </c>
      <c r="CQ37" s="279">
        <f>'Functional Levels Drone Survey'!CQ37-'Existing Levels Drone Survey'!CQ37</f>
        <v>-0.11463333333341552</v>
      </c>
      <c r="CR37" s="191">
        <f>'Functional Levels Drone Survey'!CR37-'Existing Levels Drone Survey'!CR37</f>
        <v>-0.33293333333341479</v>
      </c>
      <c r="CS37" s="191">
        <f>'Functional Levels Drone Survey'!CS37-'Existing Levels Drone Survey'!CS37</f>
        <v>-0.2541333333334137</v>
      </c>
      <c r="CT37" s="191">
        <f>'Functional Levels Drone Survey'!CT37-'Existing Levels Drone Survey'!CT37</f>
        <v>2.6666666665846606E-3</v>
      </c>
      <c r="CU37" s="191">
        <f>'Functional Levels Drone Survey'!CU37-'Existing Levels Drone Survey'!CU37</f>
        <v>4.0766666666570472E-2</v>
      </c>
      <c r="CV37" s="191">
        <f>'Functional Levels Drone Survey'!CV37-'Existing Levels Drone Survey'!CV37</f>
        <v>-1.3033333333396513E-2</v>
      </c>
      <c r="CW37" s="191">
        <f>'Functional Levels Drone Survey'!CW37-'Existing Levels Drone Survey'!CW37</f>
        <v>-3.4733333333406335E-2</v>
      </c>
      <c r="CX37" s="191">
        <f>'Functional Levels Drone Survey'!CX37-'Existing Levels Drone Survey'!CX37</f>
        <v>-2.2133333333385963E-2</v>
      </c>
      <c r="CY37" s="191">
        <f>'Functional Levels Drone Survey'!CY37-'Existing Levels Drone Survey'!CY37</f>
        <v>3.8366666666604488E-2</v>
      </c>
      <c r="CZ37" s="191">
        <f>'Functional Levels Drone Survey'!CZ37-'Existing Levels Drone Survey'!CZ37</f>
        <v>5.3566666666597484E-2</v>
      </c>
      <c r="DA37" s="191">
        <f>'Functional Levels Drone Survey'!DA37-'Existing Levels Drone Survey'!DA37</f>
        <v>-5.3333333340788158E-4</v>
      </c>
      <c r="DB37" s="191">
        <f>'Functional Levels Drone Survey'!DB37-'Existing Levels Drone Survey'!DB37</f>
        <v>1.4166666666596939E-2</v>
      </c>
      <c r="DC37" s="191">
        <f>'Functional Levels Drone Survey'!DC37-'Existing Levels Drone Survey'!DC37</f>
        <v>1.6066666666574747E-2</v>
      </c>
      <c r="DD37" s="191">
        <f>'Functional Levels Drone Survey'!DD37-'Existing Levels Drone Survey'!DD37</f>
        <v>9.7566666666580204E-2</v>
      </c>
      <c r="DE37" s="191">
        <f>'Functional Levels Drone Survey'!DE37-'Existing Levels Drone Survey'!DE37</f>
        <v>0.33216666666658057</v>
      </c>
      <c r="DF37" s="191">
        <f>'Functional Levels Drone Survey'!DF37-'Existing Levels Drone Survey'!DF37</f>
        <v>0.31096666666655892</v>
      </c>
      <c r="DG37" s="191">
        <f>'Functional Levels Drone Survey'!DG37-'Existing Levels Drone Survey'!DG37</f>
        <v>0.2498666666666054</v>
      </c>
      <c r="DH37" s="279">
        <f>'Functional Levels Drone Survey'!DH37-'Existing Levels Drone Survey'!DH37</f>
        <v>0.18666666666661058</v>
      </c>
      <c r="DI37" s="191">
        <f>'Functional Levels Drone Survey'!DI37-'Existing Levels Drone Survey'!DI37</f>
        <v>0.21686666666658994</v>
      </c>
      <c r="DJ37" s="279">
        <f>'Functional Levels Drone Survey'!DJ37-'Existing Levels Drone Survey'!DJ37</f>
        <v>0.22172222222224036</v>
      </c>
      <c r="DK37" s="191">
        <f>'Functional Levels Drone Survey'!DK37-'Existing Levels Drone Survey'!DK37</f>
        <v>0.19512222222220998</v>
      </c>
      <c r="DL37" s="191">
        <f>'Functional Levels Drone Survey'!DL37-'Existing Levels Drone Survey'!DL37</f>
        <v>0.22772222222221217</v>
      </c>
      <c r="DM37" s="191">
        <f>'Functional Levels Drone Survey'!DM37-'Existing Levels Drone Survey'!DM37</f>
        <v>0.27572222222221399</v>
      </c>
      <c r="DN37" s="191">
        <f>'Functional Levels Drone Survey'!DN37-'Existing Levels Drone Survey'!DN37</f>
        <v>0.31762222222221226</v>
      </c>
      <c r="DO37" s="191">
        <f>'Functional Levels Drone Survey'!DO37-'Existing Levels Drone Survey'!DO37</f>
        <v>0.29632222222221571</v>
      </c>
      <c r="DP37" s="191">
        <f>'Functional Levels Drone Survey'!DP37-'Existing Levels Drone Survey'!DP37</f>
        <v>-4.5777777777800566E-2</v>
      </c>
      <c r="DQ37" s="191">
        <f>'Functional Levels Drone Survey'!DQ37-'Existing Levels Drone Survey'!DQ37</f>
        <v>-4.7977777777759911E-2</v>
      </c>
      <c r="DR37" s="191">
        <f>'Functional Levels Drone Survey'!DR37-'Existing Levels Drone Survey'!DR37</f>
        <v>7.7322222222221626E-2</v>
      </c>
      <c r="DS37" s="191">
        <f>'Functional Levels Drone Survey'!DS37-'Existing Levels Drone Survey'!DS37</f>
        <v>1.4222222222201708E-2</v>
      </c>
      <c r="DT37" s="191">
        <f>'Functional Levels Drone Survey'!DT37-'Existing Levels Drone Survey'!DT37</f>
        <v>7.0922222222236542E-2</v>
      </c>
      <c r="DU37" s="191">
        <f>'Functional Levels Drone Survey'!DU37-'Existing Levels Drone Survey'!DU37</f>
        <v>6.6622222222235905E-2</v>
      </c>
      <c r="DV37" s="191">
        <f>'Functional Levels Drone Survey'!DV37-'Existing Levels Drone Survey'!DV37</f>
        <v>0.20042222222224382</v>
      </c>
      <c r="DW37" s="191">
        <f>'Functional Levels Drone Survey'!DW37-'Existing Levels Drone Survey'!DW37</f>
        <v>0.34812222222222999</v>
      </c>
      <c r="DX37" s="191">
        <f>'Functional Levels Drone Survey'!DX37-'Existing Levels Drone Survey'!DX37</f>
        <v>0.46652222222223827</v>
      </c>
      <c r="DY37" s="191">
        <f>'Functional Levels Drone Survey'!DY37-'Existing Levels Drone Survey'!DY37</f>
        <v>0.39702222222223327</v>
      </c>
      <c r="DZ37" s="191">
        <f>'Functional Levels Drone Survey'!DZ37-'Existing Levels Drone Survey'!DZ37</f>
        <v>0.2693222222222289</v>
      </c>
      <c r="EA37" s="279">
        <f>'Functional Levels Drone Survey'!EA37-'Existing Levels Drone Survey'!EA37</f>
        <v>0.27122222222220671</v>
      </c>
      <c r="EB37" s="191">
        <f>'Functional Levels Drone Survey'!EB37-'Existing Levels Drone Survey'!EB37</f>
        <v>2.7263157894651613E-2</v>
      </c>
      <c r="EC37" s="279">
        <f>'Functional Levels Drone Survey'!EC37-'Existing Levels Drone Survey'!EC37</f>
        <v>0.1836631578946708</v>
      </c>
      <c r="ED37" s="191">
        <f>'Functional Levels Drone Survey'!ED37-'Existing Levels Drone Survey'!ED37</f>
        <v>0.20186315789470655</v>
      </c>
      <c r="EE37" s="191">
        <f>'Functional Levels Drone Survey'!EE37-'Existing Levels Drone Survey'!EE37</f>
        <v>0.13236315789470154</v>
      </c>
      <c r="EF37" s="191">
        <f>'Functional Levels Drone Survey'!EF37-'Existing Levels Drone Survey'!EF37</f>
        <v>0.34086315789465971</v>
      </c>
      <c r="EG37" s="191">
        <f>'Functional Levels Drone Survey'!EG37-'Existing Levels Drone Survey'!EG37</f>
        <v>0.25506315789465361</v>
      </c>
      <c r="EH37" s="191">
        <f>'Functional Levels Drone Survey'!EH37-'Existing Levels Drone Survey'!EH37</f>
        <v>0.18166315789466125</v>
      </c>
      <c r="EI37" s="191">
        <f>'Functional Levels Drone Survey'!EI37-'Existing Levels Drone Survey'!EI37</f>
        <v>0.12476315789467662</v>
      </c>
      <c r="EJ37" s="191">
        <f>'Functional Levels Drone Survey'!EJ37-'Existing Levels Drone Survey'!EJ37</f>
        <v>0.19246315789467872</v>
      </c>
      <c r="EK37" s="191">
        <f>'Functional Levels Drone Survey'!EK37-'Existing Levels Drone Survey'!EK37</f>
        <v>0.25256315789465589</v>
      </c>
      <c r="EL37" s="191">
        <f>'Functional Levels Drone Survey'!EL37-'Existing Levels Drone Survey'!EL37</f>
        <v>0.38686315789470882</v>
      </c>
      <c r="EM37" s="191">
        <f>'Functional Levels Drone Survey'!EM37-'Existing Levels Drone Survey'!EM37</f>
        <v>0.52726315789470846</v>
      </c>
      <c r="EN37" s="191">
        <f>'Functional Levels Drone Survey'!EN37-'Existing Levels Drone Survey'!EN37</f>
        <v>0.46856315789466407</v>
      </c>
      <c r="EO37" s="191">
        <f>'Functional Levels Drone Survey'!EO37-'Existing Levels Drone Survey'!EO37</f>
        <v>0.47866315789468672</v>
      </c>
      <c r="EP37" s="191">
        <f>'Functional Levels Drone Survey'!EP37-'Existing Levels Drone Survey'!EP37</f>
        <v>0.45816315789465989</v>
      </c>
      <c r="EQ37" s="191">
        <f>'Functional Levels Drone Survey'!EQ37-'Existing Levels Drone Survey'!EQ37</f>
        <v>0.39836315789466425</v>
      </c>
      <c r="ER37" s="191">
        <f>'Functional Levels Drone Survey'!ER37-'Existing Levels Drone Survey'!ER37</f>
        <v>0.30546315789467826</v>
      </c>
      <c r="ES37" s="191">
        <f>'Functional Levels Drone Survey'!ES37-'Existing Levels Drone Survey'!ES37</f>
        <v>0.36756315789466498</v>
      </c>
      <c r="ET37" s="191">
        <f>'Functional Levels Drone Survey'!ET37-'Existing Levels Drone Survey'!ET37</f>
        <v>0.4528631578946829</v>
      </c>
      <c r="EU37" s="279">
        <f>'Functional Levels Drone Survey'!EU37-'Existing Levels Drone Survey'!EU37</f>
        <v>0.53086315789465743</v>
      </c>
      <c r="EV37" s="191">
        <f>'Functional Levels Drone Survey'!EV37-'Existing Levels Drone Survey'!EV37</f>
        <v>0.41766315789465125</v>
      </c>
      <c r="EW37" s="278">
        <f>'Functional Levels Drone Survey'!EW37-'Existing Levels Drone Survey'!EW37</f>
        <v>0.23196315789465416</v>
      </c>
      <c r="EX37" s="191">
        <f>'Functional Levels Drone Survey'!EX37-'Existing Levels Drone Survey'!EX37</f>
        <v>0</v>
      </c>
      <c r="EY37" s="191">
        <f>'Functional Levels Drone Survey'!EY37-'Existing Levels Drone Survey'!EY37</f>
        <v>0</v>
      </c>
    </row>
    <row r="38" spans="1:155" ht="45" customHeight="1" x14ac:dyDescent="0.45">
      <c r="A38" s="277">
        <v>185</v>
      </c>
      <c r="B38" s="191">
        <f>'Functional Levels Drone Survey'!B38-'Existing Levels Drone Survey'!B38</f>
        <v>0</v>
      </c>
      <c r="C38" s="191">
        <f>'Functional Levels Drone Survey'!C38-'Existing Levels Drone Survey'!C38</f>
        <v>0</v>
      </c>
      <c r="D38" s="191">
        <f>'Functional Levels Drone Survey'!D38-'Existing Levels Drone Survey'!D38</f>
        <v>0</v>
      </c>
      <c r="E38" s="191">
        <f>'Functional Levels Drone Survey'!E38-'Existing Levels Drone Survey'!E38</f>
        <v>0</v>
      </c>
      <c r="F38" s="191">
        <f>'Functional Levels Drone Survey'!F38-'Existing Levels Drone Survey'!F38</f>
        <v>0</v>
      </c>
      <c r="G38" s="191">
        <f>'Functional Levels Drone Survey'!G38-'Existing Levels Drone Survey'!G38</f>
        <v>0</v>
      </c>
      <c r="H38" s="191">
        <f>'Functional Levels Drone Survey'!H38-'Existing Levels Drone Survey'!H38</f>
        <v>0</v>
      </c>
      <c r="I38" s="191">
        <f>'Functional Levels Drone Survey'!I38-'Existing Levels Drone Survey'!I38</f>
        <v>0</v>
      </c>
      <c r="J38" s="191">
        <f>'Functional Levels Drone Survey'!J38-'Existing Levels Drone Survey'!J38</f>
        <v>0</v>
      </c>
      <c r="K38" s="191">
        <f>'Functional Levels Drone Survey'!K38-'Existing Levels Drone Survey'!K38</f>
        <v>0</v>
      </c>
      <c r="L38" s="191">
        <f>'Functional Levels Drone Survey'!L38-'Existing Levels Drone Survey'!L38</f>
        <v>0</v>
      </c>
      <c r="M38" s="191">
        <f>'Functional Levels Drone Survey'!M38-'Existing Levels Drone Survey'!M38</f>
        <v>0</v>
      </c>
      <c r="N38" s="191">
        <f>'Functional Levels Drone Survey'!N38-'Existing Levels Drone Survey'!N38</f>
        <v>0</v>
      </c>
      <c r="O38" s="191">
        <f>'Functional Levels Drone Survey'!O38-'Existing Levels Drone Survey'!O38</f>
        <v>0</v>
      </c>
      <c r="P38" s="191">
        <f>'Functional Levels Drone Survey'!P38-'Existing Levels Drone Survey'!P38</f>
        <v>0</v>
      </c>
      <c r="Q38" s="191">
        <f>'Functional Levels Drone Survey'!Q38-'Existing Levels Drone Survey'!Q38</f>
        <v>0</v>
      </c>
      <c r="R38" s="191">
        <f>'Functional Levels Drone Survey'!R38-'Existing Levels Drone Survey'!R38</f>
        <v>0</v>
      </c>
      <c r="S38" s="191">
        <f>'Functional Levels Drone Survey'!S38-'Existing Levels Drone Survey'!S38</f>
        <v>0</v>
      </c>
      <c r="T38" s="191">
        <f>'Functional Levels Drone Survey'!T38-'Existing Levels Drone Survey'!T38</f>
        <v>0</v>
      </c>
      <c r="U38" s="191">
        <f>'Functional Levels Drone Survey'!U38-'Existing Levels Drone Survey'!U38</f>
        <v>0</v>
      </c>
      <c r="V38" s="191">
        <f>'Functional Levels Drone Survey'!V38-'Existing Levels Drone Survey'!V38</f>
        <v>0</v>
      </c>
      <c r="W38" s="191">
        <f>'Functional Levels Drone Survey'!W38-'Existing Levels Drone Survey'!W38</f>
        <v>0</v>
      </c>
      <c r="X38" s="191">
        <f>'Functional Levels Drone Survey'!X38-'Existing Levels Drone Survey'!X38</f>
        <v>0</v>
      </c>
      <c r="Y38" s="191">
        <f>'Functional Levels Drone Survey'!Y38-'Existing Levels Drone Survey'!Y38</f>
        <v>0</v>
      </c>
      <c r="Z38" s="191">
        <f>'Functional Levels Drone Survey'!Z38-'Existing Levels Drone Survey'!Z38</f>
        <v>0</v>
      </c>
      <c r="AA38" s="191">
        <f>'Functional Levels Drone Survey'!AA38-'Existing Levels Drone Survey'!AA38</f>
        <v>0</v>
      </c>
      <c r="AB38" s="191">
        <f>'Functional Levels Drone Survey'!AB38-'Existing Levels Drone Survey'!AB38</f>
        <v>0</v>
      </c>
      <c r="AC38" s="191">
        <f>'Functional Levels Drone Survey'!AC38-'Existing Levels Drone Survey'!AC38</f>
        <v>0</v>
      </c>
      <c r="AD38" s="191">
        <f>'Functional Levels Drone Survey'!AD38-'Existing Levels Drone Survey'!AD38</f>
        <v>0</v>
      </c>
      <c r="AE38" s="191">
        <f>'Functional Levels Drone Survey'!AE38-'Existing Levels Drone Survey'!AE38</f>
        <v>0</v>
      </c>
      <c r="AF38" s="191">
        <f>'Functional Levels Drone Survey'!AF38-'Existing Levels Drone Survey'!AF38</f>
        <v>0</v>
      </c>
      <c r="AG38" s="191">
        <f>'Functional Levels Drone Survey'!AG38-'Existing Levels Drone Survey'!AG38</f>
        <v>0</v>
      </c>
      <c r="AH38" s="191">
        <f>'Functional Levels Drone Survey'!AH38-'Existing Levels Drone Survey'!AH38</f>
        <v>0</v>
      </c>
      <c r="AI38" s="191">
        <f>'Functional Levels Drone Survey'!AI38-'Existing Levels Drone Survey'!AI38</f>
        <v>0</v>
      </c>
      <c r="AJ38" s="191">
        <f>'Functional Levels Drone Survey'!AJ38-'Existing Levels Drone Survey'!AJ38</f>
        <v>0</v>
      </c>
      <c r="AK38" s="191">
        <f>'Functional Levels Drone Survey'!AK38-'Existing Levels Drone Survey'!AK38</f>
        <v>0</v>
      </c>
      <c r="AL38" s="191">
        <f>'Functional Levels Drone Survey'!AL38-'Existing Levels Drone Survey'!AL38</f>
        <v>0</v>
      </c>
      <c r="AM38" s="191">
        <f>'Functional Levels Drone Survey'!AM38-'Existing Levels Drone Survey'!AM38</f>
        <v>0</v>
      </c>
      <c r="AN38" s="191">
        <f>'Functional Levels Drone Survey'!AN38-'Existing Levels Drone Survey'!AN38</f>
        <v>0</v>
      </c>
      <c r="AO38" s="191">
        <f>'Functional Levels Drone Survey'!AO38-'Existing Levels Drone Survey'!AO38</f>
        <v>0</v>
      </c>
      <c r="AP38" s="191">
        <f>'Functional Levels Drone Survey'!AP38-'Existing Levels Drone Survey'!AP38</f>
        <v>0</v>
      </c>
      <c r="AQ38" s="191">
        <f>'Functional Levels Drone Survey'!AQ38-'Existing Levels Drone Survey'!AQ38</f>
        <v>0</v>
      </c>
      <c r="AR38" s="191">
        <f>'Functional Levels Drone Survey'!AR38-'Existing Levels Drone Survey'!AR38</f>
        <v>0</v>
      </c>
      <c r="AS38" s="191">
        <f>'Functional Levels Drone Survey'!AS38-'Existing Levels Drone Survey'!AS38</f>
        <v>0</v>
      </c>
      <c r="AT38" s="191">
        <f>'Functional Levels Drone Survey'!AT38-'Existing Levels Drone Survey'!AT38</f>
        <v>0</v>
      </c>
      <c r="AU38" s="191">
        <f>'Functional Levels Drone Survey'!AU38-'Existing Levels Drone Survey'!AU38</f>
        <v>0</v>
      </c>
      <c r="AV38" s="191">
        <f>'Functional Levels Drone Survey'!AV38-'Existing Levels Drone Survey'!AV38</f>
        <v>0</v>
      </c>
      <c r="AW38" s="191">
        <f>'Functional Levels Drone Survey'!AW38-'Existing Levels Drone Survey'!AW38</f>
        <v>0</v>
      </c>
      <c r="AX38" s="191">
        <f>'Functional Levels Drone Survey'!AX38-'Existing Levels Drone Survey'!AX38</f>
        <v>0</v>
      </c>
      <c r="AY38" s="191">
        <f>'Functional Levels Drone Survey'!AY38-'Existing Levels Drone Survey'!AY38</f>
        <v>0</v>
      </c>
      <c r="AZ38" s="191">
        <f>'Functional Levels Drone Survey'!AZ38-'Existing Levels Drone Survey'!AZ38</f>
        <v>0</v>
      </c>
      <c r="BA38" s="278">
        <f>'Functional Levels Drone Survey'!BA38-'Existing Levels Drone Survey'!BA38</f>
        <v>-0.4322600000000989</v>
      </c>
      <c r="BB38" s="279">
        <f>'Functional Levels Drone Survey'!BB38-'Existing Levels Drone Survey'!BB38</f>
        <v>-8.2260000000076161E-2</v>
      </c>
      <c r="BC38" s="191">
        <f>'Functional Levels Drone Survey'!BC38-'Existing Levels Drone Survey'!BC38</f>
        <v>-0.27516000000008489</v>
      </c>
      <c r="BD38" s="191">
        <f>'Functional Levels Drone Survey'!BD38-'Existing Levels Drone Survey'!BD38</f>
        <v>-0.30146000000007689</v>
      </c>
      <c r="BE38" s="191">
        <f>'Functional Levels Drone Survey'!BE38-'Existing Levels Drone Survey'!BE38</f>
        <v>-0.29686000000009471</v>
      </c>
      <c r="BF38" s="191">
        <f>'Functional Levels Drone Survey'!BF38-'Existing Levels Drone Survey'!BF38</f>
        <v>-0.23546000000010281</v>
      </c>
      <c r="BG38" s="191">
        <f>'Functional Levels Drone Survey'!BG38-'Existing Levels Drone Survey'!BG38</f>
        <v>-0.18546000000009144</v>
      </c>
      <c r="BH38" s="191">
        <f>'Functional Levels Drone Survey'!BH38-'Existing Levels Drone Survey'!BH38</f>
        <v>-0.15796000000005961</v>
      </c>
      <c r="BI38" s="191">
        <f>'Functional Levels Drone Survey'!BI38-'Existing Levels Drone Survey'!BI38</f>
        <v>-0.24536000000006197</v>
      </c>
      <c r="BJ38" s="191">
        <f>'Functional Levels Drone Survey'!BJ38-'Existing Levels Drone Survey'!BJ38</f>
        <v>-0.29036000000007789</v>
      </c>
      <c r="BK38" s="191">
        <f>'Functional Levels Drone Survey'!BK38-'Existing Levels Drone Survey'!BK38</f>
        <v>-0.23006000000009408</v>
      </c>
      <c r="BL38" s="191">
        <f>'Functional Levels Drone Survey'!BL38-'Existing Levels Drone Survey'!BL38</f>
        <v>1.0339999999928295E-2</v>
      </c>
      <c r="BM38" s="191">
        <f>'Functional Levels Drone Survey'!BM38-'Existing Levels Drone Survey'!BM38</f>
        <v>-4.7860000000071068E-2</v>
      </c>
      <c r="BN38" s="191">
        <f>'Functional Levels Drone Survey'!BN38-'Existing Levels Drone Survey'!BN38</f>
        <v>-3.6160000000108994E-2</v>
      </c>
      <c r="BO38" s="191">
        <f>'Functional Levels Drone Survey'!BO38-'Existing Levels Drone Survey'!BO38</f>
        <v>-5.9860000000071523E-2</v>
      </c>
      <c r="BP38" s="191">
        <f>'Functional Levels Drone Survey'!BP38-'Existing Levels Drone Survey'!BP38</f>
        <v>-3.9960000000064611E-2</v>
      </c>
      <c r="BQ38" s="191">
        <f>'Functional Levels Drone Survey'!BQ38-'Existing Levels Drone Survey'!BQ38</f>
        <v>5.6139999999913925E-2</v>
      </c>
      <c r="BR38" s="191">
        <f>'Functional Levels Drone Survey'!BR38-'Existing Levels Drone Survey'!BR38</f>
        <v>4.5639999999934844E-2</v>
      </c>
      <c r="BS38" s="191">
        <f>'Functional Levels Drone Survey'!BS38-'Existing Levels Drone Survey'!BS38</f>
        <v>-7.6660000000060791E-2</v>
      </c>
      <c r="BT38" s="191">
        <f>'Functional Levels Drone Survey'!BT38-'Existing Levels Drone Survey'!BT38</f>
        <v>3.0439999999941847E-2</v>
      </c>
      <c r="BU38" s="279">
        <f>'Functional Levels Drone Survey'!BU38-'Existing Levels Drone Survey'!BU38</f>
        <v>0.18383999999991829</v>
      </c>
      <c r="BV38" s="191">
        <f>'Functional Levels Drone Survey'!BV38-'Existing Levels Drone Survey'!BV38</f>
        <v>-7.5500000000033651E-2</v>
      </c>
      <c r="BW38" s="279">
        <f>'Functional Levels Drone Survey'!BW38-'Existing Levels Drone Survey'!BW38</f>
        <v>-0.12750000000005457</v>
      </c>
      <c r="BX38" s="191">
        <f>'Functional Levels Drone Survey'!BX38-'Existing Levels Drone Survey'!BX38</f>
        <v>-4.9000000000035016E-2</v>
      </c>
      <c r="BY38" s="191">
        <f>'Functional Levels Drone Survey'!BY38-'Existing Levels Drone Survey'!BY38</f>
        <v>-0.27700000000004366</v>
      </c>
      <c r="BZ38" s="191">
        <f>'Functional Levels Drone Survey'!BZ38-'Existing Levels Drone Survey'!BZ38</f>
        <v>7.3399999999935517E-2</v>
      </c>
      <c r="CA38" s="191">
        <f>'Functional Levels Drone Survey'!CA38-'Existing Levels Drone Survey'!CA38</f>
        <v>-0.26100000000008095</v>
      </c>
      <c r="CB38" s="191">
        <f>'Functional Levels Drone Survey'!CB38-'Existing Levels Drone Survey'!CB38</f>
        <v>-0.26410000000004175</v>
      </c>
      <c r="CC38" s="191">
        <f>'Functional Levels Drone Survey'!CC38-'Existing Levels Drone Survey'!CC38</f>
        <v>-0.27450000000004593</v>
      </c>
      <c r="CD38" s="191">
        <f>'Functional Levels Drone Survey'!CD38-'Existing Levels Drone Survey'!CD38</f>
        <v>-1.010000000007949E-2</v>
      </c>
      <c r="CE38" s="191">
        <f>'Functional Levels Drone Survey'!CE38-'Existing Levels Drone Survey'!CE38</f>
        <v>0.40639999999996235</v>
      </c>
      <c r="CF38" s="191">
        <f>'Functional Levels Drone Survey'!CF38-'Existing Levels Drone Survey'!CF38</f>
        <v>2.4199999999950705E-2</v>
      </c>
      <c r="CG38" s="191">
        <f>'Functional Levels Drone Survey'!CG38-'Existing Levels Drone Survey'!CG38</f>
        <v>-6.2900000000070122E-2</v>
      </c>
      <c r="CH38" s="191">
        <f>'Functional Levels Drone Survey'!CH38-'Existing Levels Drone Survey'!CH38</f>
        <v>-2.9900000000054661E-2</v>
      </c>
      <c r="CI38" s="191">
        <f>'Functional Levels Drone Survey'!CI38-'Existing Levels Drone Survey'!CI38</f>
        <v>-2.1500000000060027E-2</v>
      </c>
      <c r="CJ38" s="191">
        <f>'Functional Levels Drone Survey'!CJ38-'Existing Levels Drone Survey'!CJ38</f>
        <v>-0.21520000000003847</v>
      </c>
      <c r="CK38" s="191">
        <f>'Functional Levels Drone Survey'!CK38-'Existing Levels Drone Survey'!CK38</f>
        <v>-0.12280000000004065</v>
      </c>
      <c r="CL38" s="191">
        <f>'Functional Levels Drone Survey'!CL38-'Existing Levels Drone Survey'!CL38</f>
        <v>-7.6900000000080126E-2</v>
      </c>
      <c r="CM38" s="191">
        <f>'Functional Levels Drone Survey'!CM38-'Existing Levels Drone Survey'!CM38</f>
        <v>5.9999999996307452E-4</v>
      </c>
      <c r="CN38" s="279">
        <f>'Functional Levels Drone Survey'!CN38-'Existing Levels Drone Survey'!CN38</f>
        <v>-3.8700000000062573E-2</v>
      </c>
      <c r="CO38" s="191">
        <f>'Functional Levels Drone Survey'!CO38-'Existing Levels Drone Survey'!CO38</f>
        <v>-7.9133333333459177E-2</v>
      </c>
      <c r="CP38" s="191">
        <f>'Functional Levels Drone Survey'!CP38-'Existing Levels Drone Survey'!CP38</f>
        <v>-0.26263333333344008</v>
      </c>
      <c r="CQ38" s="279">
        <f>'Functional Levels Drone Survey'!CQ38-'Existing Levels Drone Survey'!CQ38</f>
        <v>-0.32553333333339651</v>
      </c>
      <c r="CR38" s="191">
        <f>'Functional Levels Drone Survey'!CR38-'Existing Levels Drone Survey'!CR38</f>
        <v>-0.34593333333344845</v>
      </c>
      <c r="CS38" s="191">
        <f>'Functional Levels Drone Survey'!CS38-'Existing Levels Drone Survey'!CS38</f>
        <v>-0.29913333333342962</v>
      </c>
      <c r="CT38" s="191">
        <f>'Functional Levels Drone Survey'!CT38-'Existing Levels Drone Survey'!CT38</f>
        <v>-2.7233333333413157E-2</v>
      </c>
      <c r="CU38" s="191">
        <f>'Functional Levels Drone Survey'!CU38-'Existing Levels Drone Survey'!CU38</f>
        <v>5.0666666665506455E-3</v>
      </c>
      <c r="CV38" s="191">
        <f>'Functional Levels Drone Survey'!CV38-'Existing Levels Drone Survey'!CV38</f>
        <v>-2.7333333333444898E-2</v>
      </c>
      <c r="CW38" s="191">
        <f>'Functional Levels Drone Survey'!CW38-'Existing Levels Drone Survey'!CW38</f>
        <v>-3.5233333333451355E-2</v>
      </c>
      <c r="CX38" s="191">
        <f>'Functional Levels Drone Survey'!CX38-'Existing Levels Drone Survey'!CX38</f>
        <v>-3.8833333333400333E-2</v>
      </c>
      <c r="CY38" s="191">
        <f>'Functional Levels Drone Survey'!CY38-'Existing Levels Drone Survey'!CY38</f>
        <v>7.3466666666547553E-2</v>
      </c>
      <c r="CZ38" s="191">
        <f>'Functional Levels Drone Survey'!CZ38-'Existing Levels Drone Survey'!CZ38</f>
        <v>-0.2057333333333986</v>
      </c>
      <c r="DA38" s="191">
        <f>'Functional Levels Drone Survey'!DA38-'Existing Levels Drone Survey'!DA38</f>
        <v>-2.9333333333397604E-2</v>
      </c>
      <c r="DB38" s="191">
        <f>'Functional Levels Drone Survey'!DB38-'Existing Levels Drone Survey'!DB38</f>
        <v>0.11606666666659748</v>
      </c>
      <c r="DC38" s="191">
        <f>'Functional Levels Drone Survey'!DC38-'Existing Levels Drone Survey'!DC38</f>
        <v>9.8666666665963021E-3</v>
      </c>
      <c r="DD38" s="191">
        <f>'Functional Levels Drone Survey'!DD38-'Existing Levels Drone Survey'!DD38</f>
        <v>0.10096666666657939</v>
      </c>
      <c r="DE38" s="191">
        <f>'Functional Levels Drone Survey'!DE38-'Existing Levels Drone Survey'!DE38</f>
        <v>0.13846666666660212</v>
      </c>
      <c r="DF38" s="191">
        <f>'Functional Levels Drone Survey'!DF38-'Existing Levels Drone Survey'!DF38</f>
        <v>7.3666666666554192E-2</v>
      </c>
      <c r="DG38" s="191">
        <f>'Functional Levels Drone Survey'!DG38-'Existing Levels Drone Survey'!DG38</f>
        <v>0.21746666666655301</v>
      </c>
      <c r="DH38" s="279">
        <f>'Functional Levels Drone Survey'!DH38-'Existing Levels Drone Survey'!DH38</f>
        <v>0.13866666666655192</v>
      </c>
      <c r="DI38" s="191">
        <f>'Functional Levels Drone Survey'!DI38-'Existing Levels Drone Survey'!DI38</f>
        <v>-1.383333333342307E-2</v>
      </c>
      <c r="DJ38" s="279">
        <f>'Functional Levels Drone Survey'!DJ38-'Existing Levels Drone Survey'!DJ38</f>
        <v>0.20192222222220835</v>
      </c>
      <c r="DK38" s="191">
        <f>'Functional Levels Drone Survey'!DK38-'Existing Levels Drone Survey'!DK38</f>
        <v>0.19712222222221953</v>
      </c>
      <c r="DL38" s="191">
        <f>'Functional Levels Drone Survey'!DL38-'Existing Levels Drone Survey'!DL38</f>
        <v>0.27002222222222372</v>
      </c>
      <c r="DM38" s="191">
        <f>'Functional Levels Drone Survey'!DM38-'Existing Levels Drone Survey'!DM38</f>
        <v>0.19062222222220271</v>
      </c>
      <c r="DN38" s="191">
        <f>'Functional Levels Drone Survey'!DN38-'Existing Levels Drone Survey'!DN38</f>
        <v>-6.7477777777810388E-2</v>
      </c>
      <c r="DO38" s="191">
        <f>'Functional Levels Drone Survey'!DO38-'Existing Levels Drone Survey'!DO38</f>
        <v>0.17552222222218461</v>
      </c>
      <c r="DP38" s="191">
        <f>'Functional Levels Drone Survey'!DP38-'Existing Levels Drone Survey'!DP38</f>
        <v>0.15082222222218888</v>
      </c>
      <c r="DQ38" s="191">
        <f>'Functional Levels Drone Survey'!DQ38-'Existing Levels Drone Survey'!DQ38</f>
        <v>-5.5477777777809933E-2</v>
      </c>
      <c r="DR38" s="191">
        <f>'Functional Levels Drone Survey'!DR38-'Existing Levels Drone Survey'!DR38</f>
        <v>9.4222222222185792E-2</v>
      </c>
      <c r="DS38" s="191">
        <f>'Functional Levels Drone Survey'!DS38-'Existing Levels Drone Survey'!DS38</f>
        <v>-0.13467777777776746</v>
      </c>
      <c r="DT38" s="191">
        <f>'Functional Levels Drone Survey'!DT38-'Existing Levels Drone Survey'!DT38</f>
        <v>-7.8877777777790925E-2</v>
      </c>
      <c r="DU38" s="191">
        <f>'Functional Levels Drone Survey'!DU38-'Existing Levels Drone Survey'!DU38</f>
        <v>2.5522222222207347E-2</v>
      </c>
      <c r="DV38" s="191">
        <f>'Functional Levels Drone Survey'!DV38-'Existing Levels Drone Survey'!DV38</f>
        <v>4.1522222222226901E-2</v>
      </c>
      <c r="DW38" s="191">
        <f>'Functional Levels Drone Survey'!DW38-'Existing Levels Drone Survey'!DW38</f>
        <v>0.36602222222222736</v>
      </c>
      <c r="DX38" s="191">
        <f>'Functional Levels Drone Survey'!DX38-'Existing Levels Drone Survey'!DX38</f>
        <v>0.40032222222220071</v>
      </c>
      <c r="DY38" s="191">
        <f>'Functional Levels Drone Survey'!DY38-'Existing Levels Drone Survey'!DY38</f>
        <v>3.3222222222207165E-2</v>
      </c>
      <c r="DZ38" s="191">
        <f>'Functional Levels Drone Survey'!DZ38-'Existing Levels Drone Survey'!DZ38</f>
        <v>0.32862222222217952</v>
      </c>
      <c r="EA38" s="279">
        <f>'Functional Levels Drone Survey'!EA38-'Existing Levels Drone Survey'!EA38</f>
        <v>0.2332222222221958</v>
      </c>
      <c r="EB38" s="191">
        <f>'Functional Levels Drone Survey'!EB38-'Existing Levels Drone Survey'!EB38</f>
        <v>-4.8136842105350297E-2</v>
      </c>
      <c r="EC38" s="279">
        <f>'Functional Levels Drone Survey'!EC38-'Existing Levels Drone Survey'!EC38</f>
        <v>0.1736631578946799</v>
      </c>
      <c r="ED38" s="191">
        <f>'Functional Levels Drone Survey'!ED38-'Existing Levels Drone Survey'!ED38</f>
        <v>5.2763157894673895E-2</v>
      </c>
      <c r="EE38" s="191">
        <f>'Functional Levels Drone Survey'!EE38-'Existing Levels Drone Survey'!EE38</f>
        <v>-0.1761368421053362</v>
      </c>
      <c r="EF38" s="191">
        <f>'Functional Levels Drone Survey'!EF38-'Existing Levels Drone Survey'!EF38</f>
        <v>6.4063157894679534E-2</v>
      </c>
      <c r="EG38" s="191">
        <f>'Functional Levels Drone Survey'!EG38-'Existing Levels Drone Survey'!EG38</f>
        <v>0.36056315789465998</v>
      </c>
      <c r="EH38" s="191">
        <f>'Functional Levels Drone Survey'!EH38-'Existing Levels Drone Survey'!EH38</f>
        <v>0.13586315789467562</v>
      </c>
      <c r="EI38" s="191">
        <f>'Functional Levels Drone Survey'!EI38-'Existing Levels Drone Survey'!EI38</f>
        <v>0.1503631578946738</v>
      </c>
      <c r="EJ38" s="191">
        <f>'Functional Levels Drone Survey'!EJ38-'Existing Levels Drone Survey'!EJ38</f>
        <v>0.14536315789467835</v>
      </c>
      <c r="EK38" s="191">
        <f>'Functional Levels Drone Survey'!EK38-'Existing Levels Drone Survey'!EK38</f>
        <v>0.32736315789469472</v>
      </c>
      <c r="EL38" s="191">
        <f>'Functional Levels Drone Survey'!EL38-'Existing Levels Drone Survey'!EL38</f>
        <v>0.36846315789466644</v>
      </c>
      <c r="EM38" s="191">
        <f>'Functional Levels Drone Survey'!EM38-'Existing Levels Drone Survey'!EM38</f>
        <v>0.42996315789469008</v>
      </c>
      <c r="EN38" s="191">
        <f>'Functional Levels Drone Survey'!EN38-'Existing Levels Drone Survey'!EN38</f>
        <v>0.47036315789466698</v>
      </c>
      <c r="EO38" s="191">
        <f>'Functional Levels Drone Survey'!EO38-'Existing Levels Drone Survey'!EO38</f>
        <v>0.27706315789464497</v>
      </c>
      <c r="EP38" s="191">
        <f>'Functional Levels Drone Survey'!EP38-'Existing Levels Drone Survey'!EP38</f>
        <v>0.31936315789465652</v>
      </c>
      <c r="EQ38" s="191">
        <f>'Functional Levels Drone Survey'!EQ38-'Existing Levels Drone Survey'!EQ38</f>
        <v>0.18826315789465298</v>
      </c>
      <c r="ER38" s="191">
        <f>'Functional Levels Drone Survey'!ER38-'Existing Levels Drone Survey'!ER38</f>
        <v>1.2663157894678534E-2</v>
      </c>
      <c r="ES38" s="191">
        <f>'Functional Levels Drone Survey'!ES38-'Existing Levels Drone Survey'!ES38</f>
        <v>0.108163157894694</v>
      </c>
      <c r="ET38" s="191">
        <f>'Functional Levels Drone Survey'!ET38-'Existing Levels Drone Survey'!ET38</f>
        <v>0.2501631578946899</v>
      </c>
      <c r="EU38" s="279">
        <f>'Functional Levels Drone Survey'!EU38-'Existing Levels Drone Survey'!EU38</f>
        <v>0.12016315789469445</v>
      </c>
      <c r="EV38" s="191">
        <f>'Functional Levels Drone Survey'!EV38-'Existing Levels Drone Survey'!EV38</f>
        <v>0.36246315789463779</v>
      </c>
      <c r="EW38" s="278">
        <f>'Functional Levels Drone Survey'!EW38-'Existing Levels Drone Survey'!EW38</f>
        <v>0.31746315789462187</v>
      </c>
      <c r="EX38" s="191">
        <f>'Functional Levels Drone Survey'!EX38-'Existing Levels Drone Survey'!EX38</f>
        <v>0</v>
      </c>
      <c r="EY38" s="191">
        <f>'Functional Levels Drone Survey'!EY38-'Existing Levels Drone Survey'!EY38</f>
        <v>0</v>
      </c>
    </row>
    <row r="39" spans="1:155" ht="45" customHeight="1" x14ac:dyDescent="0.45">
      <c r="A39" s="277">
        <v>190</v>
      </c>
      <c r="B39" s="191">
        <f>'Functional Levels Drone Survey'!B39-'Existing Levels Drone Survey'!B39</f>
        <v>0</v>
      </c>
      <c r="C39" s="191">
        <f>'Functional Levels Drone Survey'!C39-'Existing Levels Drone Survey'!C39</f>
        <v>0</v>
      </c>
      <c r="D39" s="191">
        <f>'Functional Levels Drone Survey'!D39-'Existing Levels Drone Survey'!D39</f>
        <v>0</v>
      </c>
      <c r="E39" s="191">
        <f>'Functional Levels Drone Survey'!E39-'Existing Levels Drone Survey'!E39</f>
        <v>0</v>
      </c>
      <c r="F39" s="191">
        <f>'Functional Levels Drone Survey'!F39-'Existing Levels Drone Survey'!F39</f>
        <v>0</v>
      </c>
      <c r="G39" s="191">
        <f>'Functional Levels Drone Survey'!G39-'Existing Levels Drone Survey'!G39</f>
        <v>0</v>
      </c>
      <c r="H39" s="191">
        <f>'Functional Levels Drone Survey'!H39-'Existing Levels Drone Survey'!H39</f>
        <v>0</v>
      </c>
      <c r="I39" s="191">
        <f>'Functional Levels Drone Survey'!I39-'Existing Levels Drone Survey'!I39</f>
        <v>0</v>
      </c>
      <c r="J39" s="191">
        <f>'Functional Levels Drone Survey'!J39-'Existing Levels Drone Survey'!J39</f>
        <v>0</v>
      </c>
      <c r="K39" s="191">
        <f>'Functional Levels Drone Survey'!K39-'Existing Levels Drone Survey'!K39</f>
        <v>0</v>
      </c>
      <c r="L39" s="191">
        <f>'Functional Levels Drone Survey'!L39-'Existing Levels Drone Survey'!L39</f>
        <v>0</v>
      </c>
      <c r="M39" s="191">
        <f>'Functional Levels Drone Survey'!M39-'Existing Levels Drone Survey'!M39</f>
        <v>0</v>
      </c>
      <c r="N39" s="191">
        <f>'Functional Levels Drone Survey'!N39-'Existing Levels Drone Survey'!N39</f>
        <v>0</v>
      </c>
      <c r="O39" s="191">
        <f>'Functional Levels Drone Survey'!O39-'Existing Levels Drone Survey'!O39</f>
        <v>0</v>
      </c>
      <c r="P39" s="191">
        <f>'Functional Levels Drone Survey'!P39-'Existing Levels Drone Survey'!P39</f>
        <v>0</v>
      </c>
      <c r="Q39" s="191">
        <f>'Functional Levels Drone Survey'!Q39-'Existing Levels Drone Survey'!Q39</f>
        <v>0</v>
      </c>
      <c r="R39" s="191">
        <f>'Functional Levels Drone Survey'!R39-'Existing Levels Drone Survey'!R39</f>
        <v>0</v>
      </c>
      <c r="S39" s="191">
        <f>'Functional Levels Drone Survey'!S39-'Existing Levels Drone Survey'!S39</f>
        <v>0</v>
      </c>
      <c r="T39" s="191">
        <f>'Functional Levels Drone Survey'!T39-'Existing Levels Drone Survey'!T39</f>
        <v>0</v>
      </c>
      <c r="U39" s="191">
        <f>'Functional Levels Drone Survey'!U39-'Existing Levels Drone Survey'!U39</f>
        <v>0</v>
      </c>
      <c r="V39" s="191">
        <f>'Functional Levels Drone Survey'!V39-'Existing Levels Drone Survey'!V39</f>
        <v>0</v>
      </c>
      <c r="W39" s="191">
        <f>'Functional Levels Drone Survey'!W39-'Existing Levels Drone Survey'!W39</f>
        <v>0</v>
      </c>
      <c r="X39" s="191">
        <f>'Functional Levels Drone Survey'!X39-'Existing Levels Drone Survey'!X39</f>
        <v>0</v>
      </c>
      <c r="Y39" s="191">
        <f>'Functional Levels Drone Survey'!Y39-'Existing Levels Drone Survey'!Y39</f>
        <v>0</v>
      </c>
      <c r="Z39" s="191">
        <f>'Functional Levels Drone Survey'!Z39-'Existing Levels Drone Survey'!Z39</f>
        <v>0</v>
      </c>
      <c r="AA39" s="191">
        <f>'Functional Levels Drone Survey'!AA39-'Existing Levels Drone Survey'!AA39</f>
        <v>0</v>
      </c>
      <c r="AB39" s="191">
        <f>'Functional Levels Drone Survey'!AB39-'Existing Levels Drone Survey'!AB39</f>
        <v>0</v>
      </c>
      <c r="AC39" s="191">
        <f>'Functional Levels Drone Survey'!AC39-'Existing Levels Drone Survey'!AC39</f>
        <v>0</v>
      </c>
      <c r="AD39" s="191">
        <f>'Functional Levels Drone Survey'!AD39-'Existing Levels Drone Survey'!AD39</f>
        <v>0</v>
      </c>
      <c r="AE39" s="191">
        <f>'Functional Levels Drone Survey'!AE39-'Existing Levels Drone Survey'!AE39</f>
        <v>0</v>
      </c>
      <c r="AF39" s="191">
        <f>'Functional Levels Drone Survey'!AF39-'Existing Levels Drone Survey'!AF39</f>
        <v>0</v>
      </c>
      <c r="AG39" s="191">
        <f>'Functional Levels Drone Survey'!AG39-'Existing Levels Drone Survey'!AG39</f>
        <v>0</v>
      </c>
      <c r="AH39" s="191">
        <f>'Functional Levels Drone Survey'!AH39-'Existing Levels Drone Survey'!AH39</f>
        <v>0</v>
      </c>
      <c r="AI39" s="191">
        <f>'Functional Levels Drone Survey'!AI39-'Existing Levels Drone Survey'!AI39</f>
        <v>0</v>
      </c>
      <c r="AJ39" s="191">
        <f>'Functional Levels Drone Survey'!AJ39-'Existing Levels Drone Survey'!AJ39</f>
        <v>0</v>
      </c>
      <c r="AK39" s="191">
        <f>'Functional Levels Drone Survey'!AK39-'Existing Levels Drone Survey'!AK39</f>
        <v>0</v>
      </c>
      <c r="AL39" s="191">
        <f>'Functional Levels Drone Survey'!AL39-'Existing Levels Drone Survey'!AL39</f>
        <v>0</v>
      </c>
      <c r="AM39" s="191">
        <f>'Functional Levels Drone Survey'!AM39-'Existing Levels Drone Survey'!AM39</f>
        <v>0</v>
      </c>
      <c r="AN39" s="191">
        <f>'Functional Levels Drone Survey'!AN39-'Existing Levels Drone Survey'!AN39</f>
        <v>0</v>
      </c>
      <c r="AO39" s="191">
        <f>'Functional Levels Drone Survey'!AO39-'Existing Levels Drone Survey'!AO39</f>
        <v>0</v>
      </c>
      <c r="AP39" s="191">
        <f>'Functional Levels Drone Survey'!AP39-'Existing Levels Drone Survey'!AP39</f>
        <v>0</v>
      </c>
      <c r="AQ39" s="191">
        <f>'Functional Levels Drone Survey'!AQ39-'Existing Levels Drone Survey'!AQ39</f>
        <v>0</v>
      </c>
      <c r="AR39" s="191">
        <f>'Functional Levels Drone Survey'!AR39-'Existing Levels Drone Survey'!AR39</f>
        <v>0</v>
      </c>
      <c r="AS39" s="191">
        <f>'Functional Levels Drone Survey'!AS39-'Existing Levels Drone Survey'!AS39</f>
        <v>0</v>
      </c>
      <c r="AT39" s="191">
        <f>'Functional Levels Drone Survey'!AT39-'Existing Levels Drone Survey'!AT39</f>
        <v>0</v>
      </c>
      <c r="AU39" s="191">
        <f>'Functional Levels Drone Survey'!AU39-'Existing Levels Drone Survey'!AU39</f>
        <v>0</v>
      </c>
      <c r="AV39" s="191">
        <f>'Functional Levels Drone Survey'!AV39-'Existing Levels Drone Survey'!AV39</f>
        <v>0</v>
      </c>
      <c r="AW39" s="191">
        <f>'Functional Levels Drone Survey'!AW39-'Existing Levels Drone Survey'!AW39</f>
        <v>0</v>
      </c>
      <c r="AX39" s="191">
        <f>'Functional Levels Drone Survey'!AX39-'Existing Levels Drone Survey'!AX39</f>
        <v>0</v>
      </c>
      <c r="AY39" s="191">
        <f>'Functional Levels Drone Survey'!AY39-'Existing Levels Drone Survey'!AY39</f>
        <v>0</v>
      </c>
      <c r="AZ39" s="191">
        <f>'Functional Levels Drone Survey'!AZ39-'Existing Levels Drone Survey'!AZ39</f>
        <v>0</v>
      </c>
      <c r="BA39" s="278">
        <f>'Functional Levels Drone Survey'!BA39-'Existing Levels Drone Survey'!BA39</f>
        <v>-0.49426000000011072</v>
      </c>
      <c r="BB39" s="279">
        <f>'Functional Levels Drone Survey'!BB39-'Existing Levels Drone Survey'!BB39</f>
        <v>-0.40646000000009508</v>
      </c>
      <c r="BC39" s="191">
        <f>'Functional Levels Drone Survey'!BC39-'Existing Levels Drone Survey'!BC39</f>
        <v>-0.41026000000010754</v>
      </c>
      <c r="BD39" s="191">
        <f>'Functional Levels Drone Survey'!BD39-'Existing Levels Drone Survey'!BD39</f>
        <v>-0.40066000000007307</v>
      </c>
      <c r="BE39" s="191">
        <f>'Functional Levels Drone Survey'!BE39-'Existing Levels Drone Survey'!BE39</f>
        <v>-0.35746000000011691</v>
      </c>
      <c r="BF39" s="191">
        <f>'Functional Levels Drone Survey'!BF39-'Existing Levels Drone Survey'!BF39</f>
        <v>-0.2558600000000979</v>
      </c>
      <c r="BG39" s="191">
        <f>'Functional Levels Drone Survey'!BG39-'Existing Levels Drone Survey'!BG39</f>
        <v>-0.23546000000010281</v>
      </c>
      <c r="BH39" s="191">
        <f>'Functional Levels Drone Survey'!BH39-'Existing Levels Drone Survey'!BH39</f>
        <v>-0.20756000000011454</v>
      </c>
      <c r="BI39" s="191">
        <f>'Functional Levels Drone Survey'!BI39-'Existing Levels Drone Survey'!BI39</f>
        <v>-0.29126000000007934</v>
      </c>
      <c r="BJ39" s="191">
        <f>'Functional Levels Drone Survey'!BJ39-'Existing Levels Drone Survey'!BJ39</f>
        <v>-0.22766000000007125</v>
      </c>
      <c r="BK39" s="191">
        <f>'Functional Levels Drone Survey'!BK39-'Existing Levels Drone Survey'!BK39</f>
        <v>-0.28736000000009199</v>
      </c>
      <c r="BL39" s="191">
        <f>'Functional Levels Drone Survey'!BL39-'Existing Levels Drone Survey'!BL39</f>
        <v>-0.17206000000010135</v>
      </c>
      <c r="BM39" s="191">
        <f>'Functional Levels Drone Survey'!BM39-'Existing Levels Drone Survey'!BM39</f>
        <v>-0.16506000000009635</v>
      </c>
      <c r="BN39" s="191">
        <f>'Functional Levels Drone Survey'!BN39-'Existing Levels Drone Survey'!BN39</f>
        <v>-0.10036000000008016</v>
      </c>
      <c r="BO39" s="191">
        <f>'Functional Levels Drone Survey'!BO39-'Existing Levels Drone Survey'!BO39</f>
        <v>-0.13506000000012364</v>
      </c>
      <c r="BP39" s="191">
        <f>'Functional Levels Drone Survey'!BP39-'Existing Levels Drone Survey'!BP39</f>
        <v>1.3839999999902375E-2</v>
      </c>
      <c r="BQ39" s="191">
        <f>'Functional Levels Drone Survey'!BQ39-'Existing Levels Drone Survey'!BQ39</f>
        <v>3.7039999999876727E-2</v>
      </c>
      <c r="BR39" s="191">
        <f>'Functional Levels Drone Survey'!BR39-'Existing Levels Drone Survey'!BR39</f>
        <v>9.7639999999898919E-2</v>
      </c>
      <c r="BS39" s="191">
        <f>'Functional Levels Drone Survey'!BS39-'Existing Levels Drone Survey'!BS39</f>
        <v>-3.6960000000078708E-2</v>
      </c>
      <c r="BT39" s="191">
        <f>'Functional Levels Drone Survey'!BT39-'Existing Levels Drone Survey'!BT39</f>
        <v>3.5739999999918837E-2</v>
      </c>
      <c r="BU39" s="279">
        <f>'Functional Levels Drone Survey'!BU39-'Existing Levels Drone Survey'!BU39</f>
        <v>0.13233999999988555</v>
      </c>
      <c r="BV39" s="191">
        <f>'Functional Levels Drone Survey'!BV39-'Existing Levels Drone Survey'!BV39</f>
        <v>-0.21890000000001919</v>
      </c>
      <c r="BW39" s="279">
        <f>'Functional Levels Drone Survey'!BW39-'Existing Levels Drone Survey'!BW39</f>
        <v>-6.8000000000040473E-2</v>
      </c>
      <c r="BX39" s="191">
        <f>'Functional Levels Drone Survey'!BX39-'Existing Levels Drone Survey'!BX39</f>
        <v>-8.9900000000056934E-2</v>
      </c>
      <c r="BY39" s="191">
        <f>'Functional Levels Drone Survey'!BY39-'Existing Levels Drone Survey'!BY39</f>
        <v>-0.41950000000008458</v>
      </c>
      <c r="BZ39" s="191">
        <f>'Functional Levels Drone Survey'!BZ39-'Existing Levels Drone Survey'!BZ39</f>
        <v>-0.35390000000006694</v>
      </c>
      <c r="CA39" s="191">
        <f>'Functional Levels Drone Survey'!CA39-'Existing Levels Drone Survey'!CA39</f>
        <v>-0.26430000000004839</v>
      </c>
      <c r="CB39" s="191">
        <f>'Functional Levels Drone Survey'!CB39-'Existing Levels Drone Survey'!CB39</f>
        <v>-2.4000000000796717E-3</v>
      </c>
      <c r="CC39" s="191">
        <f>'Functional Levels Drone Survey'!CC39-'Existing Levels Drone Survey'!CC39</f>
        <v>-0.20990000000006148</v>
      </c>
      <c r="CD39" s="191">
        <f>'Functional Levels Drone Survey'!CD39-'Existing Levels Drone Survey'!CD39</f>
        <v>-0.16250000000007958</v>
      </c>
      <c r="CE39" s="191">
        <f>'Functional Levels Drone Survey'!CE39-'Existing Levels Drone Survey'!CE39</f>
        <v>-0.23420000000004393</v>
      </c>
      <c r="CF39" s="191">
        <f>'Functional Levels Drone Survey'!CF39-'Existing Levels Drone Survey'!CF39</f>
        <v>-0.19660000000004629</v>
      </c>
      <c r="CG39" s="191">
        <f>'Functional Levels Drone Survey'!CG39-'Existing Levels Drone Survey'!CG39</f>
        <v>-9.6200000000067121E-2</v>
      </c>
      <c r="CH39" s="191">
        <f>'Functional Levels Drone Survey'!CH39-'Existing Levels Drone Survey'!CH39</f>
        <v>-0.21740000000005466</v>
      </c>
      <c r="CI39" s="191">
        <f>'Functional Levels Drone Survey'!CI39-'Existing Levels Drone Survey'!CI39</f>
        <v>-0.25290000000006785</v>
      </c>
      <c r="CJ39" s="191">
        <f>'Functional Levels Drone Survey'!CJ39-'Existing Levels Drone Survey'!CJ39</f>
        <v>-0.26160000000004402</v>
      </c>
      <c r="CK39" s="191">
        <f>'Functional Levels Drone Survey'!CK39-'Existing Levels Drone Survey'!CK39</f>
        <v>-0.24240000000008877</v>
      </c>
      <c r="CL39" s="191">
        <f>'Functional Levels Drone Survey'!CL39-'Existing Levels Drone Survey'!CL39</f>
        <v>-9.8100000000044929E-2</v>
      </c>
      <c r="CM39" s="191">
        <f>'Functional Levels Drone Survey'!CM39-'Existing Levels Drone Survey'!CM39</f>
        <v>-0.13970000000006166</v>
      </c>
      <c r="CN39" s="279">
        <f>'Functional Levels Drone Survey'!CN39-'Existing Levels Drone Survey'!CN39</f>
        <v>-0.16570000000007212</v>
      </c>
      <c r="CO39" s="191">
        <f>'Functional Levels Drone Survey'!CO39-'Existing Levels Drone Survey'!CO39</f>
        <v>-0.37183333333348401</v>
      </c>
      <c r="CP39" s="191">
        <f>'Functional Levels Drone Survey'!CP39-'Existing Levels Drone Survey'!CP39</f>
        <v>-0.44193333333345208</v>
      </c>
      <c r="CQ39" s="279">
        <f>'Functional Levels Drone Survey'!CQ39-'Existing Levels Drone Survey'!CQ39</f>
        <v>-0.4024333333334198</v>
      </c>
      <c r="CR39" s="191">
        <f>'Functional Levels Drone Survey'!CR39-'Existing Levels Drone Survey'!CR39</f>
        <v>-0.42523333333343771</v>
      </c>
      <c r="CS39" s="191">
        <f>'Functional Levels Drone Survey'!CS39-'Existing Levels Drone Survey'!CS39</f>
        <v>-0.38273333333341952</v>
      </c>
      <c r="CT39" s="191">
        <f>'Functional Levels Drone Survey'!CT39-'Existing Levels Drone Survey'!CT39</f>
        <v>-6.0633333333441897E-2</v>
      </c>
      <c r="CU39" s="191">
        <f>'Functional Levels Drone Survey'!CU39-'Existing Levels Drone Survey'!CU39</f>
        <v>2.5666666666552373E-2</v>
      </c>
      <c r="CV39" s="191">
        <f>'Functional Levels Drone Survey'!CV39-'Existing Levels Drone Survey'!CV39</f>
        <v>0.19686666666655128</v>
      </c>
      <c r="CW39" s="191">
        <f>'Functional Levels Drone Survey'!CW39-'Existing Levels Drone Survey'!CW39</f>
        <v>3.8866666666592664E-2</v>
      </c>
      <c r="CX39" s="191">
        <f>'Functional Levels Drone Survey'!CX39-'Existing Levels Drone Survey'!CX39</f>
        <v>3.4566666666592027E-2</v>
      </c>
      <c r="CY39" s="191">
        <f>'Functional Levels Drone Survey'!CY39-'Existing Levels Drone Survey'!CY39</f>
        <v>0.19096666666655437</v>
      </c>
      <c r="CZ39" s="191">
        <f>'Functional Levels Drone Survey'!CZ39-'Existing Levels Drone Survey'!CZ39</f>
        <v>0.15996666666654846</v>
      </c>
      <c r="DA39" s="191">
        <f>'Functional Levels Drone Survey'!DA39-'Existing Levels Drone Survey'!DA39</f>
        <v>2.5666666665529192E-3</v>
      </c>
      <c r="DB39" s="191">
        <f>'Functional Levels Drone Survey'!DB39-'Existing Levels Drone Survey'!DB39</f>
        <v>1.0666666665883895E-3</v>
      </c>
      <c r="DC39" s="191">
        <f>'Functional Levels Drone Survey'!DC39-'Existing Levels Drone Survey'!DC39</f>
        <v>8.3266666666588662E-2</v>
      </c>
      <c r="DD39" s="191">
        <f>'Functional Levels Drone Survey'!DD39-'Existing Levels Drone Survey'!DD39</f>
        <v>6.8566666666583842E-2</v>
      </c>
      <c r="DE39" s="191">
        <f>'Functional Levels Drone Survey'!DE39-'Existing Levels Drone Survey'!DE39</f>
        <v>0.13756666666654382</v>
      </c>
      <c r="DF39" s="191">
        <f>'Functional Levels Drone Survey'!DF39-'Existing Levels Drone Survey'!DF39</f>
        <v>4.8266666666563651E-2</v>
      </c>
      <c r="DG39" s="191">
        <f>'Functional Levels Drone Survey'!DG39-'Existing Levels Drone Survey'!DG39</f>
        <v>-8.5333333334460804E-3</v>
      </c>
      <c r="DH39" s="279">
        <f>'Functional Levels Drone Survey'!DH39-'Existing Levels Drone Survey'!DH39</f>
        <v>0.14546666666655028</v>
      </c>
      <c r="DI39" s="191">
        <f>'Functional Levels Drone Survey'!DI39-'Existing Levels Drone Survey'!DI39</f>
        <v>0.15746666666655074</v>
      </c>
      <c r="DJ39" s="279">
        <f>'Functional Levels Drone Survey'!DJ39-'Existing Levels Drone Survey'!DJ39</f>
        <v>0.17042222222221426</v>
      </c>
      <c r="DK39" s="191">
        <f>'Functional Levels Drone Survey'!DK39-'Existing Levels Drone Survey'!DK39</f>
        <v>0.13142222222217015</v>
      </c>
      <c r="DL39" s="191">
        <f>'Functional Levels Drone Survey'!DL39-'Existing Levels Drone Survey'!DL39</f>
        <v>0.18132222222220662</v>
      </c>
      <c r="DM39" s="191">
        <f>'Functional Levels Drone Survey'!DM39-'Existing Levels Drone Survey'!DM39</f>
        <v>0.10902222222222235</v>
      </c>
      <c r="DN39" s="191">
        <f>'Functional Levels Drone Survey'!DN39-'Existing Levels Drone Survey'!DN39</f>
        <v>5.1622222222192704E-2</v>
      </c>
      <c r="DO39" s="191">
        <f>'Functional Levels Drone Survey'!DO39-'Existing Levels Drone Survey'!DO39</f>
        <v>9.2222222222176242E-2</v>
      </c>
      <c r="DP39" s="191">
        <f>'Functional Levels Drone Survey'!DP39-'Existing Levels Drone Survey'!DP39</f>
        <v>0.12392222222217697</v>
      </c>
      <c r="DQ39" s="191">
        <f>'Functional Levels Drone Survey'!DQ39-'Existing Levels Drone Survey'!DQ39</f>
        <v>0.11452222222220598</v>
      </c>
      <c r="DR39" s="191">
        <f>'Functional Levels Drone Survey'!DR39-'Existing Levels Drone Survey'!DR39</f>
        <v>0.24532222222217115</v>
      </c>
      <c r="DS39" s="191">
        <f>'Functional Levels Drone Survey'!DS39-'Existing Levels Drone Survey'!DS39</f>
        <v>-0.20957777777778119</v>
      </c>
      <c r="DT39" s="191">
        <f>'Functional Levels Drone Survey'!DT39-'Existing Levels Drone Survey'!DT39</f>
        <v>-8.357777777780484E-2</v>
      </c>
      <c r="DU39" s="191">
        <f>'Functional Levels Drone Survey'!DU39-'Existing Levels Drone Survey'!DU39</f>
        <v>-6.4677777777831125E-2</v>
      </c>
      <c r="DV39" s="191">
        <f>'Functional Levels Drone Survey'!DV39-'Existing Levels Drone Survey'!DV39</f>
        <v>9.7522222222210075E-2</v>
      </c>
      <c r="DW39" s="191">
        <f>'Functional Levels Drone Survey'!DW39-'Existing Levels Drone Survey'!DW39</f>
        <v>0.19892222222222244</v>
      </c>
      <c r="DX39" s="191">
        <f>'Functional Levels Drone Survey'!DX39-'Existing Levels Drone Survey'!DX39</f>
        <v>9.1622222222213168E-2</v>
      </c>
      <c r="DY39" s="191">
        <f>'Functional Levels Drone Survey'!DY39-'Existing Levels Drone Survey'!DY39</f>
        <v>0.10852222222217733</v>
      </c>
      <c r="DZ39" s="191">
        <f>'Functional Levels Drone Survey'!DZ39-'Existing Levels Drone Survey'!DZ39</f>
        <v>-2.4377777777829124E-2</v>
      </c>
      <c r="EA39" s="279">
        <f>'Functional Levels Drone Survey'!EA39-'Existing Levels Drone Survey'!EA39</f>
        <v>5.0222222222203072E-2</v>
      </c>
      <c r="EB39" s="191">
        <f>'Functional Levels Drone Survey'!EB39-'Existing Levels Drone Survey'!EB39</f>
        <v>-5.4136842105378946E-2</v>
      </c>
      <c r="EC39" s="279">
        <f>'Functional Levels Drone Survey'!EC39-'Existing Levels Drone Survey'!EC39</f>
        <v>0.10396315789466826</v>
      </c>
      <c r="ED39" s="191">
        <f>'Functional Levels Drone Survey'!ED39-'Existing Levels Drone Survey'!ED39</f>
        <v>5.7063157894674532E-2</v>
      </c>
      <c r="EE39" s="191">
        <f>'Functional Levels Drone Survey'!EE39-'Existing Levels Drone Survey'!EE39</f>
        <v>-0.18033684210536194</v>
      </c>
      <c r="EF39" s="191">
        <f>'Functional Levels Drone Survey'!EF39-'Existing Levels Drone Survey'!EF39</f>
        <v>-4.1636842105333471E-2</v>
      </c>
      <c r="EG39" s="191">
        <f>'Functional Levels Drone Survey'!EG39-'Existing Levels Drone Survey'!EG39</f>
        <v>6.6963157894633696E-2</v>
      </c>
      <c r="EH39" s="191">
        <f>'Functional Levels Drone Survey'!EH39-'Existing Levels Drone Survey'!EH39</f>
        <v>0.10066315789464397</v>
      </c>
      <c r="EI39" s="191">
        <f>'Functional Levels Drone Survey'!EI39-'Existing Levels Drone Survey'!EI39</f>
        <v>0.10736315789466744</v>
      </c>
      <c r="EJ39" s="191">
        <f>'Functional Levels Drone Survey'!EJ39-'Existing Levels Drone Survey'!EJ39</f>
        <v>0.24176315789463843</v>
      </c>
      <c r="EK39" s="191">
        <f>'Functional Levels Drone Survey'!EK39-'Existing Levels Drone Survey'!EK39</f>
        <v>0.17956315789467681</v>
      </c>
      <c r="EL39" s="191">
        <f>'Functional Levels Drone Survey'!EL39-'Existing Levels Drone Survey'!EL39</f>
        <v>0.30326315789466207</v>
      </c>
      <c r="EM39" s="191">
        <f>'Functional Levels Drone Survey'!EM39-'Existing Levels Drone Survey'!EM39</f>
        <v>0.33316315789465989</v>
      </c>
      <c r="EN39" s="191">
        <f>'Functional Levels Drone Survey'!EN39-'Existing Levels Drone Survey'!EN39</f>
        <v>0.20906315789466134</v>
      </c>
      <c r="EO39" s="191">
        <f>'Functional Levels Drone Survey'!EO39-'Existing Levels Drone Survey'!EO39</f>
        <v>4.9363157894674714E-2</v>
      </c>
      <c r="EP39" s="191">
        <f>'Functional Levels Drone Survey'!EP39-'Existing Levels Drone Survey'!EP39</f>
        <v>-4.4436842105369578E-2</v>
      </c>
      <c r="EQ39" s="191">
        <f>'Functional Levels Drone Survey'!EQ39-'Existing Levels Drone Survey'!EQ39</f>
        <v>-0.15943684210532183</v>
      </c>
      <c r="ER39" s="191">
        <f>'Functional Levels Drone Survey'!ER39-'Existing Levels Drone Survey'!ER39</f>
        <v>9.0163157894664892E-2</v>
      </c>
      <c r="ES39" s="191">
        <f>'Functional Levels Drone Survey'!ES39-'Existing Levels Drone Survey'!ES39</f>
        <v>5.1631578946853551E-3</v>
      </c>
      <c r="ET39" s="191">
        <f>'Functional Levels Drone Survey'!ET39-'Existing Levels Drone Survey'!ET39</f>
        <v>-0.12863684210532256</v>
      </c>
      <c r="EU39" s="279">
        <f>'Functional Levels Drone Survey'!EU39-'Existing Levels Drone Survey'!EU39</f>
        <v>-6.7336842105362393E-2</v>
      </c>
      <c r="EV39" s="191">
        <f>'Functional Levels Drone Survey'!EV39-'Existing Levels Drone Survey'!EV39</f>
        <v>0.13486315789464243</v>
      </c>
      <c r="EW39" s="278">
        <f>'Functional Levels Drone Survey'!EW39-'Existing Levels Drone Survey'!EW39</f>
        <v>0.27176315789461114</v>
      </c>
      <c r="EX39" s="191">
        <f>'Functional Levels Drone Survey'!EX39-'Existing Levels Drone Survey'!EX39</f>
        <v>0</v>
      </c>
      <c r="EY39" s="191">
        <f>'Functional Levels Drone Survey'!EY39-'Existing Levels Drone Survey'!EY39</f>
        <v>0</v>
      </c>
    </row>
    <row r="40" spans="1:155" ht="45" customHeight="1" x14ac:dyDescent="0.45">
      <c r="A40" s="277">
        <v>195</v>
      </c>
      <c r="B40" s="191">
        <f>'Functional Levels Drone Survey'!B40-'Existing Levels Drone Survey'!B40</f>
        <v>0</v>
      </c>
      <c r="C40" s="191">
        <f>'Functional Levels Drone Survey'!C40-'Existing Levels Drone Survey'!C40</f>
        <v>0</v>
      </c>
      <c r="D40" s="191">
        <f>'Functional Levels Drone Survey'!D40-'Existing Levels Drone Survey'!D40</f>
        <v>0</v>
      </c>
      <c r="E40" s="191">
        <f>'Functional Levels Drone Survey'!E40-'Existing Levels Drone Survey'!E40</f>
        <v>0</v>
      </c>
      <c r="F40" s="191">
        <f>'Functional Levels Drone Survey'!F40-'Existing Levels Drone Survey'!F40</f>
        <v>0</v>
      </c>
      <c r="G40" s="191">
        <f>'Functional Levels Drone Survey'!G40-'Existing Levels Drone Survey'!G40</f>
        <v>0</v>
      </c>
      <c r="H40" s="191">
        <f>'Functional Levels Drone Survey'!H40-'Existing Levels Drone Survey'!H40</f>
        <v>0</v>
      </c>
      <c r="I40" s="191">
        <f>'Functional Levels Drone Survey'!I40-'Existing Levels Drone Survey'!I40</f>
        <v>0</v>
      </c>
      <c r="J40" s="191">
        <f>'Functional Levels Drone Survey'!J40-'Existing Levels Drone Survey'!J40</f>
        <v>0</v>
      </c>
      <c r="K40" s="191">
        <f>'Functional Levels Drone Survey'!K40-'Existing Levels Drone Survey'!K40</f>
        <v>0</v>
      </c>
      <c r="L40" s="191">
        <f>'Functional Levels Drone Survey'!L40-'Existing Levels Drone Survey'!L40</f>
        <v>0</v>
      </c>
      <c r="M40" s="191">
        <f>'Functional Levels Drone Survey'!M40-'Existing Levels Drone Survey'!M40</f>
        <v>0</v>
      </c>
      <c r="N40" s="191">
        <f>'Functional Levels Drone Survey'!N40-'Existing Levels Drone Survey'!N40</f>
        <v>0</v>
      </c>
      <c r="O40" s="191">
        <f>'Functional Levels Drone Survey'!O40-'Existing Levels Drone Survey'!O40</f>
        <v>0</v>
      </c>
      <c r="P40" s="278">
        <f>'Functional Levels Drone Survey'!P40-'Existing Levels Drone Survey'!P40</f>
        <v>-0.58580000000000609</v>
      </c>
      <c r="Q40" s="278">
        <f>'Functional Levels Drone Survey'!Q40-'Existing Levels Drone Survey'!Q40</f>
        <v>-0.81180000000000518</v>
      </c>
      <c r="R40" s="278">
        <f>'Functional Levels Drone Survey'!R40-'Existing Levels Drone Survey'!R40</f>
        <v>-0.76560000000000628</v>
      </c>
      <c r="S40" s="278">
        <f>'Functional Levels Drone Survey'!S40-'Existing Levels Drone Survey'!S40</f>
        <v>-0.72769999999997026</v>
      </c>
      <c r="T40" s="278">
        <f>'Functional Levels Drone Survey'!T40-'Existing Levels Drone Survey'!T40</f>
        <v>-0.69029999999997926</v>
      </c>
      <c r="U40" s="278">
        <f>'Functional Levels Drone Survey'!U40-'Existing Levels Drone Survey'!U40</f>
        <v>-0.68919999999997117</v>
      </c>
      <c r="V40" s="191">
        <f>'Functional Levels Drone Survey'!V40-'Existing Levels Drone Survey'!V40</f>
        <v>0</v>
      </c>
      <c r="W40" s="191">
        <f>'Functional Levels Drone Survey'!W40-'Existing Levels Drone Survey'!W40</f>
        <v>0</v>
      </c>
      <c r="X40" s="191">
        <f>'Functional Levels Drone Survey'!X40-'Existing Levels Drone Survey'!X40</f>
        <v>0</v>
      </c>
      <c r="Y40" s="191">
        <f>'Functional Levels Drone Survey'!Y40-'Existing Levels Drone Survey'!Y40</f>
        <v>0</v>
      </c>
      <c r="Z40" s="191">
        <f>'Functional Levels Drone Survey'!Z40-'Existing Levels Drone Survey'!Z40</f>
        <v>0</v>
      </c>
      <c r="AA40" s="191">
        <f>'Functional Levels Drone Survey'!AA40-'Existing Levels Drone Survey'!AA40</f>
        <v>0</v>
      </c>
      <c r="AB40" s="191">
        <f>'Functional Levels Drone Survey'!AB40-'Existing Levels Drone Survey'!AB40</f>
        <v>0</v>
      </c>
      <c r="AC40" s="191">
        <f>'Functional Levels Drone Survey'!AC40-'Existing Levels Drone Survey'!AC40</f>
        <v>0</v>
      </c>
      <c r="AD40" s="191">
        <f>'Functional Levels Drone Survey'!AD40-'Existing Levels Drone Survey'!AD40</f>
        <v>0</v>
      </c>
      <c r="AE40" s="191">
        <f>'Functional Levels Drone Survey'!AE40-'Existing Levels Drone Survey'!AE40</f>
        <v>0</v>
      </c>
      <c r="AF40" s="191">
        <f>'Functional Levels Drone Survey'!AF40-'Existing Levels Drone Survey'!AF40</f>
        <v>0</v>
      </c>
      <c r="AG40" s="191">
        <f>'Functional Levels Drone Survey'!AG40-'Existing Levels Drone Survey'!AG40</f>
        <v>0</v>
      </c>
      <c r="AH40" s="191">
        <f>'Functional Levels Drone Survey'!AH40-'Existing Levels Drone Survey'!AH40</f>
        <v>0</v>
      </c>
      <c r="AI40" s="191">
        <f>'Functional Levels Drone Survey'!AI40-'Existing Levels Drone Survey'!AI40</f>
        <v>0</v>
      </c>
      <c r="AJ40" s="191">
        <f>'Functional Levels Drone Survey'!AJ40-'Existing Levels Drone Survey'!AJ40</f>
        <v>0</v>
      </c>
      <c r="AK40" s="191">
        <f>'Functional Levels Drone Survey'!AK40-'Existing Levels Drone Survey'!AK40</f>
        <v>0</v>
      </c>
      <c r="AL40" s="191">
        <f>'Functional Levels Drone Survey'!AL40-'Existing Levels Drone Survey'!AL40</f>
        <v>0</v>
      </c>
      <c r="AM40" s="191">
        <f>'Functional Levels Drone Survey'!AM40-'Existing Levels Drone Survey'!AM40</f>
        <v>0</v>
      </c>
      <c r="AN40" s="191">
        <f>'Functional Levels Drone Survey'!AN40-'Existing Levels Drone Survey'!AN40</f>
        <v>0</v>
      </c>
      <c r="AO40" s="191">
        <f>'Functional Levels Drone Survey'!AO40-'Existing Levels Drone Survey'!AO40</f>
        <v>0</v>
      </c>
      <c r="AP40" s="191">
        <f>'Functional Levels Drone Survey'!AP40-'Existing Levels Drone Survey'!AP40</f>
        <v>0</v>
      </c>
      <c r="AQ40" s="191">
        <f>'Functional Levels Drone Survey'!AQ40-'Existing Levels Drone Survey'!AQ40</f>
        <v>0</v>
      </c>
      <c r="AR40" s="191">
        <f>'Functional Levels Drone Survey'!AR40-'Existing Levels Drone Survey'!AR40</f>
        <v>0</v>
      </c>
      <c r="AS40" s="191">
        <f>'Functional Levels Drone Survey'!AS40-'Existing Levels Drone Survey'!AS40</f>
        <v>0</v>
      </c>
      <c r="AT40" s="191">
        <f>'Functional Levels Drone Survey'!AT40-'Existing Levels Drone Survey'!AT40</f>
        <v>0</v>
      </c>
      <c r="AU40" s="191">
        <f>'Functional Levels Drone Survey'!AU40-'Existing Levels Drone Survey'!AU40</f>
        <v>0</v>
      </c>
      <c r="AV40" s="191">
        <f>'Functional Levels Drone Survey'!AV40-'Existing Levels Drone Survey'!AV40</f>
        <v>0</v>
      </c>
      <c r="AW40" s="191">
        <f>'Functional Levels Drone Survey'!AW40-'Existing Levels Drone Survey'!AW40</f>
        <v>0</v>
      </c>
      <c r="AX40" s="191">
        <f>'Functional Levels Drone Survey'!AX40-'Existing Levels Drone Survey'!AX40</f>
        <v>0</v>
      </c>
      <c r="AY40" s="191">
        <f>'Functional Levels Drone Survey'!AY40-'Existing Levels Drone Survey'!AY40</f>
        <v>0</v>
      </c>
      <c r="AZ40" s="278">
        <f>'Functional Levels Drone Survey'!AZ40-'Existing Levels Drone Survey'!AZ40</f>
        <v>0</v>
      </c>
      <c r="BA40" s="191">
        <f>'Functional Levels Drone Survey'!BA40-'Existing Levels Drone Survey'!BA40</f>
        <v>-0.49376000000012255</v>
      </c>
      <c r="BB40" s="279">
        <f>'Functional Levels Drone Survey'!BB40-'Existing Levels Drone Survey'!BB40</f>
        <v>-0.53886000000011336</v>
      </c>
      <c r="BC40" s="191">
        <f>'Functional Levels Drone Survey'!BC40-'Existing Levels Drone Survey'!BC40</f>
        <v>-0.47066000000012309</v>
      </c>
      <c r="BD40" s="191">
        <f>'Functional Levels Drone Survey'!BD40-'Existing Levels Drone Survey'!BD40</f>
        <v>-0.43186000000008562</v>
      </c>
      <c r="BE40" s="191">
        <f>'Functional Levels Drone Survey'!BE40-'Existing Levels Drone Survey'!BE40</f>
        <v>-0.31516000000010536</v>
      </c>
      <c r="BF40" s="191">
        <f>'Functional Levels Drone Survey'!BF40-'Existing Levels Drone Survey'!BF40</f>
        <v>-0.25736000000011927</v>
      </c>
      <c r="BG40" s="191">
        <f>'Functional Levels Drone Survey'!BG40-'Existing Levels Drone Survey'!BG40</f>
        <v>-0.2749600000001351</v>
      </c>
      <c r="BH40" s="191">
        <f>'Functional Levels Drone Survey'!BH40-'Existing Levels Drone Survey'!BH40</f>
        <v>-0.34096000000010918</v>
      </c>
      <c r="BI40" s="191">
        <f>'Functional Levels Drone Survey'!BI40-'Existing Levels Drone Survey'!BI40</f>
        <v>-0.33336000000008426</v>
      </c>
      <c r="BJ40" s="191">
        <f>'Functional Levels Drone Survey'!BJ40-'Existing Levels Drone Survey'!BJ40</f>
        <v>-0.2860600000001341</v>
      </c>
      <c r="BK40" s="191">
        <f>'Functional Levels Drone Survey'!BK40-'Existing Levels Drone Survey'!BK40</f>
        <v>-0.36396000000013373</v>
      </c>
      <c r="BL40" s="191">
        <f>'Functional Levels Drone Survey'!BL40-'Existing Levels Drone Survey'!BL40</f>
        <v>-0.21266000000008489</v>
      </c>
      <c r="BM40" s="191">
        <f>'Functional Levels Drone Survey'!BM40-'Existing Levels Drone Survey'!BM40</f>
        <v>-0.25486000000012154</v>
      </c>
      <c r="BN40" s="191">
        <f>'Functional Levels Drone Survey'!BN40-'Existing Levels Drone Survey'!BN40</f>
        <v>-0.17366000000009763</v>
      </c>
      <c r="BO40" s="191">
        <f>'Functional Levels Drone Survey'!BO40-'Existing Levels Drone Survey'!BO40</f>
        <v>-0.11456000000009681</v>
      </c>
      <c r="BP40" s="191">
        <f>'Functional Levels Drone Survey'!BP40-'Existing Levels Drone Survey'!BP40</f>
        <v>-0.12846000000013191</v>
      </c>
      <c r="BQ40" s="191">
        <f>'Functional Levels Drone Survey'!BQ40-'Existing Levels Drone Survey'!BQ40</f>
        <v>-7.4960000000089622E-2</v>
      </c>
      <c r="BR40" s="191">
        <f>'Functional Levels Drone Survey'!BR40-'Existing Levels Drone Survey'!BR40</f>
        <v>-0.23626000000012937</v>
      </c>
      <c r="BS40" s="191">
        <f>'Functional Levels Drone Survey'!BS40-'Existing Levels Drone Survey'!BS40</f>
        <v>-0.19826000000011845</v>
      </c>
      <c r="BT40" s="191">
        <f>'Functional Levels Drone Survey'!BT40-'Existing Levels Drone Survey'!BT40</f>
        <v>-0.21306000000009817</v>
      </c>
      <c r="BU40" s="279">
        <f>'Functional Levels Drone Survey'!BU40-'Existing Levels Drone Survey'!BU40</f>
        <v>-0.26446000000009917</v>
      </c>
      <c r="BV40" s="191">
        <f>'Functional Levels Drone Survey'!BV40-'Existing Levels Drone Survey'!BV40</f>
        <v>-0.43480000000005248</v>
      </c>
      <c r="BW40" s="279">
        <f>'Functional Levels Drone Survey'!BW40-'Existing Levels Drone Survey'!BW40</f>
        <v>-0.36570000000006075</v>
      </c>
      <c r="BX40" s="191">
        <f>'Functional Levels Drone Survey'!BX40-'Existing Levels Drone Survey'!BX40</f>
        <v>-0.25300000000009959</v>
      </c>
      <c r="BY40" s="191">
        <f>'Functional Levels Drone Survey'!BY40-'Existing Levels Drone Survey'!BY40</f>
        <v>-0.36410000000006448</v>
      </c>
      <c r="BZ40" s="191">
        <f>'Functional Levels Drone Survey'!BZ40-'Existing Levels Drone Survey'!BZ40</f>
        <v>-0.21510000000006357</v>
      </c>
      <c r="CA40" s="191">
        <f>'Functional Levels Drone Survey'!CA40-'Existing Levels Drone Survey'!CA40</f>
        <v>-0.22360000000008995</v>
      </c>
      <c r="CB40" s="191">
        <f>'Functional Levels Drone Survey'!CB40-'Existing Levels Drone Survey'!CB40</f>
        <v>-0.3173000000001025</v>
      </c>
      <c r="CC40" s="191">
        <f>'Functional Levels Drone Survey'!CC40-'Existing Levels Drone Survey'!CC40</f>
        <v>-0.29790000000008376</v>
      </c>
      <c r="CD40" s="191">
        <f>'Functional Levels Drone Survey'!CD40-'Existing Levels Drone Survey'!CD40</f>
        <v>-0.29640000000006239</v>
      </c>
      <c r="CE40" s="191">
        <f>'Functional Levels Drone Survey'!CE40-'Existing Levels Drone Survey'!CE40</f>
        <v>-0.22010000000005903</v>
      </c>
      <c r="CF40" s="191">
        <f>'Functional Levels Drone Survey'!CF40-'Existing Levels Drone Survey'!CF40</f>
        <v>-0.14730000000008658</v>
      </c>
      <c r="CG40" s="191">
        <f>'Functional Levels Drone Survey'!CG40-'Existing Levels Drone Survey'!CG40</f>
        <v>-0.19900000000006912</v>
      </c>
      <c r="CH40" s="191">
        <f>'Functional Levels Drone Survey'!CH40-'Existing Levels Drone Survey'!CH40</f>
        <v>-0.14690000000007331</v>
      </c>
      <c r="CI40" s="191">
        <f>'Functional Levels Drone Survey'!CI40-'Existing Levels Drone Survey'!CI40</f>
        <v>-0.25650000000007367</v>
      </c>
      <c r="CJ40" s="191">
        <f>'Functional Levels Drone Survey'!CJ40-'Existing Levels Drone Survey'!CJ40</f>
        <v>-0.28730000000007294</v>
      </c>
      <c r="CK40" s="191">
        <f>'Functional Levels Drone Survey'!CK40-'Existing Levels Drone Survey'!CK40</f>
        <v>-0.37930000000005748</v>
      </c>
      <c r="CL40" s="191">
        <f>'Functional Levels Drone Survey'!CL40-'Existing Levels Drone Survey'!CL40</f>
        <v>-0.31020000000006576</v>
      </c>
      <c r="CM40" s="191">
        <f>'Functional Levels Drone Survey'!CM40-'Existing Levels Drone Survey'!CM40</f>
        <v>-0.29290000000008831</v>
      </c>
      <c r="CN40" s="279">
        <f>'Functional Levels Drone Survey'!CN40-'Existing Levels Drone Survey'!CN40</f>
        <v>-0.17790000000007922</v>
      </c>
      <c r="CO40" s="191">
        <f>'Functional Levels Drone Survey'!CO40-'Existing Levels Drone Survey'!CO40</f>
        <v>-0.38913333333346145</v>
      </c>
      <c r="CP40" s="191">
        <f>'Functional Levels Drone Survey'!CP40-'Existing Levels Drone Survey'!CP40</f>
        <v>-0.3941333333334569</v>
      </c>
      <c r="CQ40" s="279">
        <f>'Functional Levels Drone Survey'!CQ40-'Existing Levels Drone Survey'!CQ40</f>
        <v>-0.45063333333342825</v>
      </c>
      <c r="CR40" s="191">
        <f>'Functional Levels Drone Survey'!CR40-'Existing Levels Drone Survey'!CR40</f>
        <v>-0.38163333333346827</v>
      </c>
      <c r="CS40" s="191">
        <f>'Functional Levels Drone Survey'!CS40-'Existing Levels Drone Survey'!CS40</f>
        <v>-0.42133333333345035</v>
      </c>
      <c r="CT40" s="191">
        <f>'Functional Levels Drone Survey'!CT40-'Existing Levels Drone Survey'!CT40</f>
        <v>1.2466666666568926E-2</v>
      </c>
      <c r="CU40" s="191">
        <f>'Functional Levels Drone Survey'!CU40-'Existing Levels Drone Survey'!CU40</f>
        <v>0.1268666666665581</v>
      </c>
      <c r="CV40" s="191">
        <f>'Functional Levels Drone Survey'!CV40-'Existing Levels Drone Survey'!CV40</f>
        <v>0.14266666666657102</v>
      </c>
      <c r="CW40" s="191">
        <f>'Functional Levels Drone Survey'!CW40-'Existing Levels Drone Survey'!CW40</f>
        <v>-7.7333333334195231E-3</v>
      </c>
      <c r="CX40" s="191">
        <f>'Functional Levels Drone Survey'!CX40-'Existing Levels Drone Survey'!CX40</f>
        <v>4.6766666666542278E-2</v>
      </c>
      <c r="CY40" s="191">
        <f>'Functional Levels Drone Survey'!CY40-'Existing Levels Drone Survey'!CY40</f>
        <v>0.10956666666658066</v>
      </c>
      <c r="CZ40" s="191">
        <f>'Functional Levels Drone Survey'!CZ40-'Existing Levels Drone Survey'!CZ40</f>
        <v>-0.15343333333345299</v>
      </c>
      <c r="DA40" s="191">
        <f>'Functional Levels Drone Survey'!DA40-'Existing Levels Drone Survey'!DA40</f>
        <v>-4.3933333333427527E-2</v>
      </c>
      <c r="DB40" s="191">
        <f>'Functional Levels Drone Survey'!DB40-'Existing Levels Drone Survey'!DB40</f>
        <v>-4.4733333333454084E-2</v>
      </c>
      <c r="DC40" s="191">
        <f>'Functional Levels Drone Survey'!DC40-'Existing Levels Drone Survey'!DC40</f>
        <v>7.1166666666556466E-2</v>
      </c>
      <c r="DD40" s="191">
        <f>'Functional Levels Drone Survey'!DD40-'Existing Levels Drone Survey'!DD40</f>
        <v>8.4166666666533274E-2</v>
      </c>
      <c r="DE40" s="191">
        <f>'Functional Levels Drone Survey'!DE40-'Existing Levels Drone Survey'!DE40</f>
        <v>6.8966666666540277E-2</v>
      </c>
      <c r="DF40" s="191">
        <f>'Functional Levels Drone Survey'!DF40-'Existing Levels Drone Survey'!DF40</f>
        <v>4.6066666666547462E-2</v>
      </c>
      <c r="DG40" s="191">
        <f>'Functional Levels Drone Survey'!DG40-'Existing Levels Drone Survey'!DG40</f>
        <v>0.13266666666658011</v>
      </c>
      <c r="DH40" s="279">
        <f>'Functional Levels Drone Survey'!DH40-'Existing Levels Drone Survey'!DH40</f>
        <v>8.8766666666572291E-2</v>
      </c>
      <c r="DI40" s="191">
        <f>'Functional Levels Drone Survey'!DI40-'Existing Levels Drone Survey'!DI40</f>
        <v>-8.1133333333468727E-2</v>
      </c>
      <c r="DJ40" s="279">
        <f>'Functional Levels Drone Survey'!DJ40-'Existing Levels Drone Survey'!DJ40</f>
        <v>3.9122222222204073E-2</v>
      </c>
      <c r="DK40" s="191">
        <f>'Functional Levels Drone Survey'!DK40-'Existing Levels Drone Survey'!DK40</f>
        <v>8.4222222221796983E-3</v>
      </c>
      <c r="DL40" s="191">
        <f>'Functional Levels Drone Survey'!DL40-'Existing Levels Drone Survey'!DL40</f>
        <v>0.17952222222220371</v>
      </c>
      <c r="DM40" s="191">
        <f>'Functional Levels Drone Survey'!DM40-'Existing Levels Drone Survey'!DM40</f>
        <v>-2.4177777777822484E-2</v>
      </c>
      <c r="DN40" s="191">
        <f>'Functional Levels Drone Survey'!DN40-'Existing Levels Drone Survey'!DN40</f>
        <v>7.5822222222200253E-2</v>
      </c>
      <c r="DO40" s="191">
        <f>'Functional Levels Drone Survey'!DO40-'Existing Levels Drone Survey'!DO40</f>
        <v>7.0922222222179698E-2</v>
      </c>
      <c r="DP40" s="191">
        <f>'Functional Levels Drone Survey'!DP40-'Existing Levels Drone Survey'!DP40</f>
        <v>2.3022222222209621E-2</v>
      </c>
      <c r="DQ40" s="191">
        <f>'Functional Levels Drone Survey'!DQ40-'Existing Levels Drone Survey'!DQ40</f>
        <v>1.7922222222182427E-2</v>
      </c>
      <c r="DR40" s="191">
        <f>'Functional Levels Drone Survey'!DR40-'Existing Levels Drone Survey'!DR40</f>
        <v>0.39942222222219925</v>
      </c>
      <c r="DS40" s="191">
        <f>'Functional Levels Drone Survey'!DS40-'Existing Levels Drone Survey'!DS40</f>
        <v>-0.24447777777783131</v>
      </c>
      <c r="DT40" s="191">
        <f>'Functional Levels Drone Survey'!DT40-'Existing Levels Drone Survey'!DT40</f>
        <v>-0.17067777777782567</v>
      </c>
      <c r="DU40" s="191">
        <f>'Functional Levels Drone Survey'!DU40-'Existing Levels Drone Survey'!DU40</f>
        <v>-0.2083777777777982</v>
      </c>
      <c r="DV40" s="191">
        <f>'Functional Levels Drone Survey'!DV40-'Existing Levels Drone Survey'!DV40</f>
        <v>9.0522222222205073E-2</v>
      </c>
      <c r="DW40" s="191">
        <f>'Functional Levels Drone Survey'!DW40-'Existing Levels Drone Survey'!DW40</f>
        <v>7.5422222222186974E-2</v>
      </c>
      <c r="DX40" s="191">
        <f>'Functional Levels Drone Survey'!DX40-'Existing Levels Drone Survey'!DX40</f>
        <v>-6.2777777777796473E-2</v>
      </c>
      <c r="DY40" s="191">
        <f>'Functional Levels Drone Survey'!DY40-'Existing Levels Drone Survey'!DY40</f>
        <v>-0.15887777777783185</v>
      </c>
      <c r="DZ40" s="191">
        <f>'Functional Levels Drone Survey'!DZ40-'Existing Levels Drone Survey'!DZ40</f>
        <v>-2.6977777777801748E-2</v>
      </c>
      <c r="EA40" s="279">
        <f>'Functional Levels Drone Survey'!EA40-'Existing Levels Drone Survey'!EA40</f>
        <v>-6.5877777777814117E-2</v>
      </c>
      <c r="EB40" s="191">
        <f>'Functional Levels Drone Survey'!EB40-'Existing Levels Drone Survey'!EB40</f>
        <v>-9.0436842105361848E-2</v>
      </c>
      <c r="EC40" s="279">
        <f>'Functional Levels Drone Survey'!EC40-'Existing Levels Drone Survey'!EC40</f>
        <v>9.6263157894668439E-2</v>
      </c>
      <c r="ED40" s="191">
        <f>'Functional Levels Drone Survey'!ED40-'Existing Levels Drone Survey'!ED40</f>
        <v>9.2663157894662618E-2</v>
      </c>
      <c r="EE40" s="191">
        <f>'Functional Levels Drone Survey'!EE40-'Existing Levels Drone Survey'!EE40</f>
        <v>-7.4136842105360756E-2</v>
      </c>
      <c r="EF40" s="191">
        <f>'Functional Levels Drone Survey'!EF40-'Existing Levels Drone Survey'!EF40</f>
        <v>-0.24053684210537085</v>
      </c>
      <c r="EG40" s="191">
        <f>'Functional Levels Drone Survey'!EG40-'Existing Levels Drone Survey'!EG40</f>
        <v>-9.2936842105359574E-2</v>
      </c>
      <c r="EH40" s="191">
        <f>'Functional Levels Drone Survey'!EH40-'Existing Levels Drone Survey'!EH40</f>
        <v>0.10946315789465189</v>
      </c>
      <c r="EI40" s="191">
        <f>'Functional Levels Drone Survey'!EI40-'Existing Levels Drone Survey'!EI40</f>
        <v>0.17426315789464297</v>
      </c>
      <c r="EJ40" s="191">
        <f>'Functional Levels Drone Survey'!EJ40-'Existing Levels Drone Survey'!EJ40</f>
        <v>8.1263157894625238E-2</v>
      </c>
      <c r="EK40" s="191">
        <f>'Functional Levels Drone Survey'!EK40-'Existing Levels Drone Survey'!EK40</f>
        <v>-3.0836842105372853E-2</v>
      </c>
      <c r="EL40" s="191">
        <f>'Functional Levels Drone Survey'!EL40-'Existing Levels Drone Survey'!EL40</f>
        <v>0.12496315789462642</v>
      </c>
      <c r="EM40" s="191">
        <f>'Functional Levels Drone Survey'!EM40-'Existing Levels Drone Survey'!EM40</f>
        <v>0.32996315789466735</v>
      </c>
      <c r="EN40" s="191">
        <f>'Functional Levels Drone Survey'!EN40-'Existing Levels Drone Survey'!EN40</f>
        <v>-1.4136842105358483E-2</v>
      </c>
      <c r="EO40" s="191">
        <f>'Functional Levels Drone Survey'!EO40-'Existing Levels Drone Survey'!EO40</f>
        <v>0.42356315789464816</v>
      </c>
      <c r="EP40" s="191">
        <f>'Functional Levels Drone Survey'!EP40-'Existing Levels Drone Survey'!EP40</f>
        <v>0.1949631578946196</v>
      </c>
      <c r="EQ40" s="191">
        <f>'Functional Levels Drone Survey'!EQ40-'Existing Levels Drone Survey'!EQ40</f>
        <v>-0.15733684210533738</v>
      </c>
      <c r="ER40" s="191">
        <f>'Functional Levels Drone Survey'!ER40-'Existing Levels Drone Survey'!ER40</f>
        <v>5.716315789464943E-2</v>
      </c>
      <c r="ES40" s="191">
        <f>'Functional Levels Drone Survey'!ES40-'Existing Levels Drone Survey'!ES40</f>
        <v>-6.3536842105349933E-2</v>
      </c>
      <c r="ET40" s="191">
        <f>'Functional Levels Drone Survey'!ET40-'Existing Levels Drone Survey'!ET40</f>
        <v>0.23066315789463943</v>
      </c>
      <c r="EU40" s="279">
        <f>'Functional Levels Drone Survey'!EU40-'Existing Levels Drone Survey'!EU40</f>
        <v>-0.21093684210535457</v>
      </c>
      <c r="EV40" s="191">
        <f>'Functional Levels Drone Survey'!EV40-'Existing Levels Drone Survey'!EV40</f>
        <v>0.18986315789464925</v>
      </c>
      <c r="EW40" s="278">
        <f>'Functional Levels Drone Survey'!EW40-'Existing Levels Drone Survey'!EW40</f>
        <v>-0.12963684210535575</v>
      </c>
      <c r="EX40" s="191">
        <f>'Functional Levels Drone Survey'!EX40-'Existing Levels Drone Survey'!EX40</f>
        <v>0</v>
      </c>
      <c r="EY40" s="191">
        <f>'Functional Levels Drone Survey'!EY40-'Existing Levels Drone Survey'!EY40</f>
        <v>0</v>
      </c>
    </row>
    <row r="41" spans="1:155" ht="45" customHeight="1" x14ac:dyDescent="0.45">
      <c r="A41" s="277">
        <v>200</v>
      </c>
      <c r="B41" s="191">
        <f>'Functional Levels Drone Survey'!B41-'Existing Levels Drone Survey'!B41</f>
        <v>0</v>
      </c>
      <c r="C41" s="191">
        <f>'Functional Levels Drone Survey'!C41-'Existing Levels Drone Survey'!C41</f>
        <v>0</v>
      </c>
      <c r="D41" s="191">
        <f>'Functional Levels Drone Survey'!D41-'Existing Levels Drone Survey'!D41</f>
        <v>0</v>
      </c>
      <c r="E41" s="191">
        <f>'Functional Levels Drone Survey'!E41-'Existing Levels Drone Survey'!E41</f>
        <v>0</v>
      </c>
      <c r="F41" s="191">
        <f>'Functional Levels Drone Survey'!F41-'Existing Levels Drone Survey'!F41</f>
        <v>0</v>
      </c>
      <c r="G41" s="191">
        <f>'Functional Levels Drone Survey'!G41-'Existing Levels Drone Survey'!G41</f>
        <v>0</v>
      </c>
      <c r="H41" s="191">
        <f>'Functional Levels Drone Survey'!H41-'Existing Levels Drone Survey'!H41</f>
        <v>0</v>
      </c>
      <c r="I41" s="191">
        <f>'Functional Levels Drone Survey'!I41-'Existing Levels Drone Survey'!I41</f>
        <v>0</v>
      </c>
      <c r="J41" s="191">
        <f>'Functional Levels Drone Survey'!J41-'Existing Levels Drone Survey'!J41</f>
        <v>0</v>
      </c>
      <c r="K41" s="278">
        <f>'Functional Levels Drone Survey'!K41-'Existing Levels Drone Survey'!K41</f>
        <v>-1.7941000000000145</v>
      </c>
      <c r="L41" s="278">
        <f>'Functional Levels Drone Survey'!L41-'Existing Levels Drone Survey'!L41</f>
        <v>-0.87489999999996826</v>
      </c>
      <c r="M41" s="278">
        <f>'Functional Levels Drone Survey'!M41-'Existing Levels Drone Survey'!M41</f>
        <v>-0.57209999999997763</v>
      </c>
      <c r="N41" s="278">
        <f>'Functional Levels Drone Survey'!N41-'Existing Levels Drone Survey'!N41</f>
        <v>-0.397199999999998</v>
      </c>
      <c r="O41" s="278">
        <f>'Functional Levels Drone Survey'!O41-'Existing Levels Drone Survey'!O41</f>
        <v>-0.37180000000000746</v>
      </c>
      <c r="P41" s="191">
        <f>'Functional Levels Drone Survey'!P41-'Existing Levels Drone Survey'!P41</f>
        <v>-0.35399999999998499</v>
      </c>
      <c r="Q41" s="191">
        <f>'Functional Levels Drone Survey'!Q41-'Existing Levels Drone Survey'!Q41</f>
        <v>-0.33670000000000755</v>
      </c>
      <c r="R41" s="191">
        <f>'Functional Levels Drone Survey'!R41-'Existing Levels Drone Survey'!R41</f>
        <v>-0.33220000000000027</v>
      </c>
      <c r="S41" s="191">
        <f>'Functional Levels Drone Survey'!S41-'Existing Levels Drone Survey'!S41</f>
        <v>-0.35379999999997835</v>
      </c>
      <c r="T41" s="191">
        <f>'Functional Levels Drone Survey'!T41-'Existing Levels Drone Survey'!T41</f>
        <v>-0.32499999999998863</v>
      </c>
      <c r="U41" s="278">
        <f>'Functional Levels Drone Survey'!U41-'Existing Levels Drone Survey'!U41</f>
        <v>-0.3447999999999638</v>
      </c>
      <c r="V41" s="191">
        <f>'Functional Levels Drone Survey'!V41-'Existing Levels Drone Survey'!V41</f>
        <v>0</v>
      </c>
      <c r="W41" s="191">
        <f>'Functional Levels Drone Survey'!W41-'Existing Levels Drone Survey'!W41</f>
        <v>0</v>
      </c>
      <c r="X41" s="191">
        <f>'Functional Levels Drone Survey'!X41-'Existing Levels Drone Survey'!X41</f>
        <v>0</v>
      </c>
      <c r="Y41" s="191">
        <f>'Functional Levels Drone Survey'!Y41-'Existing Levels Drone Survey'!Y41</f>
        <v>0</v>
      </c>
      <c r="Z41" s="191">
        <f>'Functional Levels Drone Survey'!Z41-'Existing Levels Drone Survey'!Z41</f>
        <v>0</v>
      </c>
      <c r="AA41" s="191">
        <f>'Functional Levels Drone Survey'!AA41-'Existing Levels Drone Survey'!AA41</f>
        <v>0</v>
      </c>
      <c r="AB41" s="191">
        <f>'Functional Levels Drone Survey'!AB41-'Existing Levels Drone Survey'!AB41</f>
        <v>0</v>
      </c>
      <c r="AC41" s="191">
        <f>'Functional Levels Drone Survey'!AC41-'Existing Levels Drone Survey'!AC41</f>
        <v>0</v>
      </c>
      <c r="AD41" s="191">
        <f>'Functional Levels Drone Survey'!AD41-'Existing Levels Drone Survey'!AD41</f>
        <v>0</v>
      </c>
      <c r="AE41" s="191">
        <f>'Functional Levels Drone Survey'!AE41-'Existing Levels Drone Survey'!AE41</f>
        <v>0</v>
      </c>
      <c r="AF41" s="191">
        <f>'Functional Levels Drone Survey'!AF41-'Existing Levels Drone Survey'!AF41</f>
        <v>0</v>
      </c>
      <c r="AG41" s="191">
        <f>'Functional Levels Drone Survey'!AG41-'Existing Levels Drone Survey'!AG41</f>
        <v>0</v>
      </c>
      <c r="AH41" s="191">
        <f>'Functional Levels Drone Survey'!AH41-'Existing Levels Drone Survey'!AH41</f>
        <v>0</v>
      </c>
      <c r="AI41" s="191">
        <f>'Functional Levels Drone Survey'!AI41-'Existing Levels Drone Survey'!AI41</f>
        <v>0</v>
      </c>
      <c r="AJ41" s="191">
        <f>'Functional Levels Drone Survey'!AJ41-'Existing Levels Drone Survey'!AJ41</f>
        <v>0</v>
      </c>
      <c r="AK41" s="191">
        <f>'Functional Levels Drone Survey'!AK41-'Existing Levels Drone Survey'!AK41</f>
        <v>0</v>
      </c>
      <c r="AL41" s="191">
        <f>'Functional Levels Drone Survey'!AL41-'Existing Levels Drone Survey'!AL41</f>
        <v>0</v>
      </c>
      <c r="AM41" s="191">
        <f>'Functional Levels Drone Survey'!AM41-'Existing Levels Drone Survey'!AM41</f>
        <v>0</v>
      </c>
      <c r="AN41" s="191">
        <f>'Functional Levels Drone Survey'!AN41-'Existing Levels Drone Survey'!AN41</f>
        <v>0</v>
      </c>
      <c r="AO41" s="191">
        <f>'Functional Levels Drone Survey'!AO41-'Existing Levels Drone Survey'!AO41</f>
        <v>0</v>
      </c>
      <c r="AP41" s="191">
        <f>'Functional Levels Drone Survey'!AP41-'Existing Levels Drone Survey'!AP41</f>
        <v>0</v>
      </c>
      <c r="AQ41" s="191">
        <f>'Functional Levels Drone Survey'!AQ41-'Existing Levels Drone Survey'!AQ41</f>
        <v>0</v>
      </c>
      <c r="AR41" s="191">
        <f>'Functional Levels Drone Survey'!AR41-'Existing Levels Drone Survey'!AR41</f>
        <v>0</v>
      </c>
      <c r="AS41" s="191">
        <f>'Functional Levels Drone Survey'!AS41-'Existing Levels Drone Survey'!AS41</f>
        <v>0</v>
      </c>
      <c r="AT41" s="191">
        <f>'Functional Levels Drone Survey'!AT41-'Existing Levels Drone Survey'!AT41</f>
        <v>0</v>
      </c>
      <c r="AU41" s="191">
        <f>'Functional Levels Drone Survey'!AU41-'Existing Levels Drone Survey'!AU41</f>
        <v>0</v>
      </c>
      <c r="AV41" s="191">
        <f>'Functional Levels Drone Survey'!AV41-'Existing Levels Drone Survey'!AV41</f>
        <v>0</v>
      </c>
      <c r="AW41" s="191">
        <f>'Functional Levels Drone Survey'!AW41-'Existing Levels Drone Survey'!AW41</f>
        <v>0</v>
      </c>
      <c r="AX41" s="191">
        <f>'Functional Levels Drone Survey'!AX41-'Existing Levels Drone Survey'!AX41</f>
        <v>0</v>
      </c>
      <c r="AY41" s="191">
        <f>'Functional Levels Drone Survey'!AY41-'Existing Levels Drone Survey'!AY41</f>
        <v>0</v>
      </c>
      <c r="AZ41" s="278">
        <f>'Functional Levels Drone Survey'!AZ41-'Existing Levels Drone Survey'!AZ41</f>
        <v>0</v>
      </c>
      <c r="BA41" s="191">
        <f>'Functional Levels Drone Survey'!BA41-'Existing Levels Drone Survey'!BA41</f>
        <v>-0.43676000000010617</v>
      </c>
      <c r="BB41" s="279">
        <f>'Functional Levels Drone Survey'!BB41-'Existing Levels Drone Survey'!BB41</f>
        <v>-0.65496000000013055</v>
      </c>
      <c r="BC41" s="279">
        <f>'Functional Levels Drone Survey'!BC41-'Existing Levels Drone Survey'!BC41</f>
        <v>-0.53636000000011563</v>
      </c>
      <c r="BD41" s="279">
        <f>'Functional Levels Drone Survey'!BD41-'Existing Levels Drone Survey'!BD41</f>
        <v>-0.53976000000011481</v>
      </c>
      <c r="BE41" s="279">
        <f>'Functional Levels Drone Survey'!BE41-'Existing Levels Drone Survey'!BE41</f>
        <v>-0.38706000000013319</v>
      </c>
      <c r="BF41" s="279">
        <f>'Functional Levels Drone Survey'!BF41-'Existing Levels Drone Survey'!BF41</f>
        <v>-0.31806000000011636</v>
      </c>
      <c r="BG41" s="279">
        <f>'Functional Levels Drone Survey'!BG41-'Existing Levels Drone Survey'!BG41</f>
        <v>-0.37066000000010035</v>
      </c>
      <c r="BH41" s="279">
        <f>'Functional Levels Drone Survey'!BH41-'Existing Levels Drone Survey'!BH41</f>
        <v>-0.38186000000013109</v>
      </c>
      <c r="BI41" s="279">
        <f>'Functional Levels Drone Survey'!BI41-'Existing Levels Drone Survey'!BI41</f>
        <v>-0.31086000000010472</v>
      </c>
      <c r="BJ41" s="279">
        <f>'Functional Levels Drone Survey'!BJ41-'Existing Levels Drone Survey'!BJ41</f>
        <v>-0.39716000000009899</v>
      </c>
      <c r="BK41" s="279">
        <f>'Functional Levels Drone Survey'!BK41-'Existing Levels Drone Survey'!BK41</f>
        <v>-0.38846000000012282</v>
      </c>
      <c r="BL41" s="279">
        <f>'Functional Levels Drone Survey'!BL41-'Existing Levels Drone Survey'!BL41</f>
        <v>-0.21646000000009735</v>
      </c>
      <c r="BM41" s="279">
        <f>'Functional Levels Drone Survey'!BM41-'Existing Levels Drone Survey'!BM41</f>
        <v>-0.20496000000014192</v>
      </c>
      <c r="BN41" s="279">
        <f>'Functional Levels Drone Survey'!BN41-'Existing Levels Drone Survey'!BN41</f>
        <v>-0.19456000000013773</v>
      </c>
      <c r="BO41" s="279">
        <f>'Functional Levels Drone Survey'!BO41-'Existing Levels Drone Survey'!BO41</f>
        <v>-9.556000000009135E-2</v>
      </c>
      <c r="BP41" s="279">
        <f>'Functional Levels Drone Survey'!BP41-'Existing Levels Drone Survey'!BP41</f>
        <v>-5.1360000000101991E-2</v>
      </c>
      <c r="BQ41" s="279">
        <f>'Functional Levels Drone Survey'!BQ41-'Existing Levels Drone Survey'!BQ41</f>
        <v>-0.340460000000121</v>
      </c>
      <c r="BR41" s="279">
        <f>'Functional Levels Drone Survey'!BR41-'Existing Levels Drone Survey'!BR41</f>
        <v>-0.3555600000001391</v>
      </c>
      <c r="BS41" s="279">
        <f>'Functional Levels Drone Survey'!BS41-'Existing Levels Drone Survey'!BS41</f>
        <v>-0.40146000000009963</v>
      </c>
      <c r="BT41" s="279">
        <f>'Functional Levels Drone Survey'!BT41-'Existing Levels Drone Survey'!BT41</f>
        <v>-0.42076000000014346</v>
      </c>
      <c r="BU41" s="279">
        <f>'Functional Levels Drone Survey'!BU41-'Existing Levels Drone Survey'!BU41</f>
        <v>-0.19596000000012737</v>
      </c>
      <c r="BV41" s="191">
        <f>'Functional Levels Drone Survey'!BV41-'Existing Levels Drone Survey'!BV41</f>
        <v>-0.36830000000009022</v>
      </c>
      <c r="BW41" s="279">
        <f>'Functional Levels Drone Survey'!BW41-'Existing Levels Drone Survey'!BW41</f>
        <v>-0.30180000000007112</v>
      </c>
      <c r="BX41" s="279">
        <f>'Functional Levels Drone Survey'!BX41-'Existing Levels Drone Survey'!BX41</f>
        <v>-3.7000000000091404E-2</v>
      </c>
      <c r="BY41" s="279">
        <f>'Functional Levels Drone Survey'!BY41-'Existing Levels Drone Survey'!BY41</f>
        <v>-0.19670000000007803</v>
      </c>
      <c r="BZ41" s="279">
        <f>'Functional Levels Drone Survey'!BZ41-'Existing Levels Drone Survey'!BZ41</f>
        <v>-0.38040000000006557</v>
      </c>
      <c r="CA41" s="279">
        <f>'Functional Levels Drone Survey'!CA41-'Existing Levels Drone Survey'!CA41</f>
        <v>-0.4132000000000744</v>
      </c>
      <c r="CB41" s="279">
        <f>'Functional Levels Drone Survey'!CB41-'Existing Levels Drone Survey'!CB41</f>
        <v>-0.31430000000005975</v>
      </c>
      <c r="CC41" s="279">
        <f>'Functional Levels Drone Survey'!CC41-'Existing Levels Drone Survey'!CC41</f>
        <v>-0.29780000000010887</v>
      </c>
      <c r="CD41" s="279">
        <f>'Functional Levels Drone Survey'!CD41-'Existing Levels Drone Survey'!CD41</f>
        <v>-0.20800000000008367</v>
      </c>
      <c r="CE41" s="279">
        <f>'Functional Levels Drone Survey'!CE41-'Existing Levels Drone Survey'!CE41</f>
        <v>-0.21540000000010195</v>
      </c>
      <c r="CF41" s="279">
        <f>'Functional Levels Drone Survey'!CF41-'Existing Levels Drone Survey'!CF41</f>
        <v>-0.20090000000010377</v>
      </c>
      <c r="CG41" s="279">
        <f>'Functional Levels Drone Survey'!CG41-'Existing Levels Drone Survey'!CG41</f>
        <v>-0.28220000000010259</v>
      </c>
      <c r="CH41" s="279">
        <f>'Functional Levels Drone Survey'!CH41-'Existing Levels Drone Survey'!CH41</f>
        <v>-0.2437000000001035</v>
      </c>
      <c r="CI41" s="279">
        <f>'Functional Levels Drone Survey'!CI41-'Existing Levels Drone Survey'!CI41</f>
        <v>-0.29180000000008022</v>
      </c>
      <c r="CJ41" s="279">
        <f>'Functional Levels Drone Survey'!CJ41-'Existing Levels Drone Survey'!CJ41</f>
        <v>-0.35480000000006839</v>
      </c>
      <c r="CK41" s="279">
        <f>'Functional Levels Drone Survey'!CK41-'Existing Levels Drone Survey'!CK41</f>
        <v>-0.37240000000008422</v>
      </c>
      <c r="CL41" s="279">
        <f>'Functional Levels Drone Survey'!CL41-'Existing Levels Drone Survey'!CL41</f>
        <v>-0.3202000000001135</v>
      </c>
      <c r="CM41" s="279">
        <f>'Functional Levels Drone Survey'!CM41-'Existing Levels Drone Survey'!CM41</f>
        <v>-0.29580000000009932</v>
      </c>
      <c r="CN41" s="279">
        <f>'Functional Levels Drone Survey'!CN41-'Existing Levels Drone Survey'!CN41</f>
        <v>-0.1580000000000723</v>
      </c>
      <c r="CO41" s="191">
        <f>'Functional Levels Drone Survey'!CO41-'Existing Levels Drone Survey'!CO41</f>
        <v>-0.23943333333346573</v>
      </c>
      <c r="CP41" s="191">
        <f>'Functional Levels Drone Survey'!CP41-'Existing Levels Drone Survey'!CP41</f>
        <v>-0.31933333333347491</v>
      </c>
      <c r="CQ41" s="279">
        <f>'Functional Levels Drone Survey'!CQ41-'Existing Levels Drone Survey'!CQ41</f>
        <v>-0.33813333333347373</v>
      </c>
      <c r="CR41" s="279">
        <f>'Functional Levels Drone Survey'!CR41-'Existing Levels Drone Survey'!CR41</f>
        <v>-0.39803333333344426</v>
      </c>
      <c r="CS41" s="279">
        <f>'Functional Levels Drone Survey'!CS41-'Existing Levels Drone Survey'!CS41</f>
        <v>-0.27343333333345754</v>
      </c>
      <c r="CT41" s="279">
        <f>'Functional Levels Drone Survey'!CT41-'Existing Levels Drone Survey'!CT41</f>
        <v>0.18146666666655165</v>
      </c>
      <c r="CU41" s="279">
        <f>'Functional Levels Drone Survey'!CU41-'Existing Levels Drone Survey'!CU41</f>
        <v>4.7866666666550373E-2</v>
      </c>
      <c r="CV41" s="279">
        <f>'Functional Levels Drone Survey'!CV41-'Existing Levels Drone Survey'!CV41</f>
        <v>-0.12883333333343217</v>
      </c>
      <c r="CW41" s="279">
        <f>'Functional Levels Drone Survey'!CW41-'Existing Levels Drone Survey'!CW41</f>
        <v>-0.12093333333348255</v>
      </c>
      <c r="CX41" s="279">
        <f>'Functional Levels Drone Survey'!CX41-'Existing Levels Drone Survey'!CX41</f>
        <v>-1.2233333333483642E-2</v>
      </c>
      <c r="CY41" s="279">
        <f>'Functional Levels Drone Survey'!CY41-'Existing Levels Drone Survey'!CY41</f>
        <v>-2.1333333334609961E-3</v>
      </c>
      <c r="CZ41" s="279">
        <f>'Functional Levels Drone Survey'!CZ41-'Existing Levels Drone Survey'!CZ41</f>
        <v>-6.1733333333449991E-2</v>
      </c>
      <c r="DA41" s="279">
        <f>'Functional Levels Drone Survey'!DA41-'Existing Levels Drone Survey'!DA41</f>
        <v>-3.7933333333455721E-2</v>
      </c>
      <c r="DB41" s="279">
        <f>'Functional Levels Drone Survey'!DB41-'Existing Levels Drone Survey'!DB41</f>
        <v>-1.583333333343262E-2</v>
      </c>
      <c r="DC41" s="279">
        <f>'Functional Levels Drone Survey'!DC41-'Existing Levels Drone Survey'!DC41</f>
        <v>2.6266666666515448E-2</v>
      </c>
      <c r="DD41" s="279">
        <f>'Functional Levels Drone Survey'!DD41-'Existing Levels Drone Survey'!DD41</f>
        <v>8.0566666666527453E-2</v>
      </c>
      <c r="DE41" s="279">
        <f>'Functional Levels Drone Survey'!DE41-'Existing Levels Drone Survey'!DE41</f>
        <v>6.1666666666553738E-2</v>
      </c>
      <c r="DF41" s="279">
        <f>'Functional Levels Drone Survey'!DF41-'Existing Levels Drone Survey'!DF41</f>
        <v>3.6766666666551373E-2</v>
      </c>
      <c r="DG41" s="279">
        <f>'Functional Levels Drone Survey'!DG41-'Existing Levels Drone Survey'!DG41</f>
        <v>5.016666666654146E-2</v>
      </c>
      <c r="DH41" s="279">
        <f>'Functional Levels Drone Survey'!DH41-'Existing Levels Drone Survey'!DH41</f>
        <v>0.12116666666656783</v>
      </c>
      <c r="DI41" s="191">
        <f>'Functional Levels Drone Survey'!DI41-'Existing Levels Drone Survey'!DI41</f>
        <v>3.1966666666505716E-2</v>
      </c>
      <c r="DJ41" s="279">
        <f>'Functional Levels Drone Survey'!DJ41-'Existing Levels Drone Survey'!DJ41</f>
        <v>-8.7777777781639088E-4</v>
      </c>
      <c r="DK41" s="279">
        <f>'Functional Levels Drone Survey'!DK41-'Existing Levels Drone Survey'!DK41</f>
        <v>0.25932222222218115</v>
      </c>
      <c r="DL41" s="279">
        <f>'Functional Levels Drone Survey'!DL41-'Existing Levels Drone Survey'!DL41</f>
        <v>0.1655222222221937</v>
      </c>
      <c r="DM41" s="279">
        <f>'Functional Levels Drone Survey'!DM41-'Existing Levels Drone Survey'!DM41</f>
        <v>6.5322222222164328E-2</v>
      </c>
      <c r="DN41" s="279">
        <f>'Functional Levels Drone Survey'!DN41-'Existing Levels Drone Survey'!DN41</f>
        <v>6.6622222222179062E-2</v>
      </c>
      <c r="DO41" s="279">
        <f>'Functional Levels Drone Survey'!DO41-'Existing Levels Drone Survey'!DO41</f>
        <v>-5.5477777777809933E-2</v>
      </c>
      <c r="DP41" s="279">
        <f>'Functional Levels Drone Survey'!DP41-'Existing Levels Drone Survey'!DP41</f>
        <v>5.9122222222185883E-2</v>
      </c>
      <c r="DQ41" s="279">
        <f>'Functional Levels Drone Survey'!DQ41-'Existing Levels Drone Survey'!DQ41</f>
        <v>-4.5177777777837491E-2</v>
      </c>
      <c r="DR41" s="279">
        <f>'Functional Levels Drone Survey'!DR41-'Existing Levels Drone Survey'!DR41</f>
        <v>0.25462222222216724</v>
      </c>
      <c r="DS41" s="279">
        <f>'Functional Levels Drone Survey'!DS41-'Existing Levels Drone Survey'!DS41</f>
        <v>-0.23127777777784786</v>
      </c>
      <c r="DT41" s="279">
        <f>'Functional Levels Drone Survey'!DT41-'Existing Levels Drone Survey'!DT41</f>
        <v>-0.14627777777781148</v>
      </c>
      <c r="DU41" s="279">
        <f>'Functional Levels Drone Survey'!DU41-'Existing Levels Drone Survey'!DU41</f>
        <v>-0.24947777777782676</v>
      </c>
      <c r="DV41" s="279">
        <f>'Functional Levels Drone Survey'!DV41-'Existing Levels Drone Survey'!DV41</f>
        <v>0.12152222222215414</v>
      </c>
      <c r="DW41" s="279">
        <f>'Functional Levels Drone Survey'!DW41-'Existing Levels Drone Survey'!DW41</f>
        <v>-0.11727777777781512</v>
      </c>
      <c r="DX41" s="279">
        <f>'Functional Levels Drone Survey'!DX41-'Existing Levels Drone Survey'!DX41</f>
        <v>-4.7077777777815299E-2</v>
      </c>
      <c r="DY41" s="279">
        <f>'Functional Levels Drone Survey'!DY41-'Existing Levels Drone Survey'!DY41</f>
        <v>-0.21257777777782394</v>
      </c>
      <c r="DZ41" s="279">
        <f>'Functional Levels Drone Survey'!DZ41-'Existing Levels Drone Survey'!DZ41</f>
        <v>-0.21707777777783122</v>
      </c>
      <c r="EA41" s="279">
        <f>'Functional Levels Drone Survey'!EA41-'Existing Levels Drone Survey'!EA41</f>
        <v>2.1122222222174969E-2</v>
      </c>
      <c r="EB41" s="191">
        <f>'Functional Levels Drone Survey'!EB41-'Existing Levels Drone Survey'!EB41</f>
        <v>-0.2395368421053945</v>
      </c>
      <c r="EC41" s="279">
        <f>'Functional Levels Drone Survey'!EC41-'Existing Levels Drone Survey'!EC41</f>
        <v>-3.5636842105361666E-2</v>
      </c>
      <c r="ED41" s="279">
        <f>'Functional Levels Drone Survey'!ED41-'Existing Levels Drone Survey'!ED41</f>
        <v>-1.4236842105390224E-2</v>
      </c>
      <c r="EE41" s="279">
        <f>'Functional Levels Drone Survey'!EE41-'Existing Levels Drone Survey'!EE41</f>
        <v>-0.13463684210535121</v>
      </c>
      <c r="EF41" s="279">
        <f>'Functional Levels Drone Survey'!EF41-'Existing Levels Drone Survey'!EF41</f>
        <v>-0.22963684210537849</v>
      </c>
      <c r="EG41" s="279">
        <f>'Functional Levels Drone Survey'!EG41-'Existing Levels Drone Survey'!EG41</f>
        <v>-0.26413684210535848</v>
      </c>
      <c r="EH41" s="279">
        <f>'Functional Levels Drone Survey'!EH41-'Existing Levels Drone Survey'!EH41</f>
        <v>-0.16403684210536085</v>
      </c>
      <c r="EI41" s="279">
        <f>'Functional Levels Drone Survey'!EI41-'Existing Levels Drone Survey'!EI41</f>
        <v>-7.163684210536303E-2</v>
      </c>
      <c r="EJ41" s="279">
        <f>'Functional Levels Drone Survey'!EJ41-'Existing Levels Drone Survey'!EJ41</f>
        <v>-1.9336842105360574E-2</v>
      </c>
      <c r="EK41" s="279">
        <f>'Functional Levels Drone Survey'!EK41-'Existing Levels Drone Survey'!EK41</f>
        <v>-0.13713684210534893</v>
      </c>
      <c r="EL41" s="279">
        <f>'Functional Levels Drone Survey'!EL41-'Existing Levels Drone Survey'!EL41</f>
        <v>0.26456315789465634</v>
      </c>
      <c r="EM41" s="279">
        <f>'Functional Levels Drone Survey'!EM41-'Existing Levels Drone Survey'!EM41</f>
        <v>7.1263157894634332E-2</v>
      </c>
      <c r="EN41" s="279">
        <f>'Functional Levels Drone Survey'!EN41-'Existing Levels Drone Survey'!EN41</f>
        <v>6.315789465816124E-5</v>
      </c>
      <c r="EO41" s="279">
        <f>'Functional Levels Drone Survey'!EO41-'Existing Levels Drone Survey'!EO41</f>
        <v>-4.763684210536212E-2</v>
      </c>
      <c r="EP41" s="279">
        <f>'Functional Levels Drone Survey'!EP41-'Existing Levels Drone Survey'!EP41</f>
        <v>-4.9736842105346568E-2</v>
      </c>
      <c r="EQ41" s="279">
        <f>'Functional Levels Drone Survey'!EQ41-'Existing Levels Drone Survey'!EQ41</f>
        <v>-0.17793684210533911</v>
      </c>
      <c r="ER41" s="279">
        <f>'Functional Levels Drone Survey'!ER41-'Existing Levels Drone Survey'!ER41</f>
        <v>-0.20913684210535166</v>
      </c>
      <c r="ES41" s="279">
        <f>'Functional Levels Drone Survey'!ES41-'Existing Levels Drone Survey'!ES41</f>
        <v>-0.2426368421053553</v>
      </c>
      <c r="ET41" s="279">
        <f>'Functional Levels Drone Survey'!ET41-'Existing Levels Drone Survey'!ET41</f>
        <v>5.4663157894651704E-2</v>
      </c>
      <c r="EU41" s="279">
        <f>'Functional Levels Drone Survey'!EU41-'Existing Levels Drone Survey'!EU41</f>
        <v>-0.16833684210536148</v>
      </c>
      <c r="EV41" s="191">
        <f>'Functional Levels Drone Survey'!EV41-'Existing Levels Drone Survey'!EV41</f>
        <v>0.14496315789460823</v>
      </c>
      <c r="EW41" s="278">
        <f>'Functional Levels Drone Survey'!EW41-'Existing Levels Drone Survey'!EW41</f>
        <v>-0.10573684210538659</v>
      </c>
      <c r="EX41" s="191">
        <f>'Functional Levels Drone Survey'!EX41-'Existing Levels Drone Survey'!EX41</f>
        <v>0</v>
      </c>
      <c r="EY41" s="191">
        <f>'Functional Levels Drone Survey'!EY41-'Existing Levels Drone Survey'!EY41</f>
        <v>0</v>
      </c>
    </row>
    <row r="42" spans="1:155" ht="45" customHeight="1" x14ac:dyDescent="0.45">
      <c r="A42" s="277">
        <v>205</v>
      </c>
      <c r="B42" s="191">
        <f>'Functional Levels Drone Survey'!B42-'Existing Levels Drone Survey'!B42</f>
        <v>0</v>
      </c>
      <c r="C42" s="191">
        <f>'Functional Levels Drone Survey'!C42-'Existing Levels Drone Survey'!C42</f>
        <v>0</v>
      </c>
      <c r="D42" s="191">
        <f>'Functional Levels Drone Survey'!D42-'Existing Levels Drone Survey'!D42</f>
        <v>0</v>
      </c>
      <c r="E42" s="191">
        <f>'Functional Levels Drone Survey'!E42-'Existing Levels Drone Survey'!E42</f>
        <v>0</v>
      </c>
      <c r="F42" s="191">
        <f>'Functional Levels Drone Survey'!F42-'Existing Levels Drone Survey'!F42</f>
        <v>0</v>
      </c>
      <c r="G42" s="191">
        <f>'Functional Levels Drone Survey'!G42-'Existing Levels Drone Survey'!G42</f>
        <v>0</v>
      </c>
      <c r="H42" s="278">
        <f>'Functional Levels Drone Survey'!H42-'Existing Levels Drone Survey'!H42</f>
        <v>-1.1803999999999633</v>
      </c>
      <c r="I42" s="278">
        <f>'Functional Levels Drone Survey'!I42-'Existing Levels Drone Survey'!I42</f>
        <v>-1.1818000000000097</v>
      </c>
      <c r="J42" s="278">
        <f>'Functional Levels Drone Survey'!J42-'Existing Levels Drone Survey'!J42</f>
        <v>-0.54789999999997008</v>
      </c>
      <c r="K42" s="191">
        <f>'Functional Levels Drone Survey'!K42-'Existing Levels Drone Survey'!K42</f>
        <v>-0.48849999999998772</v>
      </c>
      <c r="L42" s="191">
        <f>'Functional Levels Drone Survey'!L42-'Existing Levels Drone Survey'!L42</f>
        <v>-0.44270000000000209</v>
      </c>
      <c r="M42" s="191">
        <f>'Functional Levels Drone Survey'!M42-'Existing Levels Drone Survey'!M42</f>
        <v>-0.54099999999999682</v>
      </c>
      <c r="N42" s="191">
        <f>'Functional Levels Drone Survey'!N42-'Existing Levels Drone Survey'!N42</f>
        <v>-0.34649999999999181</v>
      </c>
      <c r="O42" s="191">
        <f>'Functional Levels Drone Survey'!O42-'Existing Levels Drone Survey'!O42</f>
        <v>-0.35199999999997544</v>
      </c>
      <c r="P42" s="191">
        <f>'Functional Levels Drone Survey'!P42-'Existing Levels Drone Survey'!P42</f>
        <v>-0.35140000000001237</v>
      </c>
      <c r="Q42" s="191">
        <f>'Functional Levels Drone Survey'!Q42-'Existing Levels Drone Survey'!Q42</f>
        <v>-0.31329999999996971</v>
      </c>
      <c r="R42" s="191">
        <f>'Functional Levels Drone Survey'!R42-'Existing Levels Drone Survey'!R42</f>
        <v>-0.28989999999998872</v>
      </c>
      <c r="S42" s="191">
        <f>'Functional Levels Drone Survey'!S42-'Existing Levels Drone Survey'!S42</f>
        <v>-0.27150000000000318</v>
      </c>
      <c r="T42" s="191">
        <f>'Functional Levels Drone Survey'!T42-'Existing Levels Drone Survey'!T42</f>
        <v>-0.25849999999996953</v>
      </c>
      <c r="U42" s="278">
        <f>'Functional Levels Drone Survey'!U42-'Existing Levels Drone Survey'!U42</f>
        <v>-0.30180000000001428</v>
      </c>
      <c r="V42" s="191">
        <f>'Functional Levels Drone Survey'!V42-'Existing Levels Drone Survey'!V42</f>
        <v>0</v>
      </c>
      <c r="W42" s="191">
        <f>'Functional Levels Drone Survey'!W42-'Existing Levels Drone Survey'!W42</f>
        <v>0</v>
      </c>
      <c r="X42" s="191">
        <f>'Functional Levels Drone Survey'!X42-'Existing Levels Drone Survey'!X42</f>
        <v>0</v>
      </c>
      <c r="Y42" s="191">
        <f>'Functional Levels Drone Survey'!Y42-'Existing Levels Drone Survey'!Y42</f>
        <v>0</v>
      </c>
      <c r="Z42" s="191">
        <f>'Functional Levels Drone Survey'!Z42-'Existing Levels Drone Survey'!Z42</f>
        <v>0</v>
      </c>
      <c r="AA42" s="191">
        <f>'Functional Levels Drone Survey'!AA42-'Existing Levels Drone Survey'!AA42</f>
        <v>0</v>
      </c>
      <c r="AB42" s="191">
        <f>'Functional Levels Drone Survey'!AB42-'Existing Levels Drone Survey'!AB42</f>
        <v>0</v>
      </c>
      <c r="AC42" s="191">
        <f>'Functional Levels Drone Survey'!AC42-'Existing Levels Drone Survey'!AC42</f>
        <v>0</v>
      </c>
      <c r="AD42" s="191">
        <f>'Functional Levels Drone Survey'!AD42-'Existing Levels Drone Survey'!AD42</f>
        <v>0</v>
      </c>
      <c r="AE42" s="191">
        <f>'Functional Levels Drone Survey'!AE42-'Existing Levels Drone Survey'!AE42</f>
        <v>0</v>
      </c>
      <c r="AF42" s="191">
        <f>'Functional Levels Drone Survey'!AF42-'Existing Levels Drone Survey'!AF42</f>
        <v>0</v>
      </c>
      <c r="AG42" s="191">
        <f>'Functional Levels Drone Survey'!AG42-'Existing Levels Drone Survey'!AG42</f>
        <v>0</v>
      </c>
      <c r="AH42" s="191">
        <f>'Functional Levels Drone Survey'!AH42-'Existing Levels Drone Survey'!AH42</f>
        <v>0</v>
      </c>
      <c r="AI42" s="191">
        <f>'Functional Levels Drone Survey'!AI42-'Existing Levels Drone Survey'!AI42</f>
        <v>0</v>
      </c>
      <c r="AJ42" s="191">
        <f>'Functional Levels Drone Survey'!AJ42-'Existing Levels Drone Survey'!AJ42</f>
        <v>0</v>
      </c>
      <c r="AK42" s="191">
        <f>'Functional Levels Drone Survey'!AK42-'Existing Levels Drone Survey'!AK42</f>
        <v>0</v>
      </c>
      <c r="AL42" s="191">
        <f>'Functional Levels Drone Survey'!AL42-'Existing Levels Drone Survey'!AL42</f>
        <v>0</v>
      </c>
      <c r="AM42" s="191">
        <f>'Functional Levels Drone Survey'!AM42-'Existing Levels Drone Survey'!AM42</f>
        <v>0</v>
      </c>
      <c r="AN42" s="191">
        <f>'Functional Levels Drone Survey'!AN42-'Existing Levels Drone Survey'!AN42</f>
        <v>0</v>
      </c>
      <c r="AO42" s="191">
        <f>'Functional Levels Drone Survey'!AO42-'Existing Levels Drone Survey'!AO42</f>
        <v>0</v>
      </c>
      <c r="AP42" s="191">
        <f>'Functional Levels Drone Survey'!AP42-'Existing Levels Drone Survey'!AP42</f>
        <v>0</v>
      </c>
      <c r="AQ42" s="191">
        <f>'Functional Levels Drone Survey'!AQ42-'Existing Levels Drone Survey'!AQ42</f>
        <v>0</v>
      </c>
      <c r="AR42" s="191">
        <f>'Functional Levels Drone Survey'!AR42-'Existing Levels Drone Survey'!AR42</f>
        <v>0</v>
      </c>
      <c r="AS42" s="191">
        <f>'Functional Levels Drone Survey'!AS42-'Existing Levels Drone Survey'!AS42</f>
        <v>0</v>
      </c>
      <c r="AT42" s="191">
        <f>'Functional Levels Drone Survey'!AT42-'Existing Levels Drone Survey'!AT42</f>
        <v>0</v>
      </c>
      <c r="AU42" s="191">
        <f>'Functional Levels Drone Survey'!AU42-'Existing Levels Drone Survey'!AU42</f>
        <v>0</v>
      </c>
      <c r="AV42" s="191">
        <f>'Functional Levels Drone Survey'!AV42-'Existing Levels Drone Survey'!AV42</f>
        <v>0</v>
      </c>
      <c r="AW42" s="191">
        <f>'Functional Levels Drone Survey'!AW42-'Existing Levels Drone Survey'!AW42</f>
        <v>0</v>
      </c>
      <c r="AX42" s="191">
        <f>'Functional Levels Drone Survey'!AX42-'Existing Levels Drone Survey'!AX42</f>
        <v>0</v>
      </c>
      <c r="AY42" s="191">
        <f>'Functional Levels Drone Survey'!AY42-'Existing Levels Drone Survey'!AY42</f>
        <v>0</v>
      </c>
      <c r="AZ42" s="278">
        <f>'Functional Levels Drone Survey'!AZ42-'Existing Levels Drone Survey'!AZ42</f>
        <v>-0.74616190476206157</v>
      </c>
      <c r="BA42" s="191">
        <f>'Functional Levels Drone Survey'!BA42-'Existing Levels Drone Survey'!BA42</f>
        <v>-0.44566190476206202</v>
      </c>
      <c r="BB42" s="191">
        <f>'Functional Levels Drone Survey'!BB42-'Existing Levels Drone Survey'!BB42</f>
        <v>-0.71996190476210131</v>
      </c>
      <c r="BC42" s="191">
        <f>'Functional Levels Drone Survey'!BC42-'Existing Levels Drone Survey'!BC42</f>
        <v>-0.72186190476207912</v>
      </c>
      <c r="BD42" s="191">
        <f>'Functional Levels Drone Survey'!BD42-'Existing Levels Drone Survey'!BD42</f>
        <v>-0.68726190476206739</v>
      </c>
      <c r="BE42" s="191">
        <f>'Functional Levels Drone Survey'!BE42-'Existing Levels Drone Survey'!BE42</f>
        <v>-0.53956190476208121</v>
      </c>
      <c r="BF42" s="191">
        <f>'Functional Levels Drone Survey'!BF42-'Existing Levels Drone Survey'!BF42</f>
        <v>-0.51186000000012655</v>
      </c>
      <c r="BG42" s="191">
        <f>'Functional Levels Drone Survey'!BG42-'Existing Levels Drone Survey'!BG42</f>
        <v>-0.52736000000015792</v>
      </c>
      <c r="BH42" s="191">
        <f>'Functional Levels Drone Survey'!BH42-'Existing Levels Drone Survey'!BH42</f>
        <v>-0.51836000000014337</v>
      </c>
      <c r="BI42" s="191">
        <f>'Functional Levels Drone Survey'!BI42-'Existing Levels Drone Survey'!BI42</f>
        <v>-0.3765600000001541</v>
      </c>
      <c r="BJ42" s="191">
        <f>'Functional Levels Drone Survey'!BJ42-'Existing Levels Drone Survey'!BJ42</f>
        <v>-0.58306000000010272</v>
      </c>
      <c r="BK42" s="191">
        <f>'Functional Levels Drone Survey'!BK42-'Existing Levels Drone Survey'!BK42</f>
        <v>-0.41966000000013537</v>
      </c>
      <c r="BL42" s="191">
        <f>'Functional Levels Drone Survey'!BL42-'Existing Levels Drone Survey'!BL42</f>
        <v>-0.52066000000013446</v>
      </c>
      <c r="BM42" s="191">
        <f>'Functional Levels Drone Survey'!BM42-'Existing Levels Drone Survey'!BM42</f>
        <v>-0.29986000000013746</v>
      </c>
      <c r="BN42" s="191">
        <f>'Functional Levels Drone Survey'!BN42-'Existing Levels Drone Survey'!BN42</f>
        <v>-0.38706000000013319</v>
      </c>
      <c r="BO42" s="191">
        <f>'Functional Levels Drone Survey'!BO42-'Existing Levels Drone Survey'!BO42</f>
        <v>-0.32346000000012509</v>
      </c>
      <c r="BP42" s="191">
        <f>'Functional Levels Drone Survey'!BP42-'Existing Levels Drone Survey'!BP42</f>
        <v>-0.42136000000010654</v>
      </c>
      <c r="BQ42" s="191">
        <f>'Functional Levels Drone Survey'!BQ42-'Existing Levels Drone Survey'!BQ42</f>
        <v>-0.49366000000014765</v>
      </c>
      <c r="BR42" s="191">
        <f>'Functional Levels Drone Survey'!BR42-'Existing Levels Drone Survey'!BR42</f>
        <v>-0.50226000000014892</v>
      </c>
      <c r="BS42" s="191">
        <f>'Functional Levels Drone Survey'!BS42-'Existing Levels Drone Survey'!BS42</f>
        <v>-0.2971600000001331</v>
      </c>
      <c r="BT42" s="191">
        <f>'Functional Levels Drone Survey'!BT42-'Existing Levels Drone Survey'!BT42</f>
        <v>-0.2346600000001331</v>
      </c>
      <c r="BU42" s="191">
        <f>'Functional Levels Drone Survey'!BU42-'Existing Levels Drone Survey'!BU42</f>
        <v>5.2739999999857901E-2</v>
      </c>
      <c r="BV42" s="191">
        <f>'Functional Levels Drone Survey'!BV42-'Existing Levels Drone Survey'!BV42</f>
        <v>-0.14976000000012846</v>
      </c>
      <c r="BW42" s="191">
        <f>'Functional Levels Drone Survey'!BW42-'Existing Levels Drone Survey'!BW42</f>
        <v>-0.20496000000014192</v>
      </c>
      <c r="BX42" s="191">
        <f>'Functional Levels Drone Survey'!BX42-'Existing Levels Drone Survey'!BX42</f>
        <v>-0.29106000000012955</v>
      </c>
      <c r="BY42" s="191">
        <f>'Functional Levels Drone Survey'!BY42-'Existing Levels Drone Survey'!BY42</f>
        <v>-0.28766000000013037</v>
      </c>
      <c r="BZ42" s="191">
        <f>'Functional Levels Drone Survey'!BZ42-'Existing Levels Drone Survey'!BZ42</f>
        <v>-0.42670000000009622</v>
      </c>
      <c r="CA42" s="191">
        <f>'Functional Levels Drone Survey'!CA42-'Existing Levels Drone Survey'!CA42</f>
        <v>-0.4897000000000844</v>
      </c>
      <c r="CB42" s="191">
        <f>'Functional Levels Drone Survey'!CB42-'Existing Levels Drone Survey'!CB42</f>
        <v>-0.44870000000008758</v>
      </c>
      <c r="CC42" s="191">
        <f>'Functional Levels Drone Survey'!CC42-'Existing Levels Drone Survey'!CC42</f>
        <v>-0.40170000000011896</v>
      </c>
      <c r="CD42" s="191">
        <f>'Functional Levels Drone Survey'!CD42-'Existing Levels Drone Survey'!CD42</f>
        <v>-0.43600000000009231</v>
      </c>
      <c r="CE42" s="191">
        <f>'Functional Levels Drone Survey'!CE42-'Existing Levels Drone Survey'!CE42</f>
        <v>-0.29960000000011178</v>
      </c>
      <c r="CF42" s="191">
        <f>'Functional Levels Drone Survey'!CF42-'Existing Levels Drone Survey'!CF42</f>
        <v>-0.32590000000010377</v>
      </c>
      <c r="CG42" s="191">
        <f>'Functional Levels Drone Survey'!CG42-'Existing Levels Drone Survey'!CG42</f>
        <v>-0.34310000000010632</v>
      </c>
      <c r="CH42" s="191">
        <f>'Functional Levels Drone Survey'!CH42-'Existing Levels Drone Survey'!CH42</f>
        <v>-0.28870000000011942</v>
      </c>
      <c r="CI42" s="191">
        <f>'Functional Levels Drone Survey'!CI42-'Existing Levels Drone Survey'!CI42</f>
        <v>-0.39810000000011314</v>
      </c>
      <c r="CJ42" s="191">
        <f>'Functional Levels Drone Survey'!CJ42-'Existing Levels Drone Survey'!CJ42</f>
        <v>-0.38740000000012742</v>
      </c>
      <c r="CK42" s="191">
        <f>'Functional Levels Drone Survey'!CK42-'Existing Levels Drone Survey'!CK42</f>
        <v>-0.41630000000009204</v>
      </c>
      <c r="CL42" s="191">
        <f>'Functional Levels Drone Survey'!CL42-'Existing Levels Drone Survey'!CL42</f>
        <v>-0.39050000000008822</v>
      </c>
      <c r="CM42" s="191">
        <f>'Functional Levels Drone Survey'!CM42-'Existing Levels Drone Survey'!CM42</f>
        <v>-0.2617000000001326</v>
      </c>
      <c r="CN42" s="191">
        <f>'Functional Levels Drone Survey'!CN42-'Existing Levels Drone Survey'!CN42</f>
        <v>-0.28770000000008622</v>
      </c>
      <c r="CO42" s="191">
        <f>'Functional Levels Drone Survey'!CO42-'Existing Levels Drone Survey'!CO42</f>
        <v>-0.10210000000012087</v>
      </c>
      <c r="CP42" s="191">
        <f>'Functional Levels Drone Survey'!CP42-'Existing Levels Drone Survey'!CP42</f>
        <v>-0.15580000000011296</v>
      </c>
      <c r="CQ42" s="191">
        <f>'Functional Levels Drone Survey'!CQ42-'Existing Levels Drone Survey'!CQ42</f>
        <v>-0.48813333333350784</v>
      </c>
      <c r="CR42" s="191">
        <f>'Functional Levels Drone Survey'!CR42-'Existing Levels Drone Survey'!CR42</f>
        <v>-0.53043333333346254</v>
      </c>
      <c r="CS42" s="191">
        <f>'Functional Levels Drone Survey'!CS42-'Existing Levels Drone Survey'!CS42</f>
        <v>-0.55663333333347964</v>
      </c>
      <c r="CT42" s="191">
        <f>'Functional Levels Drone Survey'!CT42-'Existing Levels Drone Survey'!CT42</f>
        <v>-0.12503333333347655</v>
      </c>
      <c r="CU42" s="191">
        <f>'Functional Levels Drone Survey'!CU42-'Existing Levels Drone Survey'!CU42</f>
        <v>-0.19333333333349856</v>
      </c>
      <c r="CV42" s="191">
        <f>'Functional Levels Drone Survey'!CV42-'Existing Levels Drone Survey'!CV42</f>
        <v>-0.17753333333348564</v>
      </c>
      <c r="CW42" s="191">
        <f>'Functional Levels Drone Survey'!CW42-'Existing Levels Drone Survey'!CW42</f>
        <v>-0.15373333333349137</v>
      </c>
      <c r="CX42" s="191">
        <f>'Functional Levels Drone Survey'!CX42-'Existing Levels Drone Survey'!CX42</f>
        <v>-0.15373333333349137</v>
      </c>
      <c r="CY42" s="191">
        <f>'Functional Levels Drone Survey'!CY42-'Existing Levels Drone Survey'!CY42</f>
        <v>-0.18053333333352839</v>
      </c>
      <c r="CZ42" s="191">
        <f>'Functional Levels Drone Survey'!CZ42-'Existing Levels Drone Survey'!CZ42</f>
        <v>-0.17853333333351884</v>
      </c>
      <c r="DA42" s="191">
        <f>'Functional Levels Drone Survey'!DA42-'Existing Levels Drone Survey'!DA42</f>
        <v>-0.1129333333335012</v>
      </c>
      <c r="DB42" s="191">
        <f>'Functional Levels Drone Survey'!DB42-'Existing Levels Drone Survey'!DB42</f>
        <v>-8.113333333352557E-2</v>
      </c>
      <c r="DC42" s="191">
        <f>'Functional Levels Drone Survey'!DC42-'Existing Levels Drone Survey'!DC42</f>
        <v>1.6966666666519359E-2</v>
      </c>
      <c r="DD42" s="191">
        <f>'Functional Levels Drone Survey'!DD42-'Existing Levels Drone Survey'!DD42</f>
        <v>-3.153333333352748E-2</v>
      </c>
      <c r="DE42" s="191">
        <f>'Functional Levels Drone Survey'!DE42-'Existing Levels Drone Survey'!DE42</f>
        <v>-0.11233333333348128</v>
      </c>
      <c r="DF42" s="191">
        <f>'Functional Levels Drone Survey'!DF42-'Existing Levels Drone Survey'!DF42</f>
        <v>-0.10383333333351175</v>
      </c>
      <c r="DG42" s="191">
        <f>'Functional Levels Drone Survey'!DG42-'Existing Levels Drone Survey'!DG42</f>
        <v>-9.1333333333523115E-2</v>
      </c>
      <c r="DH42" s="191">
        <f>'Functional Levels Drone Survey'!DH42-'Existing Levels Drone Survey'!DH42</f>
        <v>-5.9633333333522387E-2</v>
      </c>
      <c r="DI42" s="191">
        <f>'Functional Levels Drone Survey'!DI42-'Existing Levels Drone Survey'!DI42</f>
        <v>-6.1133333333486917E-2</v>
      </c>
      <c r="DJ42" s="191">
        <f>'Functional Levels Drone Survey'!DJ42-'Existing Levels Drone Survey'!DJ42</f>
        <v>-8.4233333333486371E-2</v>
      </c>
      <c r="DK42" s="191">
        <f>'Functional Levels Drone Survey'!DK42-'Existing Levels Drone Survey'!DK42</f>
        <v>-4.4033333333516111E-2</v>
      </c>
      <c r="DL42" s="191">
        <f>'Functional Levels Drone Survey'!DL42-'Existing Levels Drone Survey'!DL42</f>
        <v>8.7766666666482251E-2</v>
      </c>
      <c r="DM42" s="191">
        <f>'Functional Levels Drone Survey'!DM42-'Existing Levels Drone Survey'!DM42</f>
        <v>-0.14253333333351748</v>
      </c>
      <c r="DN42" s="191">
        <f>'Functional Levels Drone Survey'!DN42-'Existing Levels Drone Survey'!DN42</f>
        <v>-3.3333333533391851E-5</v>
      </c>
      <c r="DO42" s="191">
        <f>'Functional Levels Drone Survey'!DO42-'Existing Levels Drone Survey'!DO42</f>
        <v>-4.3033333333482915E-2</v>
      </c>
      <c r="DP42" s="191">
        <f>'Functional Levels Drone Survey'!DP42-'Existing Levels Drone Survey'!DP42</f>
        <v>-6.8133333333491919E-2</v>
      </c>
      <c r="DQ42" s="191">
        <f>'Functional Levels Drone Survey'!DQ42-'Existing Levels Drone Survey'!DQ42</f>
        <v>-0.15123333333349365</v>
      </c>
      <c r="DR42" s="191">
        <f>'Functional Levels Drone Survey'!DR42-'Existing Levels Drone Survey'!DR42</f>
        <v>-5.7633333333512837E-2</v>
      </c>
      <c r="DS42" s="191">
        <f>'Functional Levels Drone Survey'!DS42-'Existing Levels Drone Survey'!DS42</f>
        <v>-0.22433333333350447</v>
      </c>
      <c r="DT42" s="191">
        <f>'Functional Levels Drone Survey'!DT42-'Existing Levels Drone Survey'!DT42</f>
        <v>-1.4506250000010823E-2</v>
      </c>
      <c r="DU42" s="191">
        <f>'Functional Levels Drone Survey'!DU42-'Existing Levels Drone Survey'!DU42</f>
        <v>-0.23730625000001737</v>
      </c>
      <c r="DV42" s="191">
        <f>'Functional Levels Drone Survey'!DV42-'Existing Levels Drone Survey'!DV42</f>
        <v>0.16269374999995989</v>
      </c>
      <c r="DW42" s="191">
        <f>'Functional Levels Drone Survey'!DW42-'Existing Levels Drone Survey'!DW42</f>
        <v>-0.12020625000002383</v>
      </c>
      <c r="DX42" s="191">
        <f>'Functional Levels Drone Survey'!DX42-'Existing Levels Drone Survey'!DX42</f>
        <v>-1.8606250000061664E-2</v>
      </c>
      <c r="DY42" s="191">
        <f>'Functional Levels Drone Survey'!DY42-'Existing Levels Drone Survey'!DY42</f>
        <v>-0.16570625000002792</v>
      </c>
      <c r="DZ42" s="191">
        <f>'Functional Levels Drone Survey'!DZ42-'Existing Levels Drone Survey'!DZ42</f>
        <v>-0.23880625000003874</v>
      </c>
      <c r="EA42" s="191">
        <f>'Functional Levels Drone Survey'!EA42-'Existing Levels Drone Survey'!EA42</f>
        <v>-0.10990625000005139</v>
      </c>
      <c r="EB42" s="191">
        <f>'Functional Levels Drone Survey'!EB42-'Existing Levels Drone Survey'!EB42</f>
        <v>-5.5606250000039381E-2</v>
      </c>
      <c r="EC42" s="191">
        <f>'Functional Levels Drone Survey'!EC42-'Existing Levels Drone Survey'!EC42</f>
        <v>-0.11393684210537458</v>
      </c>
      <c r="ED42" s="191">
        <f>'Functional Levels Drone Survey'!ED42-'Existing Levels Drone Survey'!ED42</f>
        <v>-0.19533684210540514</v>
      </c>
      <c r="EE42" s="191">
        <f>'Functional Levels Drone Survey'!EE42-'Existing Levels Drone Survey'!EE42</f>
        <v>-0.24423684210540841</v>
      </c>
      <c r="EF42" s="191">
        <f>'Functional Levels Drone Survey'!EF42-'Existing Levels Drone Survey'!EF42</f>
        <v>-0.36243684210541005</v>
      </c>
      <c r="EG42" s="191">
        <f>'Functional Levels Drone Survey'!EG42-'Existing Levels Drone Survey'!EG42</f>
        <v>-0.46723684210536476</v>
      </c>
      <c r="EH42" s="191">
        <f>'Functional Levels Drone Survey'!EH42-'Existing Levels Drone Survey'!EH42</f>
        <v>-0.38503684210536449</v>
      </c>
      <c r="EI42" s="191">
        <f>'Functional Levels Drone Survey'!EI42-'Existing Levels Drone Survey'!EI42</f>
        <v>-0.31383684210538831</v>
      </c>
      <c r="EJ42" s="191">
        <f>'Functional Levels Drone Survey'!EJ42-'Existing Levels Drone Survey'!EJ42</f>
        <v>-0.32133684210538149</v>
      </c>
      <c r="EK42" s="191">
        <f>'Functional Levels Drone Survey'!EK42-'Existing Levels Drone Survey'!EK42</f>
        <v>-0.25143684210536321</v>
      </c>
      <c r="EL42" s="191">
        <f>'Functional Levels Drone Survey'!EL42-'Existing Levels Drone Survey'!EL42</f>
        <v>-3.6036842105374944E-2</v>
      </c>
      <c r="EM42" s="191">
        <f>'Functional Levels Drone Survey'!EM42-'Existing Levels Drone Survey'!EM42</f>
        <v>-6.6136842105379401E-2</v>
      </c>
      <c r="EN42" s="191">
        <f>'Functional Levels Drone Survey'!EN42-'Existing Levels Drone Survey'!EN42</f>
        <v>-0.24083684210540923</v>
      </c>
      <c r="EO42" s="191">
        <f>'Functional Levels Drone Survey'!EO42-'Existing Levels Drone Survey'!EO42</f>
        <v>-0.22233684210539195</v>
      </c>
      <c r="EP42" s="191">
        <f>'Functional Levels Drone Survey'!EP42-'Existing Levels Drone Survey'!EP42</f>
        <v>-0.11993684210540323</v>
      </c>
      <c r="EQ42" s="191">
        <f>'Functional Levels Drone Survey'!EQ42-'Existing Levels Drone Survey'!EQ42</f>
        <v>-3.7136842105383039E-2</v>
      </c>
      <c r="ER42" s="191">
        <f>'Functional Levels Drone Survey'!ER42-'Existing Levels Drone Survey'!ER42</f>
        <v>-0.2325368421053895</v>
      </c>
      <c r="ES42" s="191">
        <f>'Functional Levels Drone Survey'!ES42-'Existing Levels Drone Survey'!ES42</f>
        <v>-0.34853684210537494</v>
      </c>
      <c r="ET42" s="191">
        <f>'Functional Levels Drone Survey'!ET42-'Existing Levels Drone Survey'!ET42</f>
        <v>-0.18163684210537667</v>
      </c>
      <c r="EU42" s="191">
        <f>'Functional Levels Drone Survey'!EU42-'Existing Levels Drone Survey'!EU42</f>
        <v>-0.27833684210537513</v>
      </c>
      <c r="EV42" s="191">
        <f>'Functional Levels Drone Survey'!EV42-'Existing Levels Drone Survey'!EV42</f>
        <v>0.1536631578945844</v>
      </c>
      <c r="EW42" s="278">
        <f>'Functional Levels Drone Survey'!EW42-'Existing Levels Drone Survey'!EW42</f>
        <v>-0.26093684210536594</v>
      </c>
      <c r="EX42" s="191">
        <f>'Functional Levels Drone Survey'!EX42-'Existing Levels Drone Survey'!EX42</f>
        <v>0</v>
      </c>
      <c r="EY42" s="191">
        <f>'Functional Levels Drone Survey'!EY42-'Existing Levels Drone Survey'!EY42</f>
        <v>0</v>
      </c>
    </row>
    <row r="43" spans="1:155" ht="45" customHeight="1" x14ac:dyDescent="0.45">
      <c r="A43" s="277">
        <v>210</v>
      </c>
      <c r="B43" s="191">
        <f>'Functional Levels Drone Survey'!B43-'Existing Levels Drone Survey'!B43</f>
        <v>0</v>
      </c>
      <c r="C43" s="191">
        <f>'Functional Levels Drone Survey'!C43-'Existing Levels Drone Survey'!C43</f>
        <v>0</v>
      </c>
      <c r="D43" s="191">
        <f>'Functional Levels Drone Survey'!D43-'Existing Levels Drone Survey'!D43</f>
        <v>0</v>
      </c>
      <c r="E43" s="278">
        <f>'Functional Levels Drone Survey'!E43-'Existing Levels Drone Survey'!E43</f>
        <v>-0.93500000000000227</v>
      </c>
      <c r="F43" s="278">
        <f>'Functional Levels Drone Survey'!F43-'Existing Levels Drone Survey'!F43</f>
        <v>-1.0249999999999773</v>
      </c>
      <c r="G43" s="278">
        <f>'Functional Levels Drone Survey'!G43-'Existing Levels Drone Survey'!G43</f>
        <v>-0.44749999999999091</v>
      </c>
      <c r="H43" s="191">
        <f>'Functional Levels Drone Survey'!H43-'Existing Levels Drone Survey'!H43</f>
        <v>-0.34759999999999991</v>
      </c>
      <c r="I43" s="191">
        <f>'Functional Levels Drone Survey'!I43-'Existing Levels Drone Survey'!I43</f>
        <v>-0.33289999999999509</v>
      </c>
      <c r="J43" s="191">
        <f>'Functional Levels Drone Survey'!J43-'Existing Levels Drone Survey'!J43</f>
        <v>-0.37389999999999191</v>
      </c>
      <c r="K43" s="191">
        <f>'Functional Levels Drone Survey'!K43-'Existing Levels Drone Survey'!K43</f>
        <v>-0.33780000000001564</v>
      </c>
      <c r="L43" s="191">
        <f>'Functional Levels Drone Survey'!L43-'Existing Levels Drone Survey'!L43</f>
        <v>-0.40870000000001028</v>
      </c>
      <c r="M43" s="191">
        <f>'Functional Levels Drone Survey'!M43-'Existing Levels Drone Survey'!M43</f>
        <v>-0.51659999999998263</v>
      </c>
      <c r="N43" s="191">
        <f>'Functional Levels Drone Survey'!N43-'Existing Levels Drone Survey'!N43</f>
        <v>-0.37369999999998527</v>
      </c>
      <c r="O43" s="191">
        <f>'Functional Levels Drone Survey'!O43-'Existing Levels Drone Survey'!O43</f>
        <v>-0.31880000000001019</v>
      </c>
      <c r="P43" s="191">
        <f>'Functional Levels Drone Survey'!P43-'Existing Levels Drone Survey'!P43</f>
        <v>-0.28839999999996735</v>
      </c>
      <c r="Q43" s="191">
        <f>'Functional Levels Drone Survey'!Q43-'Existing Levels Drone Survey'!Q43</f>
        <v>-0.27330000000000609</v>
      </c>
      <c r="R43" s="191">
        <f>'Functional Levels Drone Survey'!R43-'Existing Levels Drone Survey'!R43</f>
        <v>-0.21229999999997062</v>
      </c>
      <c r="S43" s="191">
        <f>'Functional Levels Drone Survey'!S43-'Existing Levels Drone Survey'!S43</f>
        <v>-0.2085999999999899</v>
      </c>
      <c r="T43" s="191">
        <f>'Functional Levels Drone Survey'!T43-'Existing Levels Drone Survey'!T43</f>
        <v>-0.24829999999997199</v>
      </c>
      <c r="U43" s="191">
        <f>'Functional Levels Drone Survey'!U43-'Existing Levels Drone Survey'!U43</f>
        <v>-0.22169999999999845</v>
      </c>
      <c r="V43" s="278">
        <f>'Functional Levels Drone Survey'!V43-'Existing Levels Drone Survey'!V43</f>
        <v>-0.25509999999997035</v>
      </c>
      <c r="W43" s="191">
        <f>'Functional Levels Drone Survey'!W43-'Existing Levels Drone Survey'!W43</f>
        <v>0</v>
      </c>
      <c r="X43" s="191">
        <f>'Functional Levels Drone Survey'!X43-'Existing Levels Drone Survey'!X43</f>
        <v>0</v>
      </c>
      <c r="Y43" s="191">
        <f>'Functional Levels Drone Survey'!Y43-'Existing Levels Drone Survey'!Y43</f>
        <v>0</v>
      </c>
      <c r="Z43" s="191">
        <f>'Functional Levels Drone Survey'!Z43-'Existing Levels Drone Survey'!Z43</f>
        <v>0</v>
      </c>
      <c r="AA43" s="191">
        <f>'Functional Levels Drone Survey'!AA43-'Existing Levels Drone Survey'!AA43</f>
        <v>0</v>
      </c>
      <c r="AB43" s="191">
        <f>'Functional Levels Drone Survey'!AB43-'Existing Levels Drone Survey'!AB43</f>
        <v>0</v>
      </c>
      <c r="AC43" s="191">
        <f>'Functional Levels Drone Survey'!AC43-'Existing Levels Drone Survey'!AC43</f>
        <v>0</v>
      </c>
      <c r="AD43" s="191">
        <f>'Functional Levels Drone Survey'!AD43-'Existing Levels Drone Survey'!AD43</f>
        <v>0</v>
      </c>
      <c r="AE43" s="191">
        <f>'Functional Levels Drone Survey'!AE43-'Existing Levels Drone Survey'!AE43</f>
        <v>0</v>
      </c>
      <c r="AF43" s="191">
        <f>'Functional Levels Drone Survey'!AF43-'Existing Levels Drone Survey'!AF43</f>
        <v>0</v>
      </c>
      <c r="AG43" s="191">
        <f>'Functional Levels Drone Survey'!AG43-'Existing Levels Drone Survey'!AG43</f>
        <v>0</v>
      </c>
      <c r="AH43" s="191">
        <f>'Functional Levels Drone Survey'!AH43-'Existing Levels Drone Survey'!AH43</f>
        <v>0</v>
      </c>
      <c r="AI43" s="191">
        <f>'Functional Levels Drone Survey'!AI43-'Existing Levels Drone Survey'!AI43</f>
        <v>0</v>
      </c>
      <c r="AJ43" s="191">
        <f>'Functional Levels Drone Survey'!AJ43-'Existing Levels Drone Survey'!AJ43</f>
        <v>0</v>
      </c>
      <c r="AK43" s="191">
        <f>'Functional Levels Drone Survey'!AK43-'Existing Levels Drone Survey'!AK43</f>
        <v>0</v>
      </c>
      <c r="AL43" s="191">
        <f>'Functional Levels Drone Survey'!AL43-'Existing Levels Drone Survey'!AL43</f>
        <v>0</v>
      </c>
      <c r="AM43" s="191">
        <f>'Functional Levels Drone Survey'!AM43-'Existing Levels Drone Survey'!AM43</f>
        <v>0</v>
      </c>
      <c r="AN43" s="191">
        <f>'Functional Levels Drone Survey'!AN43-'Existing Levels Drone Survey'!AN43</f>
        <v>0</v>
      </c>
      <c r="AO43" s="191">
        <f>'Functional Levels Drone Survey'!AO43-'Existing Levels Drone Survey'!AO43</f>
        <v>0</v>
      </c>
      <c r="AP43" s="191">
        <f>'Functional Levels Drone Survey'!AP43-'Existing Levels Drone Survey'!AP43</f>
        <v>0</v>
      </c>
      <c r="AQ43" s="191">
        <f>'Functional Levels Drone Survey'!AQ43-'Existing Levels Drone Survey'!AQ43</f>
        <v>0</v>
      </c>
      <c r="AR43" s="191">
        <f>'Functional Levels Drone Survey'!AR43-'Existing Levels Drone Survey'!AR43</f>
        <v>0</v>
      </c>
      <c r="AS43" s="191">
        <f>'Functional Levels Drone Survey'!AS43-'Existing Levels Drone Survey'!AS43</f>
        <v>0</v>
      </c>
      <c r="AT43" s="191">
        <f>'Functional Levels Drone Survey'!AT43-'Existing Levels Drone Survey'!AT43</f>
        <v>0</v>
      </c>
      <c r="AU43" s="191">
        <f>'Functional Levels Drone Survey'!AU43-'Existing Levels Drone Survey'!AU43</f>
        <v>0</v>
      </c>
      <c r="AV43" s="191">
        <f>'Functional Levels Drone Survey'!AV43-'Existing Levels Drone Survey'!AV43</f>
        <v>0</v>
      </c>
      <c r="AW43" s="191">
        <f>'Functional Levels Drone Survey'!AW43-'Existing Levels Drone Survey'!AW43</f>
        <v>0</v>
      </c>
      <c r="AX43" s="191">
        <f>'Functional Levels Drone Survey'!AX43-'Existing Levels Drone Survey'!AX43</f>
        <v>0</v>
      </c>
      <c r="AY43" s="191">
        <f>'Functional Levels Drone Survey'!AY43-'Existing Levels Drone Survey'!AY43</f>
        <v>0</v>
      </c>
      <c r="AZ43" s="278">
        <f>'Functional Levels Drone Survey'!AZ43-'Existing Levels Drone Survey'!AZ43</f>
        <v>-0.7555619047620894</v>
      </c>
      <c r="BA43" s="191">
        <f>'Functional Levels Drone Survey'!BA43-'Existing Levels Drone Survey'!BA43</f>
        <v>-0.44046190476205993</v>
      </c>
      <c r="BB43" s="191">
        <f>'Functional Levels Drone Survey'!BB43-'Existing Levels Drone Survey'!BB43</f>
        <v>-0.54016190476204429</v>
      </c>
      <c r="BC43" s="191">
        <f>'Functional Levels Drone Survey'!BC43-'Existing Levels Drone Survey'!BC43</f>
        <v>-0.57246190476206493</v>
      </c>
      <c r="BD43" s="191">
        <f>'Functional Levels Drone Survey'!BD43-'Existing Levels Drone Survey'!BD43</f>
        <v>-0.52826190476207557</v>
      </c>
      <c r="BE43" s="191">
        <f>'Functional Levels Drone Survey'!BE43-'Existing Levels Drone Survey'!BE43</f>
        <v>-0.52956190476209031</v>
      </c>
      <c r="BF43" s="191">
        <f>'Functional Levels Drone Survey'!BF43-'Existing Levels Drone Survey'!BF43</f>
        <v>-0.546060000000125</v>
      </c>
      <c r="BG43" s="191">
        <f>'Functional Levels Drone Survey'!BG43-'Existing Levels Drone Survey'!BG43</f>
        <v>-0.43276000000014392</v>
      </c>
      <c r="BH43" s="191">
        <f>'Functional Levels Drone Survey'!BH43-'Existing Levels Drone Survey'!BH43</f>
        <v>-0.39686000000011745</v>
      </c>
      <c r="BI43" s="191">
        <f>'Functional Levels Drone Survey'!BI43-'Existing Levels Drone Survey'!BI43</f>
        <v>-0.42436000000014928</v>
      </c>
      <c r="BJ43" s="191">
        <f>'Functional Levels Drone Survey'!BJ43-'Existing Levels Drone Survey'!BJ43</f>
        <v>-0.33706000000012182</v>
      </c>
      <c r="BK43" s="191">
        <f>'Functional Levels Drone Survey'!BK43-'Existing Levels Drone Survey'!BK43</f>
        <v>-0.31386000000014747</v>
      </c>
      <c r="BL43" s="191">
        <f>'Functional Levels Drone Survey'!BL43-'Existing Levels Drone Survey'!BL43</f>
        <v>-0.36386000000010199</v>
      </c>
      <c r="BM43" s="191">
        <f>'Functional Levels Drone Survey'!BM43-'Existing Levels Drone Survey'!BM43</f>
        <v>-0.43996000000015556</v>
      </c>
      <c r="BN43" s="191">
        <f>'Functional Levels Drone Survey'!BN43-'Existing Levels Drone Survey'!BN43</f>
        <v>-0.42806000000013</v>
      </c>
      <c r="BO43" s="191">
        <f>'Functional Levels Drone Survey'!BO43-'Existing Levels Drone Survey'!BO43</f>
        <v>-0.43246000000010554</v>
      </c>
      <c r="BP43" s="191">
        <f>'Functional Levels Drone Survey'!BP43-'Existing Levels Drone Survey'!BP43</f>
        <v>-0.4059600000001069</v>
      </c>
      <c r="BQ43" s="191">
        <f>'Functional Levels Drone Survey'!BQ43-'Existing Levels Drone Survey'!BQ43</f>
        <v>-0.46806000000015047</v>
      </c>
      <c r="BR43" s="191">
        <f>'Functional Levels Drone Survey'!BR43-'Existing Levels Drone Survey'!BR43</f>
        <v>-0.47396000000014737</v>
      </c>
      <c r="BS43" s="191">
        <f>'Functional Levels Drone Survey'!BS43-'Existing Levels Drone Survey'!BS43</f>
        <v>-0.3948600000001079</v>
      </c>
      <c r="BT43" s="191">
        <f>'Functional Levels Drone Survey'!BT43-'Existing Levels Drone Survey'!BT43</f>
        <v>-0.28676000000012891</v>
      </c>
      <c r="BU43" s="191">
        <f>'Functional Levels Drone Survey'!BU43-'Existing Levels Drone Survey'!BU43</f>
        <v>-0.27716000000015129</v>
      </c>
      <c r="BV43" s="191">
        <f>'Functional Levels Drone Survey'!BV43-'Existing Levels Drone Survey'!BV43</f>
        <v>-0.3181600000001481</v>
      </c>
      <c r="BW43" s="191">
        <f>'Functional Levels Drone Survey'!BW43-'Existing Levels Drone Survey'!BW43</f>
        <v>-0.30696000000011736</v>
      </c>
      <c r="BX43" s="191">
        <f>'Functional Levels Drone Survey'!BX43-'Existing Levels Drone Survey'!BX43</f>
        <v>-0.31856000000010454</v>
      </c>
      <c r="BY43" s="191">
        <f>'Functional Levels Drone Survey'!BY43-'Existing Levels Drone Survey'!BY43</f>
        <v>-0.28696000000013555</v>
      </c>
      <c r="BZ43" s="191">
        <f>'Functional Levels Drone Survey'!BZ43-'Existing Levels Drone Survey'!BZ43</f>
        <v>-0.46790000000009968</v>
      </c>
      <c r="CA43" s="191">
        <f>'Functional Levels Drone Survey'!CA43-'Existing Levels Drone Survey'!CA43</f>
        <v>-0.39640000000008513</v>
      </c>
      <c r="CB43" s="191">
        <f>'Functional Levels Drone Survey'!CB43-'Existing Levels Drone Survey'!CB43</f>
        <v>-0.36940000000009832</v>
      </c>
      <c r="CC43" s="191">
        <f>'Functional Levels Drone Survey'!CC43-'Existing Levels Drone Survey'!CC43</f>
        <v>-0.30250000000012278</v>
      </c>
      <c r="CD43" s="191">
        <f>'Functional Levels Drone Survey'!CD43-'Existing Levels Drone Survey'!CD43</f>
        <v>-0.35280000000011569</v>
      </c>
      <c r="CE43" s="191">
        <f>'Functional Levels Drone Survey'!CE43-'Existing Levels Drone Survey'!CE43</f>
        <v>-0.26740000000012287</v>
      </c>
      <c r="CF43" s="191">
        <f>'Functional Levels Drone Survey'!CF43-'Existing Levels Drone Survey'!CF43</f>
        <v>-0.26070000000009941</v>
      </c>
      <c r="CG43" s="191">
        <f>'Functional Levels Drone Survey'!CG43-'Existing Levels Drone Survey'!CG43</f>
        <v>-0.30850000000009459</v>
      </c>
      <c r="CH43" s="191">
        <f>'Functional Levels Drone Survey'!CH43-'Existing Levels Drone Survey'!CH43</f>
        <v>-0.39970000000010941</v>
      </c>
      <c r="CI43" s="191">
        <f>'Functional Levels Drone Survey'!CI43-'Existing Levels Drone Survey'!CI43</f>
        <v>-0.33310000000011541</v>
      </c>
      <c r="CJ43" s="191">
        <f>'Functional Levels Drone Survey'!CJ43-'Existing Levels Drone Survey'!CJ43</f>
        <v>-0.33980000000008204</v>
      </c>
      <c r="CK43" s="191">
        <f>'Functional Levels Drone Survey'!CK43-'Existing Levels Drone Survey'!CK43</f>
        <v>-0.32990000000012287</v>
      </c>
      <c r="CL43" s="191">
        <f>'Functional Levels Drone Survey'!CL43-'Existing Levels Drone Survey'!CL43</f>
        <v>-0.33900000000011232</v>
      </c>
      <c r="CM43" s="191">
        <f>'Functional Levels Drone Survey'!CM43-'Existing Levels Drone Survey'!CM43</f>
        <v>-0.2577000000001135</v>
      </c>
      <c r="CN43" s="191">
        <f>'Functional Levels Drone Survey'!CN43-'Existing Levels Drone Survey'!CN43</f>
        <v>-0.21920000000011441</v>
      </c>
      <c r="CO43" s="191">
        <f>'Functional Levels Drone Survey'!CO43-'Existing Levels Drone Survey'!CO43</f>
        <v>-0.27090000000009695</v>
      </c>
      <c r="CP43" s="191">
        <f>'Functional Levels Drone Survey'!CP43-'Existing Levels Drone Survey'!CP43</f>
        <v>-0.34060000000010859</v>
      </c>
      <c r="CQ43" s="191">
        <f>'Functional Levels Drone Survey'!CQ43-'Existing Levels Drone Survey'!CQ43</f>
        <v>-0.51153333333348883</v>
      </c>
      <c r="CR43" s="191">
        <f>'Functional Levels Drone Survey'!CR43-'Existing Levels Drone Survey'!CR43</f>
        <v>-0.47823333333349183</v>
      </c>
      <c r="CS43" s="191">
        <f>'Functional Levels Drone Survey'!CS43-'Existing Levels Drone Survey'!CS43</f>
        <v>-0.56553333333346245</v>
      </c>
      <c r="CT43" s="191">
        <f>'Functional Levels Drone Survey'!CT43-'Existing Levels Drone Survey'!CT43</f>
        <v>-5.8233333333475912E-2</v>
      </c>
      <c r="CU43" s="191">
        <f>'Functional Levels Drone Survey'!CU43-'Existing Levels Drone Survey'!CU43</f>
        <v>-0.15433333333345445</v>
      </c>
      <c r="CV43" s="191">
        <f>'Functional Levels Drone Survey'!CV43-'Existing Levels Drone Survey'!CV43</f>
        <v>-0.12863333333348237</v>
      </c>
      <c r="CW43" s="191">
        <f>'Functional Levels Drone Survey'!CW43-'Existing Levels Drone Survey'!CW43</f>
        <v>-5.153333333350929E-2</v>
      </c>
      <c r="CX43" s="191">
        <f>'Functional Levels Drone Survey'!CX43-'Existing Levels Drone Survey'!CX43</f>
        <v>-0.12583333333350311</v>
      </c>
      <c r="CY43" s="191">
        <f>'Functional Levels Drone Survey'!CY43-'Existing Levels Drone Survey'!CY43</f>
        <v>-0.13693333333350211</v>
      </c>
      <c r="CZ43" s="191">
        <f>'Functional Levels Drone Survey'!CZ43-'Existing Levels Drone Survey'!CZ43</f>
        <v>-0.10453333333350656</v>
      </c>
      <c r="DA43" s="191">
        <f>'Functional Levels Drone Survey'!DA43-'Existing Levels Drone Survey'!DA43</f>
        <v>-0.12893333333352075</v>
      </c>
      <c r="DB43" s="191">
        <f>'Functional Levels Drone Survey'!DB43-'Existing Levels Drone Survey'!DB43</f>
        <v>-0.11683333333348855</v>
      </c>
      <c r="DC43" s="191">
        <f>'Functional Levels Drone Survey'!DC43-'Existing Levels Drone Survey'!DC43</f>
        <v>-7.9933333333485734E-2</v>
      </c>
      <c r="DD43" s="191">
        <f>'Functional Levels Drone Survey'!DD43-'Existing Levels Drone Survey'!DD43</f>
        <v>-3.6333333334823692E-3</v>
      </c>
      <c r="DE43" s="191">
        <f>'Functional Levels Drone Survey'!DE43-'Existing Levels Drone Survey'!DE43</f>
        <v>-3.5433333333514838E-2</v>
      </c>
      <c r="DF43" s="191">
        <f>'Functional Levels Drone Survey'!DF43-'Existing Levels Drone Survey'!DF43</f>
        <v>-6.773333333347864E-2</v>
      </c>
      <c r="DG43" s="191">
        <f>'Functional Levels Drone Survey'!DG43-'Existing Levels Drone Survey'!DG43</f>
        <v>-6.3133333333496466E-2</v>
      </c>
      <c r="DH43" s="191">
        <f>'Functional Levels Drone Survey'!DH43-'Existing Levels Drone Survey'!DH43</f>
        <v>-4.393333333348437E-2</v>
      </c>
      <c r="DI43" s="191">
        <f>'Functional Levels Drone Survey'!DI43-'Existing Levels Drone Survey'!DI43</f>
        <v>7.326666666648407E-2</v>
      </c>
      <c r="DJ43" s="191">
        <f>'Functional Levels Drone Survey'!DJ43-'Existing Levels Drone Survey'!DJ43</f>
        <v>-4.063333333351693E-2</v>
      </c>
      <c r="DK43" s="191">
        <f>'Functional Levels Drone Survey'!DK43-'Existing Levels Drone Survey'!DK43</f>
        <v>2.6666666650498883E-4</v>
      </c>
      <c r="DL43" s="191">
        <f>'Functional Levels Drone Survey'!DL43-'Existing Levels Drone Survey'!DL43</f>
        <v>3.4366666666471701E-2</v>
      </c>
      <c r="DM43" s="191">
        <f>'Functional Levels Drone Survey'!DM43-'Existing Levels Drone Survey'!DM43</f>
        <v>-3.3133333333523751E-2</v>
      </c>
      <c r="DN43" s="191">
        <f>'Functional Levels Drone Survey'!DN43-'Existing Levels Drone Survey'!DN43</f>
        <v>-1.4933333333488008E-2</v>
      </c>
      <c r="DO43" s="191">
        <f>'Functional Levels Drone Survey'!DO43-'Existing Levels Drone Survey'!DO43</f>
        <v>-1.0533333333512473E-2</v>
      </c>
      <c r="DP43" s="191">
        <f>'Functional Levels Drone Survey'!DP43-'Existing Levels Drone Survey'!DP43</f>
        <v>-2.7633333333483279E-2</v>
      </c>
      <c r="DQ43" s="191">
        <f>'Functional Levels Drone Survey'!DQ43-'Existing Levels Drone Survey'!DQ43</f>
        <v>-3.0333333335192947E-3</v>
      </c>
      <c r="DR43" s="191">
        <f>'Functional Levels Drone Survey'!DR43-'Existing Levels Drone Survey'!DR43</f>
        <v>-0.21013333333348783</v>
      </c>
      <c r="DS43" s="191">
        <f>'Functional Levels Drone Survey'!DS43-'Existing Levels Drone Survey'!DS43</f>
        <v>-0.17763333333351738</v>
      </c>
      <c r="DT43" s="191">
        <f>'Functional Levels Drone Survey'!DT43-'Existing Levels Drone Survey'!DT43</f>
        <v>-0.2589062500000523</v>
      </c>
      <c r="DU43" s="191">
        <f>'Functional Levels Drone Survey'!DU43-'Existing Levels Drone Survey'!DU43</f>
        <v>-0.2427062500000261</v>
      </c>
      <c r="DV43" s="191">
        <f>'Functional Levels Drone Survey'!DV43-'Existing Levels Drone Survey'!DV43</f>
        <v>0.1544937499999719</v>
      </c>
      <c r="DW43" s="191">
        <f>'Functional Levels Drone Survey'!DW43-'Existing Levels Drone Survey'!DW43</f>
        <v>-9.3306250000011914E-2</v>
      </c>
      <c r="DX43" s="191">
        <f>'Functional Levels Drone Survey'!DX43-'Existing Levels Drone Survey'!DX43</f>
        <v>-0.16570625000002792</v>
      </c>
      <c r="DY43" s="191">
        <f>'Functional Levels Drone Survey'!DY43-'Existing Levels Drone Survey'!DY43</f>
        <v>-2.6506250000011278E-2</v>
      </c>
      <c r="DZ43" s="191">
        <f>'Functional Levels Drone Survey'!DZ43-'Existing Levels Drone Survey'!DZ43</f>
        <v>-0.10720625000004702</v>
      </c>
      <c r="EA43" s="191">
        <f>'Functional Levels Drone Survey'!EA43-'Existing Levels Drone Survey'!EA43</f>
        <v>-0.10160625000003165</v>
      </c>
      <c r="EB43" s="191">
        <f>'Functional Levels Drone Survey'!EB43-'Existing Levels Drone Survey'!EB43</f>
        <v>6.8193749999977626E-2</v>
      </c>
      <c r="EC43" s="191">
        <f>'Functional Levels Drone Survey'!EC43-'Existing Levels Drone Survey'!EC43</f>
        <v>-0.2254368421054096</v>
      </c>
      <c r="ED43" s="191">
        <f>'Functional Levels Drone Survey'!ED43-'Existing Levels Drone Survey'!ED43</f>
        <v>-0.12873684210541114</v>
      </c>
      <c r="EE43" s="191">
        <f>'Functional Levels Drone Survey'!EE43-'Existing Levels Drone Survey'!EE43</f>
        <v>-0.22173684210537203</v>
      </c>
      <c r="EF43" s="191">
        <f>'Functional Levels Drone Survey'!EF43-'Existing Levels Drone Survey'!EF43</f>
        <v>-0.16793684210540505</v>
      </c>
      <c r="EG43" s="191">
        <f>'Functional Levels Drone Survey'!EG43-'Existing Levels Drone Survey'!EG43</f>
        <v>-0.36283684210536649</v>
      </c>
      <c r="EH43" s="191">
        <f>'Functional Levels Drone Survey'!EH43-'Existing Levels Drone Survey'!EH43</f>
        <v>-0.16473684210541251</v>
      </c>
      <c r="EI43" s="191">
        <f>'Functional Levels Drone Survey'!EI43-'Existing Levels Drone Survey'!EI43</f>
        <v>-0.16233684210538968</v>
      </c>
      <c r="EJ43" s="191">
        <f>'Functional Levels Drone Survey'!EJ43-'Existing Levels Drone Survey'!EJ43</f>
        <v>-0.22413684210539486</v>
      </c>
      <c r="EK43" s="191">
        <f>'Functional Levels Drone Survey'!EK43-'Existing Levels Drone Survey'!EK43</f>
        <v>-9.7236842105360211E-2</v>
      </c>
      <c r="EL43" s="191">
        <f>'Functional Levels Drone Survey'!EL43-'Existing Levels Drone Survey'!EL43</f>
        <v>-1.1736842105392498E-2</v>
      </c>
      <c r="EM43" s="191">
        <f>'Functional Levels Drone Survey'!EM43-'Existing Levels Drone Survey'!EM43</f>
        <v>-7.4836842105412416E-2</v>
      </c>
      <c r="EN43" s="191">
        <f>'Functional Levels Drone Survey'!EN43-'Existing Levels Drone Survey'!EN43</f>
        <v>-0.21123684210539295</v>
      </c>
      <c r="EO43" s="191">
        <f>'Functional Levels Drone Survey'!EO43-'Existing Levels Drone Survey'!EO43</f>
        <v>-0.20663684210541078</v>
      </c>
      <c r="EP43" s="191">
        <f>'Functional Levels Drone Survey'!EP43-'Existing Levels Drone Survey'!EP43</f>
        <v>-0.19273684210537567</v>
      </c>
      <c r="EQ43" s="191">
        <f>'Functional Levels Drone Survey'!EQ43-'Existing Levels Drone Survey'!EQ43</f>
        <v>-0.30453684210539222</v>
      </c>
      <c r="ER43" s="191">
        <f>'Functional Levels Drone Survey'!ER43-'Existing Levels Drone Survey'!ER43</f>
        <v>-0.14483684210540559</v>
      </c>
      <c r="ES43" s="191">
        <f>'Functional Levels Drone Survey'!ES43-'Existing Levels Drone Survey'!ES43</f>
        <v>-0.27183684210541514</v>
      </c>
      <c r="ET43" s="191">
        <f>'Functional Levels Drone Survey'!ET43-'Existing Levels Drone Survey'!ET43</f>
        <v>-9.1336842105363303E-2</v>
      </c>
      <c r="EU43" s="191">
        <f>'Functional Levels Drone Survey'!EU43-'Existing Levels Drone Survey'!EU43</f>
        <v>-0.26943684210539232</v>
      </c>
      <c r="EV43" s="191">
        <f>'Functional Levels Drone Survey'!EV43-'Existing Levels Drone Survey'!EV43</f>
        <v>0.1728631578945965</v>
      </c>
      <c r="EW43" s="278">
        <f>'Functional Levels Drone Survey'!EW43-'Existing Levels Drone Survey'!EW43</f>
        <v>-0.44953684210537403</v>
      </c>
      <c r="EX43" s="191">
        <f>'Functional Levels Drone Survey'!EX43-'Existing Levels Drone Survey'!EX43</f>
        <v>0</v>
      </c>
      <c r="EY43" s="191">
        <f>'Functional Levels Drone Survey'!EY43-'Existing Levels Drone Survey'!EY43</f>
        <v>0</v>
      </c>
    </row>
    <row r="44" spans="1:155" ht="45" customHeight="1" x14ac:dyDescent="0.45">
      <c r="A44" s="277">
        <v>215</v>
      </c>
      <c r="B44" s="278">
        <f>'Functional Levels Drone Survey'!B44-'Existing Levels Drone Survey'!B44</f>
        <v>-0.88339500000012094</v>
      </c>
      <c r="C44" s="278">
        <f>'Functional Levels Drone Survey'!C44-'Existing Levels Drone Survey'!C44</f>
        <v>-0.71549500000014632</v>
      </c>
      <c r="D44" s="278">
        <f>'Functional Levels Drone Survey'!D44-'Existing Levels Drone Survey'!D44</f>
        <v>-0.5192950000001133</v>
      </c>
      <c r="E44" s="191">
        <f>'Functional Levels Drone Survey'!E44-'Existing Levels Drone Survey'!E44</f>
        <v>-0.34629500000011149</v>
      </c>
      <c r="F44" s="279">
        <f>'Functional Levels Drone Survey'!F44-'Existing Levels Drone Survey'!F44</f>
        <v>-0.22379500000010921</v>
      </c>
      <c r="G44" s="279">
        <f>'Functional Levels Drone Survey'!G44-'Existing Levels Drone Survey'!G44</f>
        <v>-0.22429500000009739</v>
      </c>
      <c r="H44" s="279">
        <f>'Functional Levels Drone Survey'!H44-'Existing Levels Drone Survey'!H44</f>
        <v>-0.1928950000000782</v>
      </c>
      <c r="I44" s="279">
        <f>'Functional Levels Drone Survey'!I44-'Existing Levels Drone Survey'!I44</f>
        <v>-0.1787950000000933</v>
      </c>
      <c r="J44" s="279">
        <f>'Functional Levels Drone Survey'!J44-'Existing Levels Drone Survey'!J44</f>
        <v>-0.20159500000011121</v>
      </c>
      <c r="K44" s="279">
        <f>'Functional Levels Drone Survey'!K44-'Existing Levels Drone Survey'!K44</f>
        <v>-0.18259500000010576</v>
      </c>
      <c r="L44" s="279">
        <f>'Functional Levels Drone Survey'!L44-'Existing Levels Drone Survey'!L44</f>
        <v>-0.21249500000010357</v>
      </c>
      <c r="M44" s="279">
        <f>'Functional Levels Drone Survey'!M44-'Existing Levels Drone Survey'!M44</f>
        <v>-0.28219500000011521</v>
      </c>
      <c r="N44" s="279">
        <f>'Functional Levels Drone Survey'!N44-'Existing Levels Drone Survey'!N44</f>
        <v>-0.21399500000012495</v>
      </c>
      <c r="O44" s="279">
        <f>'Functional Levels Drone Survey'!O44-'Existing Levels Drone Survey'!O44</f>
        <v>-0.20289500000012595</v>
      </c>
      <c r="P44" s="279">
        <f>'Functional Levels Drone Survey'!P44-'Existing Levels Drone Survey'!P44</f>
        <v>-0.21059500000012576</v>
      </c>
      <c r="Q44" s="279">
        <f>'Functional Levels Drone Survey'!Q44-'Existing Levels Drone Survey'!Q44</f>
        <v>-0.14579500000007783</v>
      </c>
      <c r="R44" s="279">
        <f>'Functional Levels Drone Survey'!R44-'Existing Levels Drone Survey'!R44</f>
        <v>-9.509500000007165E-2</v>
      </c>
      <c r="S44" s="279">
        <f>'Functional Levels Drone Survey'!S44-'Existing Levels Drone Survey'!S44</f>
        <v>-8.4795000000099208E-2</v>
      </c>
      <c r="T44" s="279">
        <f>'Functional Levels Drone Survey'!T44-'Existing Levels Drone Survey'!T44</f>
        <v>-8.8295000000073287E-2</v>
      </c>
      <c r="U44" s="279">
        <f>'Functional Levels Drone Survey'!U44-'Existing Levels Drone Survey'!U44</f>
        <v>-6.6895000000101845E-2</v>
      </c>
      <c r="V44" s="191">
        <f>'Functional Levels Drone Survey'!V44-'Existing Levels Drone Survey'!V44</f>
        <v>-5.3295000000105119E-2</v>
      </c>
      <c r="W44" s="278">
        <f>'Functional Levels Drone Survey'!W44-'Existing Levels Drone Survey'!W44</f>
        <v>-0.23869500000012067</v>
      </c>
      <c r="X44" s="191">
        <f>'Functional Levels Drone Survey'!X44-'Existing Levels Drone Survey'!X44</f>
        <v>0</v>
      </c>
      <c r="Y44" s="191">
        <f>'Functional Levels Drone Survey'!Y44-'Existing Levels Drone Survey'!Y44</f>
        <v>0</v>
      </c>
      <c r="Z44" s="191">
        <f>'Functional Levels Drone Survey'!Z44-'Existing Levels Drone Survey'!Z44</f>
        <v>0</v>
      </c>
      <c r="AA44" s="191">
        <f>'Functional Levels Drone Survey'!AA44-'Existing Levels Drone Survey'!AA44</f>
        <v>0</v>
      </c>
      <c r="AB44" s="191">
        <f>'Functional Levels Drone Survey'!AB44-'Existing Levels Drone Survey'!AB44</f>
        <v>0</v>
      </c>
      <c r="AC44" s="191">
        <f>'Functional Levels Drone Survey'!AC44-'Existing Levels Drone Survey'!AC44</f>
        <v>0</v>
      </c>
      <c r="AD44" s="191">
        <f>'Functional Levels Drone Survey'!AD44-'Existing Levels Drone Survey'!AD44</f>
        <v>0</v>
      </c>
      <c r="AE44" s="191">
        <f>'Functional Levels Drone Survey'!AE44-'Existing Levels Drone Survey'!AE44</f>
        <v>0</v>
      </c>
      <c r="AF44" s="191">
        <f>'Functional Levels Drone Survey'!AF44-'Existing Levels Drone Survey'!AF44</f>
        <v>0</v>
      </c>
      <c r="AG44" s="191">
        <f>'Functional Levels Drone Survey'!AG44-'Existing Levels Drone Survey'!AG44</f>
        <v>0</v>
      </c>
      <c r="AH44" s="191">
        <f>'Functional Levels Drone Survey'!AH44-'Existing Levels Drone Survey'!AH44</f>
        <v>0</v>
      </c>
      <c r="AI44" s="191">
        <f>'Functional Levels Drone Survey'!AI44-'Existing Levels Drone Survey'!AI44</f>
        <v>0</v>
      </c>
      <c r="AJ44" s="191">
        <f>'Functional Levels Drone Survey'!AJ44-'Existing Levels Drone Survey'!AJ44</f>
        <v>0</v>
      </c>
      <c r="AK44" s="191">
        <f>'Functional Levels Drone Survey'!AK44-'Existing Levels Drone Survey'!AK44</f>
        <v>0</v>
      </c>
      <c r="AL44" s="191">
        <f>'Functional Levels Drone Survey'!AL44-'Existing Levels Drone Survey'!AL44</f>
        <v>0</v>
      </c>
      <c r="AM44" s="191">
        <f>'Functional Levels Drone Survey'!AM44-'Existing Levels Drone Survey'!AM44</f>
        <v>0</v>
      </c>
      <c r="AN44" s="191">
        <f>'Functional Levels Drone Survey'!AN44-'Existing Levels Drone Survey'!AN44</f>
        <v>0</v>
      </c>
      <c r="AO44" s="191">
        <f>'Functional Levels Drone Survey'!AO44-'Existing Levels Drone Survey'!AO44</f>
        <v>0</v>
      </c>
      <c r="AP44" s="191">
        <f>'Functional Levels Drone Survey'!AP44-'Existing Levels Drone Survey'!AP44</f>
        <v>0</v>
      </c>
      <c r="AQ44" s="191">
        <f>'Functional Levels Drone Survey'!AQ44-'Existing Levels Drone Survey'!AQ44</f>
        <v>0</v>
      </c>
      <c r="AR44" s="191">
        <f>'Functional Levels Drone Survey'!AR44-'Existing Levels Drone Survey'!AR44</f>
        <v>0</v>
      </c>
      <c r="AS44" s="191">
        <f>'Functional Levels Drone Survey'!AS44-'Existing Levels Drone Survey'!AS44</f>
        <v>0</v>
      </c>
      <c r="AT44" s="191">
        <f>'Functional Levels Drone Survey'!AT44-'Existing Levels Drone Survey'!AT44</f>
        <v>0</v>
      </c>
      <c r="AU44" s="191">
        <f>'Functional Levels Drone Survey'!AU44-'Existing Levels Drone Survey'!AU44</f>
        <v>0</v>
      </c>
      <c r="AV44" s="191">
        <f>'Functional Levels Drone Survey'!AV44-'Existing Levels Drone Survey'!AV44</f>
        <v>0</v>
      </c>
      <c r="AW44" s="191">
        <f>'Functional Levels Drone Survey'!AW44-'Existing Levels Drone Survey'!AW44</f>
        <v>0</v>
      </c>
      <c r="AX44" s="191">
        <f>'Functional Levels Drone Survey'!AX44-'Existing Levels Drone Survey'!AX44</f>
        <v>0</v>
      </c>
      <c r="AY44" s="191">
        <f>'Functional Levels Drone Survey'!AY44-'Existing Levels Drone Survey'!AY44</f>
        <v>0</v>
      </c>
      <c r="AZ44" s="278">
        <f>'Functional Levels Drone Survey'!AZ44-'Existing Levels Drone Survey'!AZ44</f>
        <v>-0.40636190476203637</v>
      </c>
      <c r="BA44" s="191">
        <f>'Functional Levels Drone Survey'!BA44-'Existing Levels Drone Survey'!BA44</f>
        <v>-0.41156190476203847</v>
      </c>
      <c r="BB44" s="191">
        <f>'Functional Levels Drone Survey'!BB44-'Existing Levels Drone Survey'!BB44</f>
        <v>-0.45446190476206993</v>
      </c>
      <c r="BC44" s="191">
        <f>'Functional Levels Drone Survey'!BC44-'Existing Levels Drone Survey'!BC44</f>
        <v>-0.40456190476203346</v>
      </c>
      <c r="BD44" s="191">
        <f>'Functional Levels Drone Survey'!BD44-'Existing Levels Drone Survey'!BD44</f>
        <v>-0.35676190476203828</v>
      </c>
      <c r="BE44" s="191">
        <f>'Functional Levels Drone Survey'!BE44-'Existing Levels Drone Survey'!BE44</f>
        <v>-0.38266190476207385</v>
      </c>
      <c r="BF44" s="279">
        <f>'Functional Levels Drone Survey'!BF44-'Existing Levels Drone Survey'!BF44</f>
        <v>-0.25956190476205165</v>
      </c>
      <c r="BG44" s="279">
        <f>'Functional Levels Drone Survey'!BG44-'Existing Levels Drone Survey'!BG44</f>
        <v>-0.15026190476203283</v>
      </c>
      <c r="BH44" s="279">
        <f>'Functional Levels Drone Survey'!BH44-'Existing Levels Drone Survey'!BH44</f>
        <v>-0.13876190476202055</v>
      </c>
      <c r="BI44" s="279">
        <f>'Functional Levels Drone Survey'!BI44-'Existing Levels Drone Survey'!BI44</f>
        <v>-0.37906190476206802</v>
      </c>
      <c r="BJ44" s="279">
        <f>'Functional Levels Drone Survey'!BJ44-'Existing Levels Drone Survey'!BJ44</f>
        <v>-0.34376190476206148</v>
      </c>
      <c r="BK44" s="279">
        <f>'Functional Levels Drone Survey'!BK44-'Existing Levels Drone Survey'!BK44</f>
        <v>-0.11996190476202173</v>
      </c>
      <c r="BL44" s="279">
        <f>'Functional Levels Drone Survey'!BL44-'Existing Levels Drone Survey'!BL44</f>
        <v>-0.14326190476202783</v>
      </c>
      <c r="BM44" s="279">
        <f>'Functional Levels Drone Survey'!BM44-'Existing Levels Drone Survey'!BM44</f>
        <v>-0.29546190476202128</v>
      </c>
      <c r="BN44" s="279">
        <f>'Functional Levels Drone Survey'!BN44-'Existing Levels Drone Survey'!BN44</f>
        <v>-0.23356190476204119</v>
      </c>
      <c r="BO44" s="279">
        <f>'Functional Levels Drone Survey'!BO44-'Existing Levels Drone Survey'!BO44</f>
        <v>-0.16496190476203765</v>
      </c>
      <c r="BP44" s="279">
        <f>'Functional Levels Drone Survey'!BP44-'Existing Levels Drone Survey'!BP44</f>
        <v>-0.16066190476203701</v>
      </c>
      <c r="BQ44" s="279">
        <f>'Functional Levels Drone Survey'!BQ44-'Existing Levels Drone Survey'!BQ44</f>
        <v>-0.22606190476204802</v>
      </c>
      <c r="BR44" s="279">
        <f>'Functional Levels Drone Survey'!BR44-'Existing Levels Drone Survey'!BR44</f>
        <v>-0.29296190476202355</v>
      </c>
      <c r="BS44" s="279">
        <f>'Functional Levels Drone Survey'!BS44-'Existing Levels Drone Survey'!BS44</f>
        <v>-0.20976190476204692</v>
      </c>
      <c r="BT44" s="279">
        <f>'Functional Levels Drone Survey'!BT44-'Existing Levels Drone Survey'!BT44</f>
        <v>-0.23326190476205966</v>
      </c>
      <c r="BU44" s="279">
        <f>'Functional Levels Drone Survey'!BU44-'Existing Levels Drone Survey'!BU44</f>
        <v>-0.17766190476203292</v>
      </c>
      <c r="BV44" s="279">
        <f>'Functional Levels Drone Survey'!BV44-'Existing Levels Drone Survey'!BV44</f>
        <v>-0.10636190476202501</v>
      </c>
      <c r="BW44" s="279">
        <f>'Functional Levels Drone Survey'!BW44-'Existing Levels Drone Survey'!BW44</f>
        <v>-0.22866190476202064</v>
      </c>
      <c r="BX44" s="279">
        <f>'Functional Levels Drone Survey'!BX44-'Existing Levels Drone Survey'!BX44</f>
        <v>-0.13416190476203838</v>
      </c>
      <c r="BY44" s="279">
        <f>'Functional Levels Drone Survey'!BY44-'Existing Levels Drone Survey'!BY44</f>
        <v>-0.12946190476202446</v>
      </c>
      <c r="BZ44" s="279">
        <f>'Functional Levels Drone Survey'!BZ44-'Existing Levels Drone Survey'!BZ44</f>
        <v>-3.9061904762036193E-2</v>
      </c>
      <c r="CA44" s="191">
        <f>'Functional Levels Drone Survey'!CA44-'Existing Levels Drone Survey'!CA44</f>
        <v>-0.28309523809531356</v>
      </c>
      <c r="CB44" s="191">
        <f>'Functional Levels Drone Survey'!CB44-'Existing Levels Drone Survey'!CB44</f>
        <v>-0.16089523809534967</v>
      </c>
      <c r="CC44" s="279">
        <f>'Functional Levels Drone Survey'!CC44-'Existing Levels Drone Survey'!CC44</f>
        <v>-0.22619523809532893</v>
      </c>
      <c r="CD44" s="279">
        <f>'Functional Levels Drone Survey'!CD44-'Existing Levels Drone Survey'!CD44</f>
        <v>-0.17769523809533894</v>
      </c>
      <c r="CE44" s="279">
        <f>'Functional Levels Drone Survey'!CE44-'Existing Levels Drone Survey'!CE44</f>
        <v>-0.1430952380953272</v>
      </c>
      <c r="CF44" s="279">
        <f>'Functional Levels Drone Survey'!CF44-'Existing Levels Drone Survey'!CF44</f>
        <v>-0.11999523809532775</v>
      </c>
      <c r="CG44" s="279">
        <f>'Functional Levels Drone Survey'!CG44-'Existing Levels Drone Survey'!CG44</f>
        <v>-0.18309523809534767</v>
      </c>
      <c r="CH44" s="279">
        <f>'Functional Levels Drone Survey'!CH44-'Existing Levels Drone Survey'!CH44</f>
        <v>-0.20339523809531102</v>
      </c>
      <c r="CI44" s="279">
        <f>'Functional Levels Drone Survey'!CI44-'Existing Levels Drone Survey'!CI44</f>
        <v>-0.15319523809534985</v>
      </c>
      <c r="CJ44" s="279">
        <f>'Functional Levels Drone Survey'!CJ44-'Existing Levels Drone Survey'!CJ44</f>
        <v>-0.17259523809531174</v>
      </c>
      <c r="CK44" s="279">
        <f>'Functional Levels Drone Survey'!CK44-'Existing Levels Drone Survey'!CK44</f>
        <v>-0.21659523809535131</v>
      </c>
      <c r="CL44" s="279">
        <f>'Functional Levels Drone Survey'!CL44-'Existing Levels Drone Survey'!CL44</f>
        <v>-0.14729523809535294</v>
      </c>
      <c r="CM44" s="279">
        <f>'Functional Levels Drone Survey'!CM44-'Existing Levels Drone Survey'!CM44</f>
        <v>-0.19059523809534085</v>
      </c>
      <c r="CN44" s="279">
        <f>'Functional Levels Drone Survey'!CN44-'Existing Levels Drone Survey'!CN44</f>
        <v>-0.1441952380953353</v>
      </c>
      <c r="CO44" s="279">
        <f>'Functional Levels Drone Survey'!CO44-'Existing Levels Drone Survey'!CO44</f>
        <v>-0.21229523809535067</v>
      </c>
      <c r="CP44" s="279">
        <f>'Functional Levels Drone Survey'!CP44-'Existing Levels Drone Survey'!CP44</f>
        <v>-0.2106952380953544</v>
      </c>
      <c r="CQ44" s="279">
        <f>'Functional Levels Drone Survey'!CQ44-'Existing Levels Drone Survey'!CQ44</f>
        <v>-0.25759523809534812</v>
      </c>
      <c r="CR44" s="279">
        <f>'Functional Levels Drone Survey'!CR44-'Existing Levels Drone Survey'!CR44</f>
        <v>-0.24489523809535285</v>
      </c>
      <c r="CS44" s="279">
        <f>'Functional Levels Drone Survey'!CS44-'Existing Levels Drone Survey'!CS44</f>
        <v>-0.1833952380953292</v>
      </c>
      <c r="CT44" s="279">
        <f>'Functional Levels Drone Survey'!CT44-'Existing Levels Drone Survey'!CT44</f>
        <v>0.21690476190468644</v>
      </c>
      <c r="CU44" s="279">
        <f>'Functional Levels Drone Survey'!CU44-'Existing Levels Drone Survey'!CU44</f>
        <v>0.11700476190469544</v>
      </c>
      <c r="CV44" s="279">
        <f>'Functional Levels Drone Survey'!CV44-'Existing Levels Drone Survey'!CV44</f>
        <v>0.22340476190464642</v>
      </c>
      <c r="CW44" s="279">
        <f>'Functional Levels Drone Survey'!CW44-'Existing Levels Drone Survey'!CW44</f>
        <v>0.24810476190464215</v>
      </c>
      <c r="CX44" s="191">
        <f>'Functional Levels Drone Survey'!CX44-'Existing Levels Drone Survey'!CX44</f>
        <v>-6.1333333334800955E-3</v>
      </c>
      <c r="CY44" s="279">
        <f>'Functional Levels Drone Survey'!CY44-'Existing Levels Drone Survey'!CY44</f>
        <v>1.4866666666534911E-2</v>
      </c>
      <c r="CZ44" s="279">
        <f>'Functional Levels Drone Survey'!CZ44-'Existing Levels Drone Survey'!CZ44</f>
        <v>-2.343333333345754E-2</v>
      </c>
      <c r="DA44" s="279">
        <f>'Functional Levels Drone Survey'!DA44-'Existing Levels Drone Survey'!DA44</f>
        <v>-4.2333333335022871E-3</v>
      </c>
      <c r="DB44" s="279">
        <f>'Functional Levels Drone Survey'!DB44-'Existing Levels Drone Survey'!DB44</f>
        <v>-3.4133333333500104E-2</v>
      </c>
      <c r="DC44" s="279">
        <f>'Functional Levels Drone Survey'!DC44-'Existing Levels Drone Survey'!DC44</f>
        <v>3.6966666666501169E-2</v>
      </c>
      <c r="DD44" s="279">
        <f>'Functional Levels Drone Survey'!DD44-'Existing Levels Drone Survey'!DD44</f>
        <v>3.3666666666533729E-2</v>
      </c>
      <c r="DE44" s="279">
        <f>'Functional Levels Drone Survey'!DE44-'Existing Levels Drone Survey'!DE44</f>
        <v>0.10876666666649726</v>
      </c>
      <c r="DF44" s="279">
        <f>'Functional Levels Drone Survey'!DF44-'Existing Levels Drone Survey'!DF44</f>
        <v>5.3166666666527362E-2</v>
      </c>
      <c r="DG44" s="279">
        <f>'Functional Levels Drone Survey'!DG44-'Existing Levels Drone Survey'!DG44</f>
        <v>4.1166666666526908E-2</v>
      </c>
      <c r="DH44" s="279">
        <f>'Functional Levels Drone Survey'!DH44-'Existing Levels Drone Survey'!DH44</f>
        <v>4.8266666666506808E-2</v>
      </c>
      <c r="DI44" s="279">
        <f>'Functional Levels Drone Survey'!DI44-'Existing Levels Drone Survey'!DI44</f>
        <v>-3.453333333345654E-2</v>
      </c>
      <c r="DJ44" s="279">
        <f>'Functional Levels Drone Survey'!DJ44-'Existing Levels Drone Survey'!DJ44</f>
        <v>8.7766666666539095E-2</v>
      </c>
      <c r="DK44" s="279">
        <f>'Functional Levels Drone Survey'!DK44-'Existing Levels Drone Survey'!DK44</f>
        <v>4.7666666666543733E-2</v>
      </c>
      <c r="DL44" s="279">
        <f>'Functional Levels Drone Survey'!DL44-'Existing Levels Drone Survey'!DL44</f>
        <v>1.7066666666494257E-2</v>
      </c>
      <c r="DM44" s="279">
        <f>'Functional Levels Drone Survey'!DM44-'Existing Levels Drone Survey'!DM44</f>
        <v>6.9766666666509991E-2</v>
      </c>
      <c r="DN44" s="279">
        <f>'Functional Levels Drone Survey'!DN44-'Existing Levels Drone Survey'!DN44</f>
        <v>9.2966666666541187E-2</v>
      </c>
      <c r="DO44" s="279">
        <f>'Functional Levels Drone Survey'!DO44-'Existing Levels Drone Survey'!DO44</f>
        <v>0.11086666666653855</v>
      </c>
      <c r="DP44" s="279">
        <f>'Functional Levels Drone Survey'!DP44-'Existing Levels Drone Survey'!DP44</f>
        <v>7.6466666666533456E-2</v>
      </c>
      <c r="DQ44" s="279">
        <f>'Functional Levels Drone Survey'!DQ44-'Existing Levels Drone Survey'!DQ44</f>
        <v>0.36576666666650226</v>
      </c>
      <c r="DR44" s="279">
        <f>'Functional Levels Drone Survey'!DR44-'Existing Levels Drone Survey'!DR44</f>
        <v>-0.24193333333346345</v>
      </c>
      <c r="DS44" s="279">
        <f>'Functional Levels Drone Survey'!DS44-'Existing Levels Drone Survey'!DS44</f>
        <v>-0.36233333333348128</v>
      </c>
      <c r="DT44" s="191">
        <f>'Functional Levels Drone Survey'!DT44-'Existing Levels Drone Survey'!DT44</f>
        <v>-0.40783333333348537</v>
      </c>
      <c r="DU44" s="191">
        <f>'Functional Levels Drone Survey'!DU44-'Existing Levels Drone Survey'!DU44</f>
        <v>-0.43023333333349001</v>
      </c>
      <c r="DV44" s="279">
        <f>'Functional Levels Drone Survey'!DV44-'Existing Levels Drone Survey'!DV44</f>
        <v>0.20959374999995362</v>
      </c>
      <c r="DW44" s="279">
        <f>'Functional Levels Drone Survey'!DW44-'Existing Levels Drone Survey'!DW44</f>
        <v>0.18869374999997035</v>
      </c>
      <c r="DX44" s="279">
        <f>'Functional Levels Drone Survey'!DX44-'Existing Levels Drone Survey'!DX44</f>
        <v>0.21919374999998809</v>
      </c>
      <c r="DY44" s="279">
        <f>'Functional Levels Drone Survey'!DY44-'Existing Levels Drone Survey'!DY44</f>
        <v>1.693749999958527E-3</v>
      </c>
      <c r="DZ44" s="279">
        <f>'Functional Levels Drone Survey'!DZ44-'Existing Levels Drone Survey'!DZ44</f>
        <v>-3.6606250000033924E-2</v>
      </c>
      <c r="EA44" s="279">
        <f>'Functional Levels Drone Survey'!EA44-'Existing Levels Drone Survey'!EA44</f>
        <v>-6.2106250000056207E-2</v>
      </c>
      <c r="EB44" s="279">
        <f>'Functional Levels Drone Survey'!EB44-'Existing Levels Drone Survey'!EB44</f>
        <v>6.56937499999799E-2</v>
      </c>
      <c r="EC44" s="279">
        <f>'Functional Levels Drone Survey'!EC44-'Existing Levels Drone Survey'!EC44</f>
        <v>5.7293749999985266E-2</v>
      </c>
      <c r="ED44" s="279">
        <f>'Functional Levels Drone Survey'!ED44-'Existing Levels Drone Survey'!ED44</f>
        <v>-1.9062500000472937E-3</v>
      </c>
      <c r="EE44" s="279">
        <f>'Functional Levels Drone Survey'!EE44-'Existing Levels Drone Survey'!EE44</f>
        <v>-0.12230625000000828</v>
      </c>
      <c r="EF44" s="279">
        <f>'Functional Levels Drone Survey'!EF44-'Existing Levels Drone Survey'!EF44</f>
        <v>-1.3006250000046293E-2</v>
      </c>
      <c r="EG44" s="279">
        <f>'Functional Levels Drone Survey'!EG44-'Existing Levels Drone Survey'!EG44</f>
        <v>5.5593749999957254E-2</v>
      </c>
      <c r="EH44" s="279">
        <f>'Functional Levels Drone Survey'!EH44-'Existing Levels Drone Survey'!EH44</f>
        <v>6.8493749999959164E-2</v>
      </c>
      <c r="EI44" s="279">
        <f>'Functional Levels Drone Survey'!EI44-'Existing Levels Drone Survey'!EI44</f>
        <v>0.27819374999995716</v>
      </c>
      <c r="EJ44" s="279">
        <f>'Functional Levels Drone Survey'!EJ44-'Existing Levels Drone Survey'!EJ44</f>
        <v>0.2059937499999478</v>
      </c>
      <c r="EK44" s="279">
        <f>'Functional Levels Drone Survey'!EK44-'Existing Levels Drone Survey'!EK44</f>
        <v>0.13349374999995689</v>
      </c>
      <c r="EL44" s="191">
        <f>'Functional Levels Drone Survey'!EL44-'Existing Levels Drone Survey'!EL44</f>
        <v>0.23339375000000473</v>
      </c>
      <c r="EM44" s="191">
        <f>'Functional Levels Drone Survey'!EM44-'Existing Levels Drone Survey'!EM44</f>
        <v>0.27759375000005093</v>
      </c>
      <c r="EN44" s="191">
        <f>'Functional Levels Drone Survey'!EN44-'Existing Levels Drone Survey'!EN44</f>
        <v>0.45919375000005402</v>
      </c>
      <c r="EO44" s="191">
        <f>'Functional Levels Drone Survey'!EO44-'Existing Levels Drone Survey'!EO44</f>
        <v>0.31819375000003447</v>
      </c>
      <c r="EP44" s="191">
        <f>'Functional Levels Drone Survey'!EP44-'Existing Levels Drone Survey'!EP44</f>
        <v>0.43669375000001764</v>
      </c>
      <c r="EQ44" s="191">
        <f>'Functional Levels Drone Survey'!EQ44-'Existing Levels Drone Survey'!EQ44</f>
        <v>0.10329375000003438</v>
      </c>
      <c r="ER44" s="191">
        <f>'Functional Levels Drone Survey'!ER44-'Existing Levels Drone Survey'!ER44</f>
        <v>0.3791937500000131</v>
      </c>
      <c r="ES44" s="191">
        <f>'Functional Levels Drone Survey'!ES44-'Existing Levels Drone Survey'!ES44</f>
        <v>0.35249375000000782</v>
      </c>
      <c r="ET44" s="191">
        <f>'Functional Levels Drone Survey'!ET44-'Existing Levels Drone Survey'!ET44</f>
        <v>0.13279375000001892</v>
      </c>
      <c r="EU44" s="191">
        <f>'Functional Levels Drone Survey'!EU44-'Existing Levels Drone Survey'!EU44</f>
        <v>0.34249375000001692</v>
      </c>
      <c r="EV44" s="191">
        <f>'Functional Levels Drone Survey'!EV44-'Existing Levels Drone Survey'!EV44</f>
        <v>0.53169375000004493</v>
      </c>
      <c r="EW44" s="278">
        <f>'Functional Levels Drone Survey'!EW44-'Existing Levels Drone Survey'!EW44</f>
        <v>-7.8306249999968713E-2</v>
      </c>
      <c r="EX44" s="191">
        <f>'Functional Levels Drone Survey'!EX44-'Existing Levels Drone Survey'!EX44</f>
        <v>0</v>
      </c>
      <c r="EY44" s="191">
        <f>'Functional Levels Drone Survey'!EY44-'Existing Levels Drone Survey'!EY44</f>
        <v>0</v>
      </c>
    </row>
    <row r="45" spans="1:155" ht="45" customHeight="1" x14ac:dyDescent="0.45">
      <c r="A45" s="277">
        <v>220</v>
      </c>
      <c r="B45" s="278">
        <f>'Functional Levels Drone Survey'!B45-'Existing Levels Drone Survey'!B45</f>
        <v>-0.76419500000008611</v>
      </c>
      <c r="C45" s="191">
        <f>'Functional Levels Drone Survey'!C45-'Existing Levels Drone Survey'!C45</f>
        <v>-0.22479500000008557</v>
      </c>
      <c r="D45" s="191">
        <f>'Functional Levels Drone Survey'!D45-'Existing Levels Drone Survey'!D45</f>
        <v>-0.22089500000009821</v>
      </c>
      <c r="E45" s="191">
        <f>'Functional Levels Drone Survey'!E45-'Existing Levels Drone Survey'!E45</f>
        <v>-0.21299500000009175</v>
      </c>
      <c r="F45" s="279">
        <f>'Functional Levels Drone Survey'!F45-'Existing Levels Drone Survey'!F45</f>
        <v>-0.13759500000008984</v>
      </c>
      <c r="G45" s="191">
        <f>'Functional Levels Drone Survey'!G45-'Existing Levels Drone Survey'!G45</f>
        <v>-0.1413950000001023</v>
      </c>
      <c r="H45" s="191">
        <f>'Functional Levels Drone Survey'!H45-'Existing Levels Drone Survey'!H45</f>
        <v>-0.11149500000010448</v>
      </c>
      <c r="I45" s="191">
        <f>'Functional Levels Drone Survey'!I45-'Existing Levels Drone Survey'!I45</f>
        <v>-0.10579500000011421</v>
      </c>
      <c r="J45" s="191">
        <f>'Functional Levels Drone Survey'!J45-'Existing Levels Drone Survey'!J45</f>
        <v>-0.10619500000007065</v>
      </c>
      <c r="K45" s="191">
        <f>'Functional Levels Drone Survey'!K45-'Existing Levels Drone Survey'!K45</f>
        <v>-9.8495000000070831E-2</v>
      </c>
      <c r="L45" s="191">
        <f>'Functional Levels Drone Survey'!L45-'Existing Levels Drone Survey'!L45</f>
        <v>-0.14339500000011185</v>
      </c>
      <c r="M45" s="191">
        <f>'Functional Levels Drone Survey'!M45-'Existing Levels Drone Survey'!M45</f>
        <v>-0.17929500000008147</v>
      </c>
      <c r="N45" s="191">
        <f>'Functional Levels Drone Survey'!N45-'Existing Levels Drone Survey'!N45</f>
        <v>-0.10479500000008102</v>
      </c>
      <c r="O45" s="191">
        <f>'Functional Levels Drone Survey'!O45-'Existing Levels Drone Survey'!O45</f>
        <v>-0.12239500000009684</v>
      </c>
      <c r="P45" s="191">
        <f>'Functional Levels Drone Survey'!P45-'Existing Levels Drone Survey'!P45</f>
        <v>-0.14419500000008156</v>
      </c>
      <c r="Q45" s="191">
        <f>'Functional Levels Drone Survey'!Q45-'Existing Levels Drone Survey'!Q45</f>
        <v>-8.6995000000115397E-2</v>
      </c>
      <c r="R45" s="191">
        <f>'Functional Levels Drone Survey'!R45-'Existing Levels Drone Survey'!R45</f>
        <v>-1.789500000006683E-2</v>
      </c>
      <c r="S45" s="191">
        <f>'Functional Levels Drone Survey'!S45-'Existing Levels Drone Survey'!S45</f>
        <v>-2.2295000000099208E-2</v>
      </c>
      <c r="T45" s="191">
        <f>'Functional Levels Drone Survey'!T45-'Existing Levels Drone Survey'!T45</f>
        <v>-4.3095000000107575E-2</v>
      </c>
      <c r="U45" s="279">
        <f>'Functional Levels Drone Survey'!U45-'Existing Levels Drone Survey'!U45</f>
        <v>9.8049999999147985E-3</v>
      </c>
      <c r="V45" s="191">
        <f>'Functional Levels Drone Survey'!V45-'Existing Levels Drone Survey'!V45</f>
        <v>-3.0950000000871114E-3</v>
      </c>
      <c r="W45" s="278">
        <f>'Functional Levels Drone Survey'!W45-'Existing Levels Drone Survey'!W45</f>
        <v>-6.4695000000085656E-2</v>
      </c>
      <c r="X45" s="191">
        <f>'Functional Levels Drone Survey'!X45-'Existing Levels Drone Survey'!X45</f>
        <v>0</v>
      </c>
      <c r="Y45" s="191">
        <f>'Functional Levels Drone Survey'!Y45-'Existing Levels Drone Survey'!Y45</f>
        <v>0</v>
      </c>
      <c r="Z45" s="191">
        <f>'Functional Levels Drone Survey'!Z45-'Existing Levels Drone Survey'!Z45</f>
        <v>0</v>
      </c>
      <c r="AA45" s="191">
        <f>'Functional Levels Drone Survey'!AA45-'Existing Levels Drone Survey'!AA45</f>
        <v>0</v>
      </c>
      <c r="AB45" s="191">
        <f>'Functional Levels Drone Survey'!AB45-'Existing Levels Drone Survey'!AB45</f>
        <v>0</v>
      </c>
      <c r="AC45" s="191">
        <f>'Functional Levels Drone Survey'!AC45-'Existing Levels Drone Survey'!AC45</f>
        <v>0</v>
      </c>
      <c r="AD45" s="191">
        <f>'Functional Levels Drone Survey'!AD45-'Existing Levels Drone Survey'!AD45</f>
        <v>0</v>
      </c>
      <c r="AE45" s="191">
        <f>'Functional Levels Drone Survey'!AE45-'Existing Levels Drone Survey'!AE45</f>
        <v>0</v>
      </c>
      <c r="AF45" s="191">
        <f>'Functional Levels Drone Survey'!AF45-'Existing Levels Drone Survey'!AF45</f>
        <v>0</v>
      </c>
      <c r="AG45" s="191">
        <f>'Functional Levels Drone Survey'!AG45-'Existing Levels Drone Survey'!AG45</f>
        <v>0</v>
      </c>
      <c r="AH45" s="191">
        <f>'Functional Levels Drone Survey'!AH45-'Existing Levels Drone Survey'!AH45</f>
        <v>0</v>
      </c>
      <c r="AI45" s="191">
        <f>'Functional Levels Drone Survey'!AI45-'Existing Levels Drone Survey'!AI45</f>
        <v>0</v>
      </c>
      <c r="AJ45" s="191">
        <f>'Functional Levels Drone Survey'!AJ45-'Existing Levels Drone Survey'!AJ45</f>
        <v>0</v>
      </c>
      <c r="AK45" s="191">
        <f>'Functional Levels Drone Survey'!AK45-'Existing Levels Drone Survey'!AK45</f>
        <v>0</v>
      </c>
      <c r="AL45" s="191">
        <f>'Functional Levels Drone Survey'!AL45-'Existing Levels Drone Survey'!AL45</f>
        <v>0</v>
      </c>
      <c r="AM45" s="191">
        <f>'Functional Levels Drone Survey'!AM45-'Existing Levels Drone Survey'!AM45</f>
        <v>0</v>
      </c>
      <c r="AN45" s="191">
        <f>'Functional Levels Drone Survey'!AN45-'Existing Levels Drone Survey'!AN45</f>
        <v>0</v>
      </c>
      <c r="AO45" s="191">
        <f>'Functional Levels Drone Survey'!AO45-'Existing Levels Drone Survey'!AO45</f>
        <v>0</v>
      </c>
      <c r="AP45" s="191">
        <f>'Functional Levels Drone Survey'!AP45-'Existing Levels Drone Survey'!AP45</f>
        <v>0</v>
      </c>
      <c r="AQ45" s="191">
        <f>'Functional Levels Drone Survey'!AQ45-'Existing Levels Drone Survey'!AQ45</f>
        <v>0</v>
      </c>
      <c r="AR45" s="191">
        <f>'Functional Levels Drone Survey'!AR45-'Existing Levels Drone Survey'!AR45</f>
        <v>0</v>
      </c>
      <c r="AS45" s="191">
        <f>'Functional Levels Drone Survey'!AS45-'Existing Levels Drone Survey'!AS45</f>
        <v>0</v>
      </c>
      <c r="AT45" s="191">
        <f>'Functional Levels Drone Survey'!AT45-'Existing Levels Drone Survey'!AT45</f>
        <v>0</v>
      </c>
      <c r="AU45" s="191">
        <f>'Functional Levels Drone Survey'!AU45-'Existing Levels Drone Survey'!AU45</f>
        <v>0</v>
      </c>
      <c r="AV45" s="191">
        <f>'Functional Levels Drone Survey'!AV45-'Existing Levels Drone Survey'!AV45</f>
        <v>0</v>
      </c>
      <c r="AW45" s="191">
        <f>'Functional Levels Drone Survey'!AW45-'Existing Levels Drone Survey'!AW45</f>
        <v>0</v>
      </c>
      <c r="AX45" s="191">
        <f>'Functional Levels Drone Survey'!AX45-'Existing Levels Drone Survey'!AX45</f>
        <v>0</v>
      </c>
      <c r="AY45" s="191">
        <f>'Functional Levels Drone Survey'!AY45-'Existing Levels Drone Survey'!AY45</f>
        <v>0</v>
      </c>
      <c r="AZ45" s="278">
        <f>'Functional Levels Drone Survey'!AZ45-'Existing Levels Drone Survey'!AZ45</f>
        <v>-0.31916190476204065</v>
      </c>
      <c r="BA45" s="191">
        <f>'Functional Levels Drone Survey'!BA45-'Existing Levels Drone Survey'!BA45</f>
        <v>-0.50286190476202819</v>
      </c>
      <c r="BB45" s="191">
        <f>'Functional Levels Drone Survey'!BB45-'Existing Levels Drone Survey'!BB45</f>
        <v>-0.27946190476205857</v>
      </c>
      <c r="BC45" s="191">
        <f>'Functional Levels Drone Survey'!BC45-'Existing Levels Drone Survey'!BC45</f>
        <v>-0.2797619047620401</v>
      </c>
      <c r="BD45" s="191">
        <f>'Functional Levels Drone Survey'!BD45-'Existing Levels Drone Survey'!BD45</f>
        <v>-0.26426190476206557</v>
      </c>
      <c r="BE45" s="191">
        <f>'Functional Levels Drone Survey'!BE45-'Existing Levels Drone Survey'!BE45</f>
        <v>-0.21276190476203283</v>
      </c>
      <c r="BF45" s="279">
        <f>'Functional Levels Drone Survey'!BF45-'Existing Levels Drone Survey'!BF45</f>
        <v>-2.1461904762020367E-2</v>
      </c>
      <c r="BG45" s="191">
        <f>'Functional Levels Drone Survey'!BG45-'Existing Levels Drone Survey'!BG45</f>
        <v>-0.10516190476204201</v>
      </c>
      <c r="BH45" s="191">
        <f>'Functional Levels Drone Survey'!BH45-'Existing Levels Drone Survey'!BH45</f>
        <v>-0.11526190476206466</v>
      </c>
      <c r="BI45" s="191">
        <f>'Functional Levels Drone Survey'!BI45-'Existing Levels Drone Survey'!BI45</f>
        <v>-0.27726190476204238</v>
      </c>
      <c r="BJ45" s="191">
        <f>'Functional Levels Drone Survey'!BJ45-'Existing Levels Drone Survey'!BJ45</f>
        <v>-0.2837619047620592</v>
      </c>
      <c r="BK45" s="191">
        <f>'Functional Levels Drone Survey'!BK45-'Existing Levels Drone Survey'!BK45</f>
        <v>-0.22686190476201773</v>
      </c>
      <c r="BL45" s="191">
        <f>'Functional Levels Drone Survey'!BL45-'Existing Levels Drone Survey'!BL45</f>
        <v>-0.30456190476201073</v>
      </c>
      <c r="BM45" s="191">
        <f>'Functional Levels Drone Survey'!BM45-'Existing Levels Drone Survey'!BM45</f>
        <v>-0.38596190476204129</v>
      </c>
      <c r="BN45" s="191">
        <f>'Functional Levels Drone Survey'!BN45-'Existing Levels Drone Survey'!BN45</f>
        <v>-0.46206190476203801</v>
      </c>
      <c r="BO45" s="191">
        <f>'Functional Levels Drone Survey'!BO45-'Existing Levels Drone Survey'!BO45</f>
        <v>-0.39056190476202346</v>
      </c>
      <c r="BP45" s="191">
        <f>'Functional Levels Drone Survey'!BP45-'Existing Levels Drone Survey'!BP45</f>
        <v>-0.14416190476202928</v>
      </c>
      <c r="BQ45" s="191">
        <f>'Functional Levels Drone Survey'!BQ45-'Existing Levels Drone Survey'!BQ45</f>
        <v>-4.8261904762057384E-2</v>
      </c>
      <c r="BR45" s="191">
        <f>'Functional Levels Drone Survey'!BR45-'Existing Levels Drone Survey'!BR45</f>
        <v>-5.1061904762036647E-2</v>
      </c>
      <c r="BS45" s="191">
        <f>'Functional Levels Drone Survey'!BS45-'Existing Levels Drone Survey'!BS45</f>
        <v>-0.14726190476204692</v>
      </c>
      <c r="BT45" s="191">
        <f>'Functional Levels Drone Survey'!BT45-'Existing Levels Drone Survey'!BT45</f>
        <v>-8.0361904762014547E-2</v>
      </c>
      <c r="BU45" s="191">
        <f>'Functional Levels Drone Survey'!BU45-'Existing Levels Drone Survey'!BU45</f>
        <v>-1.7061904762044833E-2</v>
      </c>
      <c r="BV45" s="191">
        <f>'Functional Levels Drone Survey'!BV45-'Existing Levels Drone Survey'!BV45</f>
        <v>-4.7161904762049289E-2</v>
      </c>
      <c r="BW45" s="191">
        <f>'Functional Levels Drone Survey'!BW45-'Existing Levels Drone Survey'!BW45</f>
        <v>-8.6661904762024733E-2</v>
      </c>
      <c r="BX45" s="191">
        <f>'Functional Levels Drone Survey'!BX45-'Existing Levels Drone Survey'!BX45</f>
        <v>7.1738095237947164E-2</v>
      </c>
      <c r="BY45" s="191">
        <f>'Functional Levels Drone Survey'!BY45-'Existing Levels Drone Survey'!BY45</f>
        <v>2.0438095237977905E-2</v>
      </c>
      <c r="BZ45" s="279">
        <f>'Functional Levels Drone Survey'!BZ45-'Existing Levels Drone Survey'!BZ45</f>
        <v>3.5138095237982725E-2</v>
      </c>
      <c r="CA45" s="191">
        <f>'Functional Levels Drone Survey'!CA45-'Existing Levels Drone Survey'!CA45</f>
        <v>-0.13189523809529646</v>
      </c>
      <c r="CB45" s="191">
        <f>'Functional Levels Drone Survey'!CB45-'Existing Levels Drone Survey'!CB45</f>
        <v>-0.11169523809530801</v>
      </c>
      <c r="CC45" s="279">
        <f>'Functional Levels Drone Survey'!CC45-'Existing Levels Drone Survey'!CC45</f>
        <v>-0.14759523809533448</v>
      </c>
      <c r="CD45" s="191">
        <f>'Functional Levels Drone Survey'!CD45-'Existing Levels Drone Survey'!CD45</f>
        <v>-8.6795238095305649E-2</v>
      </c>
      <c r="CE45" s="191">
        <f>'Functional Levels Drone Survey'!CE45-'Existing Levels Drone Survey'!CE45</f>
        <v>-1.3695238095294826E-2</v>
      </c>
      <c r="CF45" s="191">
        <f>'Functional Levels Drone Survey'!CF45-'Existing Levels Drone Survey'!CF45</f>
        <v>-0.1179952380953182</v>
      </c>
      <c r="CG45" s="191">
        <f>'Functional Levels Drone Survey'!CG45-'Existing Levels Drone Survey'!CG45</f>
        <v>-0.18649523809534685</v>
      </c>
      <c r="CH45" s="191">
        <f>'Functional Levels Drone Survey'!CH45-'Existing Levels Drone Survey'!CH45</f>
        <v>-5.4595238095316745E-2</v>
      </c>
      <c r="CI45" s="191">
        <f>'Functional Levels Drone Survey'!CI45-'Existing Levels Drone Survey'!CI45</f>
        <v>9.4604761904690804E-2</v>
      </c>
      <c r="CJ45" s="191">
        <f>'Functional Levels Drone Survey'!CJ45-'Existing Levels Drone Survey'!CJ45</f>
        <v>-0.15099523809533366</v>
      </c>
      <c r="CK45" s="191">
        <f>'Functional Levels Drone Survey'!CK45-'Existing Levels Drone Survey'!CK45</f>
        <v>-0.15269523809530483</v>
      </c>
      <c r="CL45" s="191">
        <f>'Functional Levels Drone Survey'!CL45-'Existing Levels Drone Survey'!CL45</f>
        <v>-0.21919523809532393</v>
      </c>
      <c r="CM45" s="191">
        <f>'Functional Levels Drone Survey'!CM45-'Existing Levels Drone Survey'!CM45</f>
        <v>-0.17019523809534576</v>
      </c>
      <c r="CN45" s="191">
        <f>'Functional Levels Drone Survey'!CN45-'Existing Levels Drone Survey'!CN45</f>
        <v>-0.15919523809532166</v>
      </c>
      <c r="CO45" s="191">
        <f>'Functional Levels Drone Survey'!CO45-'Existing Levels Drone Survey'!CO45</f>
        <v>-0.22019523809530028</v>
      </c>
      <c r="CP45" s="191">
        <f>'Functional Levels Drone Survey'!CP45-'Existing Levels Drone Survey'!CP45</f>
        <v>-0.17289523809529328</v>
      </c>
      <c r="CQ45" s="191">
        <f>'Functional Levels Drone Survey'!CQ45-'Existing Levels Drone Survey'!CQ45</f>
        <v>-0.17109523809534721</v>
      </c>
      <c r="CR45" s="191">
        <f>'Functional Levels Drone Survey'!CR45-'Existing Levels Drone Survey'!CR45</f>
        <v>-0.20629523809532202</v>
      </c>
      <c r="CS45" s="191">
        <f>'Functional Levels Drone Survey'!CS45-'Existing Levels Drone Survey'!CS45</f>
        <v>-0.21329523809532702</v>
      </c>
      <c r="CT45" s="191">
        <f>'Functional Levels Drone Survey'!CT45-'Existing Levels Drone Survey'!CT45</f>
        <v>0.21690476190468644</v>
      </c>
      <c r="CU45" s="191">
        <f>'Functional Levels Drone Survey'!CU45-'Existing Levels Drone Survey'!CU45</f>
        <v>0.18520476190468571</v>
      </c>
      <c r="CV45" s="191">
        <f>'Functional Levels Drone Survey'!CV45-'Existing Levels Drone Survey'!CV45</f>
        <v>0.23340476190469417</v>
      </c>
      <c r="CW45" s="279">
        <f>'Functional Levels Drone Survey'!CW45-'Existing Levels Drone Survey'!CW45</f>
        <v>0.24930476190468198</v>
      </c>
      <c r="CX45" s="191">
        <f>'Functional Levels Drone Survey'!CX45-'Existing Levels Drone Survey'!CX45</f>
        <v>4.6866666666517176E-2</v>
      </c>
      <c r="CY45" s="279">
        <f>'Functional Levels Drone Survey'!CY45-'Existing Levels Drone Survey'!CY45</f>
        <v>0.10616666666652463</v>
      </c>
      <c r="CZ45" s="191">
        <f>'Functional Levels Drone Survey'!CZ45-'Existing Levels Drone Survey'!CZ45</f>
        <v>0.12476666666651681</v>
      </c>
      <c r="DA45" s="191">
        <f>'Functional Levels Drone Survey'!DA45-'Existing Levels Drone Survey'!DA45</f>
        <v>7.926666666651272E-2</v>
      </c>
      <c r="DB45" s="191">
        <f>'Functional Levels Drone Survey'!DB45-'Existing Levels Drone Survey'!DB45</f>
        <v>5.4266666666535457E-2</v>
      </c>
      <c r="DC45" s="191">
        <f>'Functional Levels Drone Survey'!DC45-'Existing Levels Drone Survey'!DC45</f>
        <v>0.10496666666654164</v>
      </c>
      <c r="DD45" s="191">
        <f>'Functional Levels Drone Survey'!DD45-'Existing Levels Drone Survey'!DD45</f>
        <v>9.1466666666519814E-2</v>
      </c>
      <c r="DE45" s="191">
        <f>'Functional Levels Drone Survey'!DE45-'Existing Levels Drone Survey'!DE45</f>
        <v>9.4866666666518995E-2</v>
      </c>
      <c r="DF45" s="191">
        <f>'Functional Levels Drone Survey'!DF45-'Existing Levels Drone Survey'!DF45</f>
        <v>0.13066666666651372</v>
      </c>
      <c r="DG45" s="191">
        <f>'Functional Levels Drone Survey'!DG45-'Existing Levels Drone Survey'!DG45</f>
        <v>9.6466666666515266E-2</v>
      </c>
      <c r="DH45" s="191">
        <f>'Functional Levels Drone Survey'!DH45-'Existing Levels Drone Survey'!DH45</f>
        <v>6.7366666666544006E-2</v>
      </c>
      <c r="DI45" s="191">
        <f>'Functional Levels Drone Survey'!DI45-'Existing Levels Drone Survey'!DI45</f>
        <v>0.13486666666653946</v>
      </c>
      <c r="DJ45" s="191">
        <f>'Functional Levels Drone Survey'!DJ45-'Existing Levels Drone Survey'!DJ45</f>
        <v>0.124066666666522</v>
      </c>
      <c r="DK45" s="191">
        <f>'Functional Levels Drone Survey'!DK45-'Existing Levels Drone Survey'!DK45</f>
        <v>0.12676666666652636</v>
      </c>
      <c r="DL45" s="191">
        <f>'Functional Levels Drone Survey'!DL45-'Existing Levels Drone Survey'!DL45</f>
        <v>0.15236666666652354</v>
      </c>
      <c r="DM45" s="191">
        <f>'Functional Levels Drone Survey'!DM45-'Existing Levels Drone Survey'!DM45</f>
        <v>0.14786666666651627</v>
      </c>
      <c r="DN45" s="191">
        <f>'Functional Levels Drone Survey'!DN45-'Existing Levels Drone Survey'!DN45</f>
        <v>0.18326666666655456</v>
      </c>
      <c r="DO45" s="191">
        <f>'Functional Levels Drone Survey'!DO45-'Existing Levels Drone Survey'!DO45</f>
        <v>4.9366666666514902E-2</v>
      </c>
      <c r="DP45" s="191">
        <f>'Functional Levels Drone Survey'!DP45-'Existing Levels Drone Survey'!DP45</f>
        <v>0.31706666666650563</v>
      </c>
      <c r="DQ45" s="191">
        <f>'Functional Levels Drone Survey'!DQ45-'Existing Levels Drone Survey'!DQ45</f>
        <v>0.39036666666652309</v>
      </c>
      <c r="DR45" s="191">
        <f>'Functional Levels Drone Survey'!DR45-'Existing Levels Drone Survey'!DR45</f>
        <v>3.346666666652709E-2</v>
      </c>
      <c r="DS45" s="279">
        <f>'Functional Levels Drone Survey'!DS45-'Existing Levels Drone Survey'!DS45</f>
        <v>-1.8533333333493829E-2</v>
      </c>
      <c r="DT45" s="191">
        <f>'Functional Levels Drone Survey'!DT45-'Existing Levels Drone Survey'!DT45</f>
        <v>-0.14653333333347973</v>
      </c>
      <c r="DU45" s="191">
        <f>'Functional Levels Drone Survey'!DU45-'Existing Levels Drone Survey'!DU45</f>
        <v>-8.7133333333497376E-2</v>
      </c>
      <c r="DV45" s="279">
        <f>'Functional Levels Drone Survey'!DV45-'Existing Levels Drone Survey'!DV45</f>
        <v>0.18079374999996389</v>
      </c>
      <c r="DW45" s="191">
        <f>'Functional Levels Drone Survey'!DW45-'Existing Levels Drone Survey'!DW45</f>
        <v>4.9993749999998727E-2</v>
      </c>
      <c r="DX45" s="191">
        <f>'Functional Levels Drone Survey'!DX45-'Existing Levels Drone Survey'!DX45</f>
        <v>5.1093750000006821E-2</v>
      </c>
      <c r="DY45" s="191">
        <f>'Functional Levels Drone Survey'!DY45-'Existing Levels Drone Survey'!DY45</f>
        <v>5.4937499999709871E-3</v>
      </c>
      <c r="DZ45" s="191">
        <f>'Functional Levels Drone Survey'!DZ45-'Existing Levels Drone Survey'!DZ45</f>
        <v>3.099374999999327E-2</v>
      </c>
      <c r="EA45" s="191">
        <f>'Functional Levels Drone Survey'!EA45-'Existing Levels Drone Survey'!EA45</f>
        <v>-0.18230625000001055</v>
      </c>
      <c r="EB45" s="191">
        <f>'Functional Levels Drone Survey'!EB45-'Existing Levels Drone Survey'!EB45</f>
        <v>-0.32880625000001373</v>
      </c>
      <c r="EC45" s="191">
        <f>'Functional Levels Drone Survey'!EC45-'Existing Levels Drone Survey'!EC45</f>
        <v>-0.20530625000003511</v>
      </c>
      <c r="ED45" s="191">
        <f>'Functional Levels Drone Survey'!ED45-'Existing Levels Drone Survey'!ED45</f>
        <v>-0.19620625000004566</v>
      </c>
      <c r="EE45" s="191">
        <f>'Functional Levels Drone Survey'!EE45-'Existing Levels Drone Survey'!EE45</f>
        <v>8.1093749999979536E-2</v>
      </c>
      <c r="EF45" s="191">
        <f>'Functional Levels Drone Survey'!EF45-'Existing Levels Drone Survey'!EF45</f>
        <v>-0.25040625000002592</v>
      </c>
      <c r="EG45" s="191">
        <f>'Functional Levels Drone Survey'!EG45-'Existing Levels Drone Survey'!EG45</f>
        <v>-0.13970625000001746</v>
      </c>
      <c r="EH45" s="191">
        <f>'Functional Levels Drone Survey'!EH45-'Existing Levels Drone Survey'!EH45</f>
        <v>-0.22910625000002938</v>
      </c>
      <c r="EI45" s="191">
        <f>'Functional Levels Drone Survey'!EI45-'Existing Levels Drone Survey'!EI45</f>
        <v>5.0393749999955162E-2</v>
      </c>
      <c r="EJ45" s="191">
        <f>'Functional Levels Drone Survey'!EJ45-'Existing Levels Drone Survey'!EJ45</f>
        <v>0.2198937499999829</v>
      </c>
      <c r="EK45" s="279">
        <f>'Functional Levels Drone Survey'!EK45-'Existing Levels Drone Survey'!EK45</f>
        <v>0.19309375000000273</v>
      </c>
      <c r="EL45" s="191">
        <f>'Functional Levels Drone Survey'!EL45-'Existing Levels Drone Survey'!EL45</f>
        <v>7.7393750000055661E-2</v>
      </c>
      <c r="EM45" s="191">
        <f>'Functional Levels Drone Survey'!EM45-'Existing Levels Drone Survey'!EM45</f>
        <v>4.4793750000053478E-2</v>
      </c>
      <c r="EN45" s="191">
        <f>'Functional Levels Drone Survey'!EN45-'Existing Levels Drone Survey'!EN45</f>
        <v>0.22469375000002856</v>
      </c>
      <c r="EO45" s="191">
        <f>'Functional Levels Drone Survey'!EO45-'Existing Levels Drone Survey'!EO45</f>
        <v>0.24019375000005994</v>
      </c>
      <c r="EP45" s="191">
        <f>'Functional Levels Drone Survey'!EP45-'Existing Levels Drone Survey'!EP45</f>
        <v>0.17689375000003338</v>
      </c>
      <c r="EQ45" s="191">
        <f>'Functional Levels Drone Survey'!EQ45-'Existing Levels Drone Survey'!EQ45</f>
        <v>0.1833937500000502</v>
      </c>
      <c r="ER45" s="191">
        <f>'Functional Levels Drone Survey'!ER45-'Existing Levels Drone Survey'!ER45</f>
        <v>7.709375000001728E-2</v>
      </c>
      <c r="ES45" s="191">
        <f>'Functional Levels Drone Survey'!ES45-'Existing Levels Drone Survey'!ES45</f>
        <v>3.8093750000030013E-2</v>
      </c>
      <c r="ET45" s="191">
        <f>'Functional Levels Drone Survey'!ET45-'Existing Levels Drone Survey'!ET45</f>
        <v>8.6293750000038472E-2</v>
      </c>
      <c r="EU45" s="191">
        <f>'Functional Levels Drone Survey'!EU45-'Existing Levels Drone Survey'!EU45</f>
        <v>0.44549375000002556</v>
      </c>
      <c r="EV45" s="278">
        <f>'Functional Levels Drone Survey'!EV45-'Existing Levels Drone Survey'!EV45</f>
        <v>0.53559375000003229</v>
      </c>
      <c r="EW45" s="191">
        <f>'Functional Levels Drone Survey'!EW45-'Existing Levels Drone Survey'!EW45</f>
        <v>0</v>
      </c>
      <c r="EX45" s="191">
        <f>'Functional Levels Drone Survey'!EX45-'Existing Levels Drone Survey'!EX45</f>
        <v>0</v>
      </c>
      <c r="EY45" s="191">
        <f>'Functional Levels Drone Survey'!EY45-'Existing Levels Drone Survey'!EY45</f>
        <v>0</v>
      </c>
    </row>
    <row r="46" spans="1:155" ht="45" customHeight="1" x14ac:dyDescent="0.45">
      <c r="A46" s="277">
        <v>225</v>
      </c>
      <c r="B46" s="278">
        <f>'Functional Levels Drone Survey'!B46-'Existing Levels Drone Survey'!B46</f>
        <v>-0.7552950000001033</v>
      </c>
      <c r="C46" s="191">
        <f>'Functional Levels Drone Survey'!C46-'Existing Levels Drone Survey'!C46</f>
        <v>-0.18779500000010785</v>
      </c>
      <c r="D46" s="191">
        <f>'Functional Levels Drone Survey'!D46-'Existing Levels Drone Survey'!D46</f>
        <v>-0.11529500000011694</v>
      </c>
      <c r="E46" s="191">
        <f>'Functional Levels Drone Survey'!E46-'Existing Levels Drone Survey'!E46</f>
        <v>-0.11799500000012131</v>
      </c>
      <c r="F46" s="279">
        <f>'Functional Levels Drone Survey'!F46-'Existing Levels Drone Survey'!F46</f>
        <v>-2.4895000000071832E-2</v>
      </c>
      <c r="G46" s="191">
        <f>'Functional Levels Drone Survey'!G46-'Existing Levels Drone Survey'!G46</f>
        <v>-2.2495000000049004E-2</v>
      </c>
      <c r="H46" s="191">
        <f>'Functional Levels Drone Survey'!H46-'Existing Levels Drone Survey'!H46</f>
        <v>-3.2195000000058371E-2</v>
      </c>
      <c r="I46" s="191">
        <f>'Functional Levels Drone Survey'!I46-'Existing Levels Drone Survey'!I46</f>
        <v>-4.9895000000049095E-2</v>
      </c>
      <c r="J46" s="191">
        <f>'Functional Levels Drone Survey'!J46-'Existing Levels Drone Survey'!J46</f>
        <v>-2.9395000000079108E-2</v>
      </c>
      <c r="K46" s="191">
        <f>'Functional Levels Drone Survey'!K46-'Existing Levels Drone Survey'!K46</f>
        <v>-5.4295000000081473E-2</v>
      </c>
      <c r="L46" s="191">
        <f>'Functional Levels Drone Survey'!L46-'Existing Levels Drone Survey'!L46</f>
        <v>-5.5995000000052642E-2</v>
      </c>
      <c r="M46" s="191">
        <f>'Functional Levels Drone Survey'!M46-'Existing Levels Drone Survey'!M46</f>
        <v>-9.2895000000055461E-2</v>
      </c>
      <c r="N46" s="191">
        <f>'Functional Levels Drone Survey'!N46-'Existing Levels Drone Survey'!N46</f>
        <v>-2.5095000000078471E-2</v>
      </c>
      <c r="O46" s="191">
        <f>'Functional Levels Drone Survey'!O46-'Existing Levels Drone Survey'!O46</f>
        <v>-4.5195000000092023E-2</v>
      </c>
      <c r="P46" s="191">
        <f>'Functional Levels Drone Survey'!P46-'Existing Levels Drone Survey'!P46</f>
        <v>-3.439500000007456E-2</v>
      </c>
      <c r="Q46" s="191">
        <f>'Functional Levels Drone Survey'!Q46-'Existing Levels Drone Survey'!Q46</f>
        <v>-1.3495000000091295E-2</v>
      </c>
      <c r="R46" s="191">
        <f>'Functional Levels Drone Survey'!R46-'Existing Levels Drone Survey'!R46</f>
        <v>3.520499999990534E-2</v>
      </c>
      <c r="S46" s="191">
        <f>'Functional Levels Drone Survey'!S46-'Existing Levels Drone Survey'!S46</f>
        <v>2.8604999999913616E-2</v>
      </c>
      <c r="T46" s="191">
        <f>'Functional Levels Drone Survey'!T46-'Existing Levels Drone Survey'!T46</f>
        <v>-4.6950000000833825E-3</v>
      </c>
      <c r="U46" s="279">
        <f>'Functional Levels Drone Survey'!U46-'Existing Levels Drone Survey'!U46</f>
        <v>4.5304999999927986E-2</v>
      </c>
      <c r="V46" s="191">
        <f>'Functional Levels Drone Survey'!V46-'Existing Levels Drone Survey'!V46</f>
        <v>3.8304999999922984E-2</v>
      </c>
      <c r="W46" s="191">
        <f>'Functional Levels Drone Survey'!W46-'Existing Levels Drone Survey'!W46</f>
        <v>7.1204999999906704E-2</v>
      </c>
      <c r="X46" s="278">
        <f>'Functional Levels Drone Survey'!X46-'Existing Levels Drone Survey'!X46</f>
        <v>-0.12689500000010412</v>
      </c>
      <c r="Y46" s="191">
        <f>'Functional Levels Drone Survey'!Y46-'Existing Levels Drone Survey'!Y46</f>
        <v>0</v>
      </c>
      <c r="Z46" s="191">
        <f>'Functional Levels Drone Survey'!Z46-'Existing Levels Drone Survey'!Z46</f>
        <v>0</v>
      </c>
      <c r="AA46" s="191">
        <f>'Functional Levels Drone Survey'!AA46-'Existing Levels Drone Survey'!AA46</f>
        <v>0</v>
      </c>
      <c r="AB46" s="191">
        <f>'Functional Levels Drone Survey'!AB46-'Existing Levels Drone Survey'!AB46</f>
        <v>0</v>
      </c>
      <c r="AC46" s="191">
        <f>'Functional Levels Drone Survey'!AC46-'Existing Levels Drone Survey'!AC46</f>
        <v>0</v>
      </c>
      <c r="AD46" s="191">
        <f>'Functional Levels Drone Survey'!AD46-'Existing Levels Drone Survey'!AD46</f>
        <v>0</v>
      </c>
      <c r="AE46" s="191">
        <f>'Functional Levels Drone Survey'!AE46-'Existing Levels Drone Survey'!AE46</f>
        <v>0</v>
      </c>
      <c r="AF46" s="191">
        <f>'Functional Levels Drone Survey'!AF46-'Existing Levels Drone Survey'!AF46</f>
        <v>0</v>
      </c>
      <c r="AG46" s="191">
        <f>'Functional Levels Drone Survey'!AG46-'Existing Levels Drone Survey'!AG46</f>
        <v>0</v>
      </c>
      <c r="AH46" s="191">
        <f>'Functional Levels Drone Survey'!AH46-'Existing Levels Drone Survey'!AH46</f>
        <v>0</v>
      </c>
      <c r="AI46" s="191">
        <f>'Functional Levels Drone Survey'!AI46-'Existing Levels Drone Survey'!AI46</f>
        <v>0</v>
      </c>
      <c r="AJ46" s="191">
        <f>'Functional Levels Drone Survey'!AJ46-'Existing Levels Drone Survey'!AJ46</f>
        <v>0</v>
      </c>
      <c r="AK46" s="191">
        <f>'Functional Levels Drone Survey'!AK46-'Existing Levels Drone Survey'!AK46</f>
        <v>0</v>
      </c>
      <c r="AL46" s="191">
        <f>'Functional Levels Drone Survey'!AL46-'Existing Levels Drone Survey'!AL46</f>
        <v>0</v>
      </c>
      <c r="AM46" s="191">
        <f>'Functional Levels Drone Survey'!AM46-'Existing Levels Drone Survey'!AM46</f>
        <v>0</v>
      </c>
      <c r="AN46" s="191">
        <f>'Functional Levels Drone Survey'!AN46-'Existing Levels Drone Survey'!AN46</f>
        <v>0</v>
      </c>
      <c r="AO46" s="191">
        <f>'Functional Levels Drone Survey'!AO46-'Existing Levels Drone Survey'!AO46</f>
        <v>0</v>
      </c>
      <c r="AP46" s="191">
        <f>'Functional Levels Drone Survey'!AP46-'Existing Levels Drone Survey'!AP46</f>
        <v>0</v>
      </c>
      <c r="AQ46" s="191">
        <f>'Functional Levels Drone Survey'!AQ46-'Existing Levels Drone Survey'!AQ46</f>
        <v>0</v>
      </c>
      <c r="AR46" s="191">
        <f>'Functional Levels Drone Survey'!AR46-'Existing Levels Drone Survey'!AR46</f>
        <v>0</v>
      </c>
      <c r="AS46" s="191">
        <f>'Functional Levels Drone Survey'!AS46-'Existing Levels Drone Survey'!AS46</f>
        <v>0</v>
      </c>
      <c r="AT46" s="191">
        <f>'Functional Levels Drone Survey'!AT46-'Existing Levels Drone Survey'!AT46</f>
        <v>0</v>
      </c>
      <c r="AU46" s="191">
        <f>'Functional Levels Drone Survey'!AU46-'Existing Levels Drone Survey'!AU46</f>
        <v>0</v>
      </c>
      <c r="AV46" s="191">
        <f>'Functional Levels Drone Survey'!AV46-'Existing Levels Drone Survey'!AV46</f>
        <v>0</v>
      </c>
      <c r="AW46" s="191">
        <f>'Functional Levels Drone Survey'!AW46-'Existing Levels Drone Survey'!AW46</f>
        <v>0</v>
      </c>
      <c r="AX46" s="191">
        <f>'Functional Levels Drone Survey'!AX46-'Existing Levels Drone Survey'!AX46</f>
        <v>0</v>
      </c>
      <c r="AY46" s="191">
        <f>'Functional Levels Drone Survey'!AY46-'Existing Levels Drone Survey'!AY46</f>
        <v>0</v>
      </c>
      <c r="AZ46" s="278">
        <f>'Functional Levels Drone Survey'!AZ46-'Existing Levels Drone Survey'!AZ46</f>
        <v>-0.20956190476204029</v>
      </c>
      <c r="BA46" s="191">
        <f>'Functional Levels Drone Survey'!BA46-'Existing Levels Drone Survey'!BA46</f>
        <v>-0.20786190476201227</v>
      </c>
      <c r="BB46" s="191">
        <f>'Functional Levels Drone Survey'!BB46-'Existing Levels Drone Survey'!BB46</f>
        <v>-0.21646190476201355</v>
      </c>
      <c r="BC46" s="191">
        <f>'Functional Levels Drone Survey'!BC46-'Existing Levels Drone Survey'!BC46</f>
        <v>-0.15516190476205338</v>
      </c>
      <c r="BD46" s="191">
        <f>'Functional Levels Drone Survey'!BD46-'Existing Levels Drone Survey'!BD46</f>
        <v>-0.12696190476202673</v>
      </c>
      <c r="BE46" s="191">
        <f>'Functional Levels Drone Survey'!BE46-'Existing Levels Drone Survey'!BE46</f>
        <v>-4.9061904762027098E-2</v>
      </c>
      <c r="BF46" s="279">
        <f>'Functional Levels Drone Survey'!BF46-'Existing Levels Drone Survey'!BF46</f>
        <v>1.2738095237978087E-2</v>
      </c>
      <c r="BG46" s="191">
        <f>'Functional Levels Drone Survey'!BG46-'Existing Levels Drone Survey'!BG46</f>
        <v>1.5838095237995731E-2</v>
      </c>
      <c r="BH46" s="191">
        <f>'Functional Levels Drone Survey'!BH46-'Existing Levels Drone Survey'!BH46</f>
        <v>-7.6361904762052291E-2</v>
      </c>
      <c r="BI46" s="191">
        <f>'Functional Levels Drone Survey'!BI46-'Existing Levels Drone Survey'!BI46</f>
        <v>-0.21896190476201127</v>
      </c>
      <c r="BJ46" s="191">
        <f>'Functional Levels Drone Survey'!BJ46-'Existing Levels Drone Survey'!BJ46</f>
        <v>-0.10236190476200591</v>
      </c>
      <c r="BK46" s="191">
        <f>'Functional Levels Drone Survey'!BK46-'Existing Levels Drone Survey'!BK46</f>
        <v>-9.6761904762047379E-2</v>
      </c>
      <c r="BL46" s="191">
        <f>'Functional Levels Drone Survey'!BL46-'Existing Levels Drone Survey'!BL46</f>
        <v>-0.38406190476200663</v>
      </c>
      <c r="BM46" s="191">
        <f>'Functional Levels Drone Survey'!BM46-'Existing Levels Drone Survey'!BM46</f>
        <v>-0.32536190476201909</v>
      </c>
      <c r="BN46" s="191">
        <f>'Functional Levels Drone Survey'!BN46-'Existing Levels Drone Survey'!BN46</f>
        <v>-0.33276190476203737</v>
      </c>
      <c r="BO46" s="191">
        <f>'Functional Levels Drone Survey'!BO46-'Existing Levels Drone Survey'!BO46</f>
        <v>-0.28646190476200672</v>
      </c>
      <c r="BP46" s="191">
        <f>'Functional Levels Drone Survey'!BP46-'Existing Levels Drone Survey'!BP46</f>
        <v>-0.27466190476201291</v>
      </c>
      <c r="BQ46" s="191">
        <f>'Functional Levels Drone Survey'!BQ46-'Existing Levels Drone Survey'!BQ46</f>
        <v>-1.6261904762018276E-2</v>
      </c>
      <c r="BR46" s="191">
        <f>'Functional Levels Drone Survey'!BR46-'Existing Levels Drone Survey'!BR46</f>
        <v>7.7938095237982452E-2</v>
      </c>
      <c r="BS46" s="191">
        <f>'Functional Levels Drone Survey'!BS46-'Existing Levels Drone Survey'!BS46</f>
        <v>0.12213809523797181</v>
      </c>
      <c r="BT46" s="191">
        <f>'Functional Levels Drone Survey'!BT46-'Existing Levels Drone Survey'!BT46</f>
        <v>1.9380952379606242E-3</v>
      </c>
      <c r="BU46" s="191">
        <f>'Functional Levels Drone Survey'!BU46-'Existing Levels Drone Survey'!BU46</f>
        <v>-3.2661904762051108E-2</v>
      </c>
      <c r="BV46" s="191">
        <f>'Functional Levels Drone Survey'!BV46-'Existing Levels Drone Survey'!BV46</f>
        <v>3.1538095237976904E-2</v>
      </c>
      <c r="BW46" s="191">
        <f>'Functional Levels Drone Survey'!BW46-'Existing Levels Drone Survey'!BW46</f>
        <v>1.1838095237976631E-2</v>
      </c>
      <c r="BX46" s="191">
        <f>'Functional Levels Drone Survey'!BX46-'Existing Levels Drone Survey'!BX46</f>
        <v>-7.5861904762007271E-2</v>
      </c>
      <c r="BY46" s="191">
        <f>'Functional Levels Drone Survey'!BY46-'Existing Levels Drone Survey'!BY46</f>
        <v>-2.1461904762020367E-2</v>
      </c>
      <c r="BZ46" s="279">
        <f>'Functional Levels Drone Survey'!BZ46-'Existing Levels Drone Survey'!BZ46</f>
        <v>0.13463809523796044</v>
      </c>
      <c r="CA46" s="191">
        <f>'Functional Levels Drone Survey'!CA46-'Existing Levels Drone Survey'!CA46</f>
        <v>-0.12819523809531574</v>
      </c>
      <c r="CB46" s="191">
        <f>'Functional Levels Drone Survey'!CB46-'Existing Levels Drone Survey'!CB46</f>
        <v>-6.079523809529519E-2</v>
      </c>
      <c r="CC46" s="279">
        <f>'Functional Levels Drone Survey'!CC46-'Existing Levels Drone Survey'!CC46</f>
        <v>-1.8995238095328659E-2</v>
      </c>
      <c r="CD46" s="191">
        <f>'Functional Levels Drone Survey'!CD46-'Existing Levels Drone Survey'!CD46</f>
        <v>-5.5195238095279819E-2</v>
      </c>
      <c r="CE46" s="191">
        <f>'Functional Levels Drone Survey'!CE46-'Existing Levels Drone Survey'!CE46</f>
        <v>-6.5295238095302466E-2</v>
      </c>
      <c r="CF46" s="191">
        <f>'Functional Levels Drone Survey'!CF46-'Existing Levels Drone Survey'!CF46</f>
        <v>-6.7795238095300192E-2</v>
      </c>
      <c r="CG46" s="191">
        <f>'Functional Levels Drone Survey'!CG46-'Existing Levels Drone Survey'!CG46</f>
        <v>-0.11569523809532711</v>
      </c>
      <c r="CH46" s="191">
        <f>'Functional Levels Drone Survey'!CH46-'Existing Levels Drone Survey'!CH46</f>
        <v>-8.7195238095318928E-2</v>
      </c>
      <c r="CI46" s="191">
        <f>'Functional Levels Drone Survey'!CI46-'Existing Levels Drone Survey'!CI46</f>
        <v>7.5804761904691986E-2</v>
      </c>
      <c r="CJ46" s="191">
        <f>'Functional Levels Drone Survey'!CJ46-'Existing Levels Drone Survey'!CJ46</f>
        <v>-3.0795238095322475E-2</v>
      </c>
      <c r="CK46" s="191">
        <f>'Functional Levels Drone Survey'!CK46-'Existing Levels Drone Survey'!CK46</f>
        <v>-3.8895238095335571E-2</v>
      </c>
      <c r="CL46" s="191">
        <f>'Functional Levels Drone Survey'!CL46-'Existing Levels Drone Survey'!CL46</f>
        <v>1.4504761904674979E-2</v>
      </c>
      <c r="CM46" s="191">
        <f>'Functional Levels Drone Survey'!CM46-'Existing Levels Drone Survey'!CM46</f>
        <v>-6.9695238095334844E-2</v>
      </c>
      <c r="CN46" s="191">
        <f>'Functional Levels Drone Survey'!CN46-'Existing Levels Drone Survey'!CN46</f>
        <v>-7.5695238095306649E-2</v>
      </c>
      <c r="CO46" s="191">
        <f>'Functional Levels Drone Survey'!CO46-'Existing Levels Drone Survey'!CO46</f>
        <v>-3.499523809529137E-2</v>
      </c>
      <c r="CP46" s="191">
        <f>'Functional Levels Drone Survey'!CP46-'Existing Levels Drone Survey'!CP46</f>
        <v>-0.1694952380952941</v>
      </c>
      <c r="CQ46" s="191">
        <f>'Functional Levels Drone Survey'!CQ46-'Existing Levels Drone Survey'!CQ46</f>
        <v>-0.10439523809532147</v>
      </c>
      <c r="CR46" s="191">
        <f>'Functional Levels Drone Survey'!CR46-'Existing Levels Drone Survey'!CR46</f>
        <v>-0.271195238095288</v>
      </c>
      <c r="CS46" s="191">
        <f>'Functional Levels Drone Survey'!CS46-'Existing Levels Drone Survey'!CS46</f>
        <v>-0.11019523809528664</v>
      </c>
      <c r="CT46" s="191">
        <f>'Functional Levels Drone Survey'!CT46-'Existing Levels Drone Survey'!CT46</f>
        <v>0.24050476190467407</v>
      </c>
      <c r="CU46" s="191">
        <f>'Functional Levels Drone Survey'!CU46-'Existing Levels Drone Survey'!CU46</f>
        <v>8.1504761904682255E-2</v>
      </c>
      <c r="CV46" s="191">
        <f>'Functional Levels Drone Survey'!CV46-'Existing Levels Drone Survey'!CV46</f>
        <v>0.25560476190469217</v>
      </c>
      <c r="CW46" s="279">
        <f>'Functional Levels Drone Survey'!CW46-'Existing Levels Drone Survey'!CW46</f>
        <v>0.21010476190468808</v>
      </c>
      <c r="CX46" s="191">
        <f>'Functional Levels Drone Survey'!CX46-'Existing Levels Drone Survey'!CX46</f>
        <v>1.9566666666548826E-2</v>
      </c>
      <c r="CY46" s="279">
        <f>'Functional Levels Drone Survey'!CY46-'Existing Levels Drone Survey'!CY46</f>
        <v>0.13226666666656683</v>
      </c>
      <c r="CZ46" s="191">
        <f>'Functional Levels Drone Survey'!CZ46-'Existing Levels Drone Survey'!CZ46</f>
        <v>3.2966666666538913E-2</v>
      </c>
      <c r="DA46" s="191">
        <f>'Functional Levels Drone Survey'!DA46-'Existing Levels Drone Survey'!DA46</f>
        <v>3.7566666666521087E-2</v>
      </c>
      <c r="DB46" s="191">
        <f>'Functional Levels Drone Survey'!DB46-'Existing Levels Drone Survey'!DB46</f>
        <v>8.4066666666558376E-2</v>
      </c>
      <c r="DC46" s="191">
        <f>'Functional Levels Drone Survey'!DC46-'Existing Levels Drone Survey'!DC46</f>
        <v>0.11046666666652527</v>
      </c>
      <c r="DD46" s="191">
        <f>'Functional Levels Drone Survey'!DD46-'Existing Levels Drone Survey'!DD46</f>
        <v>0.10086666666654764</v>
      </c>
      <c r="DE46" s="191">
        <f>'Functional Levels Drone Survey'!DE46-'Existing Levels Drone Survey'!DE46</f>
        <v>0.11196666666654664</v>
      </c>
      <c r="DF46" s="191">
        <f>'Functional Levels Drone Survey'!DF46-'Existing Levels Drone Survey'!DF46</f>
        <v>0.12256666666655747</v>
      </c>
      <c r="DG46" s="191">
        <f>'Functional Levels Drone Survey'!DG46-'Existing Levels Drone Survey'!DG46</f>
        <v>7.5266666666550464E-2</v>
      </c>
      <c r="DH46" s="191">
        <f>'Functional Levels Drone Survey'!DH46-'Existing Levels Drone Survey'!DH46</f>
        <v>-3.8733333333482278E-2</v>
      </c>
      <c r="DI46" s="191">
        <f>'Functional Levels Drone Survey'!DI46-'Existing Levels Drone Survey'!DI46</f>
        <v>4.8066666666557012E-2</v>
      </c>
      <c r="DJ46" s="191">
        <f>'Functional Levels Drone Survey'!DJ46-'Existing Levels Drone Survey'!DJ46</f>
        <v>3.3966666666515266E-2</v>
      </c>
      <c r="DK46" s="191">
        <f>'Functional Levels Drone Survey'!DK46-'Existing Levels Drone Survey'!DK46</f>
        <v>0.167266666666535</v>
      </c>
      <c r="DL46" s="191">
        <f>'Functional Levels Drone Survey'!DL46-'Existing Levels Drone Survey'!DL46</f>
        <v>0.20386666666655628</v>
      </c>
      <c r="DM46" s="191">
        <f>'Functional Levels Drone Survey'!DM46-'Existing Levels Drone Survey'!DM46</f>
        <v>0.16646666666656529</v>
      </c>
      <c r="DN46" s="191">
        <f>'Functional Levels Drone Survey'!DN46-'Existing Levels Drone Survey'!DN46</f>
        <v>0.15536666666656629</v>
      </c>
      <c r="DO46" s="191">
        <f>'Functional Levels Drone Survey'!DO46-'Existing Levels Drone Survey'!DO46</f>
        <v>0.39606666666651336</v>
      </c>
      <c r="DP46" s="191">
        <f>'Functional Levels Drone Survey'!DP46-'Existing Levels Drone Survey'!DP46</f>
        <v>0.28196666666656256</v>
      </c>
      <c r="DQ46" s="191">
        <f>'Functional Levels Drone Survey'!DQ46-'Existing Levels Drone Survey'!DQ46</f>
        <v>0.40426666666655819</v>
      </c>
      <c r="DR46" s="191">
        <f>'Functional Levels Drone Survey'!DR46-'Existing Levels Drone Survey'!DR46</f>
        <v>0.17666666666656283</v>
      </c>
      <c r="DS46" s="279">
        <f>'Functional Levels Drone Survey'!DS46-'Existing Levels Drone Survey'!DS46</f>
        <v>2.1666666665396406E-3</v>
      </c>
      <c r="DT46" s="191">
        <f>'Functional Levels Drone Survey'!DT46-'Existing Levels Drone Survey'!DT46</f>
        <v>-0.37873333333345727</v>
      </c>
      <c r="DU46" s="191">
        <f>'Functional Levels Drone Survey'!DU46-'Existing Levels Drone Survey'!DU46</f>
        <v>0.10816666666653418</v>
      </c>
      <c r="DV46" s="279">
        <f>'Functional Levels Drone Survey'!DV46-'Existing Levels Drone Survey'!DV46</f>
        <v>8.7893749999977899E-2</v>
      </c>
      <c r="DW46" s="191">
        <f>'Functional Levels Drone Survey'!DW46-'Existing Levels Drone Survey'!DW46</f>
        <v>2.0093750000000909E-2</v>
      </c>
      <c r="DX46" s="191">
        <f>'Functional Levels Drone Survey'!DX46-'Existing Levels Drone Survey'!DX46</f>
        <v>-4.7062500000265572E-3</v>
      </c>
      <c r="DY46" s="191">
        <f>'Functional Levels Drone Survey'!DY46-'Existing Levels Drone Survey'!DY46</f>
        <v>7.7393749999998818E-2</v>
      </c>
      <c r="DZ46" s="191">
        <f>'Functional Levels Drone Survey'!DZ46-'Existing Levels Drone Survey'!DZ46</f>
        <v>4.7293749999994361E-2</v>
      </c>
      <c r="EA46" s="191">
        <f>'Functional Levels Drone Survey'!EA46-'Existing Levels Drone Survey'!EA46</f>
        <v>0.11509374999997135</v>
      </c>
      <c r="EB46" s="191">
        <f>'Functional Levels Drone Survey'!EB46-'Existing Levels Drone Survey'!EB46</f>
        <v>-7.6806250000004184E-2</v>
      </c>
      <c r="EC46" s="191">
        <f>'Functional Levels Drone Survey'!EC46-'Existing Levels Drone Survey'!EC46</f>
        <v>-8.8606249999997999E-2</v>
      </c>
      <c r="ED46" s="191">
        <f>'Functional Levels Drone Survey'!ED46-'Existing Levels Drone Survey'!ED46</f>
        <v>1.4693749999992178E-2</v>
      </c>
      <c r="EE46" s="191">
        <f>'Functional Levels Drone Survey'!EE46-'Existing Levels Drone Survey'!EE46</f>
        <v>-7.550624999998945E-2</v>
      </c>
      <c r="EF46" s="191">
        <f>'Functional Levels Drone Survey'!EF46-'Existing Levels Drone Survey'!EF46</f>
        <v>5.859375E-2</v>
      </c>
      <c r="EG46" s="191">
        <f>'Functional Levels Drone Survey'!EG46-'Existing Levels Drone Survey'!EG46</f>
        <v>5.0693749999993543E-2</v>
      </c>
      <c r="EH46" s="191">
        <f>'Functional Levels Drone Survey'!EH46-'Existing Levels Drone Survey'!EH46</f>
        <v>-9.8106250000000728E-2</v>
      </c>
      <c r="EI46" s="191">
        <f>'Functional Levels Drone Survey'!EI46-'Existing Levels Drone Survey'!EI46</f>
        <v>-2.4906250000015007E-2</v>
      </c>
      <c r="EJ46" s="191">
        <f>'Functional Levels Drone Survey'!EJ46-'Existing Levels Drone Survey'!EJ46</f>
        <v>-0.19220625000002656</v>
      </c>
      <c r="EK46" s="279">
        <f>'Functional Levels Drone Survey'!EK46-'Existing Levels Drone Survey'!EK46</f>
        <v>-4.7706250000032924E-2</v>
      </c>
      <c r="EL46" s="191">
        <f>'Functional Levels Drone Survey'!EL46-'Existing Levels Drone Survey'!EL46</f>
        <v>-6.7606249999982992E-2</v>
      </c>
      <c r="EM46" s="191">
        <f>'Functional Levels Drone Survey'!EM46-'Existing Levels Drone Survey'!EM46</f>
        <v>3.9493750000019645E-2</v>
      </c>
      <c r="EN46" s="191">
        <f>'Functional Levels Drone Survey'!EN46-'Existing Levels Drone Survey'!EN46</f>
        <v>3.9293750000013006E-2</v>
      </c>
      <c r="EO46" s="191">
        <f>'Functional Levels Drone Survey'!EO46-'Existing Levels Drone Survey'!EO46</f>
        <v>-2.8806249999945521E-2</v>
      </c>
      <c r="EP46" s="191">
        <f>'Functional Levels Drone Survey'!EP46-'Existing Levels Drone Survey'!EP46</f>
        <v>0.20009375000000773</v>
      </c>
      <c r="EQ46" s="191">
        <f>'Functional Levels Drone Survey'!EQ46-'Existing Levels Drone Survey'!EQ46</f>
        <v>5.6993750000060572E-2</v>
      </c>
      <c r="ER46" s="191">
        <f>'Functional Levels Drone Survey'!ER46-'Existing Levels Drone Survey'!ER46</f>
        <v>0.12359375000005457</v>
      </c>
      <c r="ES46" s="191">
        <f>'Functional Levels Drone Survey'!ES46-'Existing Levels Drone Survey'!ES46</f>
        <v>0.14069375000002537</v>
      </c>
      <c r="ET46" s="191">
        <f>'Functional Levels Drone Survey'!ET46-'Existing Levels Drone Survey'!ET46</f>
        <v>0.3206937500000322</v>
      </c>
      <c r="EU46" s="191">
        <f>'Functional Levels Drone Survey'!EU46-'Existing Levels Drone Survey'!EU46</f>
        <v>0.49859375000005457</v>
      </c>
      <c r="EV46" s="278">
        <f>'Functional Levels Drone Survey'!EV46-'Existing Levels Drone Survey'!EV46</f>
        <v>0.50329375000001164</v>
      </c>
      <c r="EW46" s="191">
        <f>'Functional Levels Drone Survey'!EW46-'Existing Levels Drone Survey'!EW46</f>
        <v>0</v>
      </c>
      <c r="EX46" s="191">
        <f>'Functional Levels Drone Survey'!EX46-'Existing Levels Drone Survey'!EX46</f>
        <v>0</v>
      </c>
      <c r="EY46" s="191">
        <f>'Functional Levels Drone Survey'!EY46-'Existing Levels Drone Survey'!EY46</f>
        <v>0</v>
      </c>
    </row>
    <row r="47" spans="1:155" ht="45" customHeight="1" x14ac:dyDescent="0.45">
      <c r="A47" s="277">
        <v>230</v>
      </c>
      <c r="B47" s="278">
        <f>'Functional Levels Drone Survey'!B47-'Existing Levels Drone Survey'!B47</f>
        <v>-0.64999500000010357</v>
      </c>
      <c r="C47" s="191">
        <f>'Functional Levels Drone Survey'!C47-'Existing Levels Drone Survey'!C47</f>
        <v>-0.19969500000007656</v>
      </c>
      <c r="D47" s="191">
        <f>'Functional Levels Drone Survey'!D47-'Existing Levels Drone Survey'!D47</f>
        <v>-1.5595000000075743E-2</v>
      </c>
      <c r="E47" s="191">
        <f>'Functional Levels Drone Survey'!E47-'Existing Levels Drone Survey'!E47</f>
        <v>-3.1595000000095297E-2</v>
      </c>
      <c r="F47" s="279">
        <f>'Functional Levels Drone Survey'!F47-'Existing Levels Drone Survey'!F47</f>
        <v>6.9604999999910433E-2</v>
      </c>
      <c r="G47" s="191">
        <f>'Functional Levels Drone Survey'!G47-'Existing Levels Drone Survey'!G47</f>
        <v>6.6104999999936354E-2</v>
      </c>
      <c r="H47" s="191">
        <f>'Functional Levels Drone Survey'!H47-'Existing Levels Drone Survey'!H47</f>
        <v>5.5604999999957272E-2</v>
      </c>
      <c r="I47" s="191">
        <f>'Functional Levels Drone Survey'!I47-'Existing Levels Drone Survey'!I47</f>
        <v>3.6904999999933352E-2</v>
      </c>
      <c r="J47" s="191">
        <f>'Functional Levels Drone Survey'!J47-'Existing Levels Drone Survey'!J47</f>
        <v>4.3304999999918437E-2</v>
      </c>
      <c r="K47" s="191">
        <f>'Functional Levels Drone Survey'!K47-'Existing Levels Drone Survey'!K47</f>
        <v>1.5304999999955271E-2</v>
      </c>
      <c r="L47" s="191">
        <f>'Functional Levels Drone Survey'!L47-'Existing Levels Drone Survey'!L47</f>
        <v>-6.2950000000796535E-3</v>
      </c>
      <c r="M47" s="191">
        <f>'Functional Levels Drone Survey'!M47-'Existing Levels Drone Survey'!M47</f>
        <v>-1.3695000000041091E-2</v>
      </c>
      <c r="N47" s="191">
        <f>'Functional Levels Drone Survey'!N47-'Existing Levels Drone Survey'!N47</f>
        <v>4.6804999999949359E-2</v>
      </c>
      <c r="O47" s="191">
        <f>'Functional Levels Drone Survey'!O47-'Existing Levels Drone Survey'!O47</f>
        <v>3.7404999999921529E-2</v>
      </c>
      <c r="P47" s="191">
        <f>'Functional Levels Drone Survey'!P47-'Existing Levels Drone Survey'!P47</f>
        <v>3.0904999999961547E-2</v>
      </c>
      <c r="Q47" s="191">
        <f>'Functional Levels Drone Survey'!Q47-'Existing Levels Drone Survey'!Q47</f>
        <v>9.7904999999911979E-2</v>
      </c>
      <c r="R47" s="191">
        <f>'Functional Levels Drone Survey'!R47-'Existing Levels Drone Survey'!R47</f>
        <v>9.1104999999913616E-2</v>
      </c>
      <c r="S47" s="191">
        <f>'Functional Levels Drone Survey'!S47-'Existing Levels Drone Survey'!S47</f>
        <v>9.6004999999934171E-2</v>
      </c>
      <c r="T47" s="191">
        <f>'Functional Levels Drone Survey'!T47-'Existing Levels Drone Survey'!T47</f>
        <v>0.10210499999993772</v>
      </c>
      <c r="U47" s="279">
        <f>'Functional Levels Drone Survey'!U47-'Existing Levels Drone Survey'!U47</f>
        <v>0.10330499999992071</v>
      </c>
      <c r="V47" s="191">
        <f>'Functional Levels Drone Survey'!V47-'Existing Levels Drone Survey'!V47</f>
        <v>0.11350499999991825</v>
      </c>
      <c r="W47" s="191">
        <f>'Functional Levels Drone Survey'!W47-'Existing Levels Drone Survey'!W47</f>
        <v>0.11420499999991307</v>
      </c>
      <c r="X47" s="278">
        <f>'Functional Levels Drone Survey'!X47-'Existing Levels Drone Survey'!X47</f>
        <v>0.16140499999994518</v>
      </c>
      <c r="Y47" s="191">
        <f>'Functional Levels Drone Survey'!Y47-'Existing Levels Drone Survey'!Y47</f>
        <v>0</v>
      </c>
      <c r="Z47" s="191">
        <f>'Functional Levels Drone Survey'!Z47-'Existing Levels Drone Survey'!Z47</f>
        <v>0</v>
      </c>
      <c r="AA47" s="191">
        <f>'Functional Levels Drone Survey'!AA47-'Existing Levels Drone Survey'!AA47</f>
        <v>0</v>
      </c>
      <c r="AB47" s="191">
        <f>'Functional Levels Drone Survey'!AB47-'Existing Levels Drone Survey'!AB47</f>
        <v>0</v>
      </c>
      <c r="AC47" s="191">
        <f>'Functional Levels Drone Survey'!AC47-'Existing Levels Drone Survey'!AC47</f>
        <v>0</v>
      </c>
      <c r="AD47" s="191">
        <f>'Functional Levels Drone Survey'!AD47-'Existing Levels Drone Survey'!AD47</f>
        <v>0</v>
      </c>
      <c r="AE47" s="191">
        <f>'Functional Levels Drone Survey'!AE47-'Existing Levels Drone Survey'!AE47</f>
        <v>0</v>
      </c>
      <c r="AF47" s="191">
        <f>'Functional Levels Drone Survey'!AF47-'Existing Levels Drone Survey'!AF47</f>
        <v>0</v>
      </c>
      <c r="AG47" s="191">
        <f>'Functional Levels Drone Survey'!AG47-'Existing Levels Drone Survey'!AG47</f>
        <v>0</v>
      </c>
      <c r="AH47" s="191">
        <f>'Functional Levels Drone Survey'!AH47-'Existing Levels Drone Survey'!AH47</f>
        <v>0</v>
      </c>
      <c r="AI47" s="191">
        <f>'Functional Levels Drone Survey'!AI47-'Existing Levels Drone Survey'!AI47</f>
        <v>0</v>
      </c>
      <c r="AJ47" s="191">
        <f>'Functional Levels Drone Survey'!AJ47-'Existing Levels Drone Survey'!AJ47</f>
        <v>0</v>
      </c>
      <c r="AK47" s="191">
        <f>'Functional Levels Drone Survey'!AK47-'Existing Levels Drone Survey'!AK47</f>
        <v>0</v>
      </c>
      <c r="AL47" s="191">
        <f>'Functional Levels Drone Survey'!AL47-'Existing Levels Drone Survey'!AL47</f>
        <v>0</v>
      </c>
      <c r="AM47" s="191">
        <f>'Functional Levels Drone Survey'!AM47-'Existing Levels Drone Survey'!AM47</f>
        <v>0</v>
      </c>
      <c r="AN47" s="191">
        <f>'Functional Levels Drone Survey'!AN47-'Existing Levels Drone Survey'!AN47</f>
        <v>0</v>
      </c>
      <c r="AO47" s="191">
        <f>'Functional Levels Drone Survey'!AO47-'Existing Levels Drone Survey'!AO47</f>
        <v>0</v>
      </c>
      <c r="AP47" s="191">
        <f>'Functional Levels Drone Survey'!AP47-'Existing Levels Drone Survey'!AP47</f>
        <v>0</v>
      </c>
      <c r="AQ47" s="191">
        <f>'Functional Levels Drone Survey'!AQ47-'Existing Levels Drone Survey'!AQ47</f>
        <v>0</v>
      </c>
      <c r="AR47" s="191">
        <f>'Functional Levels Drone Survey'!AR47-'Existing Levels Drone Survey'!AR47</f>
        <v>0</v>
      </c>
      <c r="AS47" s="191">
        <f>'Functional Levels Drone Survey'!AS47-'Existing Levels Drone Survey'!AS47</f>
        <v>0</v>
      </c>
      <c r="AT47" s="191">
        <f>'Functional Levels Drone Survey'!AT47-'Existing Levels Drone Survey'!AT47</f>
        <v>0</v>
      </c>
      <c r="AU47" s="191">
        <f>'Functional Levels Drone Survey'!AU47-'Existing Levels Drone Survey'!AU47</f>
        <v>0</v>
      </c>
      <c r="AV47" s="191">
        <f>'Functional Levels Drone Survey'!AV47-'Existing Levels Drone Survey'!AV47</f>
        <v>0</v>
      </c>
      <c r="AW47" s="191">
        <f>'Functional Levels Drone Survey'!AW47-'Existing Levels Drone Survey'!AW47</f>
        <v>0</v>
      </c>
      <c r="AX47" s="191">
        <f>'Functional Levels Drone Survey'!AX47-'Existing Levels Drone Survey'!AX47</f>
        <v>0</v>
      </c>
      <c r="AY47" s="191">
        <f>'Functional Levels Drone Survey'!AY47-'Existing Levels Drone Survey'!AY47</f>
        <v>0</v>
      </c>
      <c r="AZ47" s="278">
        <f>'Functional Levels Drone Survey'!AZ47-'Existing Levels Drone Survey'!AZ47</f>
        <v>-2.7361904762017275E-2</v>
      </c>
      <c r="BA47" s="191">
        <f>'Functional Levels Drone Survey'!BA47-'Existing Levels Drone Survey'!BA47</f>
        <v>-0.13916190476203383</v>
      </c>
      <c r="BB47" s="191">
        <f>'Functional Levels Drone Survey'!BB47-'Existing Levels Drone Survey'!BB47</f>
        <v>-0.14046190476204856</v>
      </c>
      <c r="BC47" s="191">
        <f>'Functional Levels Drone Survey'!BC47-'Existing Levels Drone Survey'!BC47</f>
        <v>-0.11956190476200845</v>
      </c>
      <c r="BD47" s="191">
        <f>'Functional Levels Drone Survey'!BD47-'Existing Levels Drone Survey'!BD47</f>
        <v>-0.12196190476203128</v>
      </c>
      <c r="BE47" s="191">
        <f>'Functional Levels Drone Survey'!BE47-'Existing Levels Drone Survey'!BE47</f>
        <v>-0.10116190476202291</v>
      </c>
      <c r="BF47" s="279">
        <f>'Functional Levels Drone Survey'!BF47-'Existing Levels Drone Survey'!BF47</f>
        <v>-6.2161904762035647E-2</v>
      </c>
      <c r="BG47" s="191">
        <f>'Functional Levels Drone Survey'!BG47-'Existing Levels Drone Survey'!BG47</f>
        <v>3.3038095237998277E-2</v>
      </c>
      <c r="BH47" s="191">
        <f>'Functional Levels Drone Survey'!BH47-'Existing Levels Drone Survey'!BH47</f>
        <v>-0.10716190476199472</v>
      </c>
      <c r="BI47" s="191">
        <f>'Functional Levels Drone Survey'!BI47-'Existing Levels Drone Survey'!BI47</f>
        <v>6.7238095237996731E-2</v>
      </c>
      <c r="BJ47" s="191">
        <f>'Functional Levels Drone Survey'!BJ47-'Existing Levels Drone Survey'!BJ47</f>
        <v>-9.0461904762037193E-2</v>
      </c>
      <c r="BK47" s="191">
        <f>'Functional Levels Drone Survey'!BK47-'Existing Levels Drone Survey'!BK47</f>
        <v>-2.4761904761987807E-2</v>
      </c>
      <c r="BL47" s="191">
        <f>'Functional Levels Drone Survey'!BL47-'Existing Levels Drone Survey'!BL47</f>
        <v>-8.8261904762021004E-2</v>
      </c>
      <c r="BM47" s="191">
        <f>'Functional Levels Drone Survey'!BM47-'Existing Levels Drone Survey'!BM47</f>
        <v>-9.6161904762027461E-2</v>
      </c>
      <c r="BN47" s="191">
        <f>'Functional Levels Drone Survey'!BN47-'Existing Levels Drone Survey'!BN47</f>
        <v>-0.12996190476201264</v>
      </c>
      <c r="BO47" s="191">
        <f>'Functional Levels Drone Survey'!BO47-'Existing Levels Drone Survey'!BO47</f>
        <v>-0.1286619047619979</v>
      </c>
      <c r="BP47" s="191">
        <f>'Functional Levels Drone Survey'!BP47-'Existing Levels Drone Survey'!BP47</f>
        <v>-0.12726190476200827</v>
      </c>
      <c r="BQ47" s="191">
        <f>'Functional Levels Drone Survey'!BQ47-'Existing Levels Drone Survey'!BQ47</f>
        <v>6.2380952379612609E-3</v>
      </c>
      <c r="BR47" s="191">
        <f>'Functional Levels Drone Survey'!BR47-'Existing Levels Drone Survey'!BR47</f>
        <v>0.26693809523800383</v>
      </c>
      <c r="BS47" s="191">
        <f>'Functional Levels Drone Survey'!BS47-'Existing Levels Drone Survey'!BS47</f>
        <v>0.28053809523800055</v>
      </c>
      <c r="BT47" s="191">
        <f>'Functional Levels Drone Survey'!BT47-'Existing Levels Drone Survey'!BT47</f>
        <v>0.1051380952379759</v>
      </c>
      <c r="BU47" s="191">
        <f>'Functional Levels Drone Survey'!BU47-'Existing Levels Drone Survey'!BU47</f>
        <v>-3.1661904762017912E-2</v>
      </c>
      <c r="BV47" s="191">
        <f>'Functional Levels Drone Survey'!BV47-'Existing Levels Drone Survey'!BV47</f>
        <v>-7.4961904762005815E-2</v>
      </c>
      <c r="BW47" s="191">
        <f>'Functional Levels Drone Survey'!BW47-'Existing Levels Drone Survey'!BW47</f>
        <v>5.5038095237989637E-2</v>
      </c>
      <c r="BX47" s="191">
        <f>'Functional Levels Drone Survey'!BX47-'Existing Levels Drone Survey'!BX47</f>
        <v>9.4938095237978359E-2</v>
      </c>
      <c r="BY47" s="191">
        <f>'Functional Levels Drone Survey'!BY47-'Existing Levels Drone Survey'!BY47</f>
        <v>0.14213809523801046</v>
      </c>
      <c r="BZ47" s="279">
        <f>'Functional Levels Drone Survey'!BZ47-'Existing Levels Drone Survey'!BZ47</f>
        <v>0.18893809523797245</v>
      </c>
      <c r="CA47" s="191">
        <f>'Functional Levels Drone Survey'!CA47-'Existing Levels Drone Survey'!CA47</f>
        <v>-1.8395238095308741E-2</v>
      </c>
      <c r="CB47" s="191">
        <f>'Functional Levels Drone Survey'!CB47-'Existing Levels Drone Survey'!CB47</f>
        <v>-2.1595238095301283E-2</v>
      </c>
      <c r="CC47" s="279">
        <f>'Functional Levels Drone Survey'!CC47-'Existing Levels Drone Survey'!CC47</f>
        <v>7.6004761904698626E-2</v>
      </c>
      <c r="CD47" s="191">
        <f>'Functional Levels Drone Survey'!CD47-'Existing Levels Drone Survey'!CD47</f>
        <v>0.20470476190467934</v>
      </c>
      <c r="CE47" s="191">
        <f>'Functional Levels Drone Survey'!CE47-'Existing Levels Drone Survey'!CE47</f>
        <v>0.15650476190472773</v>
      </c>
      <c r="CF47" s="191">
        <f>'Functional Levels Drone Survey'!CF47-'Existing Levels Drone Survey'!CF47</f>
        <v>0.1723047619046838</v>
      </c>
      <c r="CG47" s="191">
        <f>'Functional Levels Drone Survey'!CG47-'Existing Levels Drone Survey'!CG47</f>
        <v>0.24790476190469235</v>
      </c>
      <c r="CH47" s="191">
        <f>'Functional Levels Drone Survey'!CH47-'Existing Levels Drone Survey'!CH47</f>
        <v>0.24270476190469026</v>
      </c>
      <c r="CI47" s="191">
        <f>'Functional Levels Drone Survey'!CI47-'Existing Levels Drone Survey'!CI47</f>
        <v>0.2751047619046858</v>
      </c>
      <c r="CJ47" s="191">
        <f>'Functional Levels Drone Survey'!CJ47-'Existing Levels Drone Survey'!CJ47</f>
        <v>0.33530476190469471</v>
      </c>
      <c r="CK47" s="191">
        <f>'Functional Levels Drone Survey'!CK47-'Existing Levels Drone Survey'!CK47</f>
        <v>9.3904761904695988E-2</v>
      </c>
      <c r="CL47" s="191">
        <f>'Functional Levels Drone Survey'!CL47-'Existing Levels Drone Survey'!CL47</f>
        <v>0.12160476190467762</v>
      </c>
      <c r="CM47" s="191">
        <f>'Functional Levels Drone Survey'!CM47-'Existing Levels Drone Survey'!CM47</f>
        <v>0.25710476190471354</v>
      </c>
      <c r="CN47" s="191">
        <f>'Functional Levels Drone Survey'!CN47-'Existing Levels Drone Survey'!CN47</f>
        <v>7.9704761904679344E-2</v>
      </c>
      <c r="CO47" s="191">
        <f>'Functional Levels Drone Survey'!CO47-'Existing Levels Drone Survey'!CO47</f>
        <v>9.4047619047046283E-3</v>
      </c>
      <c r="CP47" s="191">
        <f>'Functional Levels Drone Survey'!CP47-'Existing Levels Drone Survey'!CP47</f>
        <v>0.15770476190471072</v>
      </c>
      <c r="CQ47" s="191">
        <f>'Functional Levels Drone Survey'!CQ47-'Existing Levels Drone Survey'!CQ47</f>
        <v>-0.14189523809528737</v>
      </c>
      <c r="CR47" s="191">
        <f>'Functional Levels Drone Survey'!CR47-'Existing Levels Drone Survey'!CR47</f>
        <v>-0.24059523809529537</v>
      </c>
      <c r="CS47" s="191">
        <f>'Functional Levels Drone Survey'!CS47-'Existing Levels Drone Survey'!CS47</f>
        <v>-0.11069523809527482</v>
      </c>
      <c r="CT47" s="191">
        <f>'Functional Levels Drone Survey'!CT47-'Existing Levels Drone Survey'!CT47</f>
        <v>-0.10579523809531111</v>
      </c>
      <c r="CU47" s="191">
        <f>'Functional Levels Drone Survey'!CU47-'Existing Levels Drone Survey'!CU47</f>
        <v>0.14470476190467707</v>
      </c>
      <c r="CV47" s="191">
        <f>'Functional Levels Drone Survey'!CV47-'Existing Levels Drone Survey'!CV47</f>
        <v>0.45340476190472145</v>
      </c>
      <c r="CW47" s="279">
        <f>'Functional Levels Drone Survey'!CW47-'Existing Levels Drone Survey'!CW47</f>
        <v>0.30170476190471618</v>
      </c>
      <c r="CX47" s="191">
        <f>'Functional Levels Drone Survey'!CX47-'Existing Levels Drone Survey'!CX47</f>
        <v>5.8066666666547917E-2</v>
      </c>
      <c r="CY47" s="279">
        <f>'Functional Levels Drone Survey'!CY47-'Existing Levels Drone Survey'!CY47</f>
        <v>0.15996666666654846</v>
      </c>
      <c r="CZ47" s="191">
        <f>'Functional Levels Drone Survey'!CZ47-'Existing Levels Drone Survey'!CZ47</f>
        <v>9.2066666666539732E-2</v>
      </c>
      <c r="DA47" s="191">
        <f>'Functional Levels Drone Survey'!DA47-'Existing Levels Drone Survey'!DA47</f>
        <v>1.6666666653009088E-4</v>
      </c>
      <c r="DB47" s="191">
        <f>'Functional Levels Drone Survey'!DB47-'Existing Levels Drone Survey'!DB47</f>
        <v>-1.1833333333470364E-2</v>
      </c>
      <c r="DC47" s="191">
        <f>'Functional Levels Drone Survey'!DC47-'Existing Levels Drone Survey'!DC47</f>
        <v>1.3666666666551919E-2</v>
      </c>
      <c r="DD47" s="191">
        <f>'Functional Levels Drone Survey'!DD47-'Existing Levels Drone Survey'!DD47</f>
        <v>1.8066666666527453E-2</v>
      </c>
      <c r="DE47" s="191">
        <f>'Functional Levels Drone Survey'!DE47-'Existing Levels Drone Survey'!DE47</f>
        <v>6.0966666666558922E-2</v>
      </c>
      <c r="DF47" s="191">
        <f>'Functional Levels Drone Survey'!DF47-'Existing Levels Drone Survey'!DF47</f>
        <v>3.1166666666536003E-2</v>
      </c>
      <c r="DG47" s="191">
        <f>'Functional Levels Drone Survey'!DG47-'Existing Levels Drone Survey'!DG47</f>
        <v>0.15756666666652563</v>
      </c>
      <c r="DH47" s="191">
        <f>'Functional Levels Drone Survey'!DH47-'Existing Levels Drone Survey'!DH47</f>
        <v>-2.9433333333429346E-2</v>
      </c>
      <c r="DI47" s="191">
        <f>'Functional Levels Drone Survey'!DI47-'Existing Levels Drone Survey'!DI47</f>
        <v>-0.18473333333344044</v>
      </c>
      <c r="DJ47" s="191">
        <f>'Functional Levels Drone Survey'!DJ47-'Existing Levels Drone Survey'!DJ47</f>
        <v>-0.15883333333346172</v>
      </c>
      <c r="DK47" s="191">
        <f>'Functional Levels Drone Survey'!DK47-'Existing Levels Drone Survey'!DK47</f>
        <v>-2.4833333333447172E-2</v>
      </c>
      <c r="DL47" s="191">
        <f>'Functional Levels Drone Survey'!DL47-'Existing Levels Drone Survey'!DL47</f>
        <v>-0.1996333333334519</v>
      </c>
      <c r="DM47" s="191">
        <f>'Functional Levels Drone Survey'!DM47-'Existing Levels Drone Survey'!DM47</f>
        <v>5.576666666655683E-2</v>
      </c>
      <c r="DN47" s="191">
        <f>'Functional Levels Drone Survey'!DN47-'Existing Levels Drone Survey'!DN47</f>
        <v>0.39576666666653182</v>
      </c>
      <c r="DO47" s="191">
        <f>'Functional Levels Drone Survey'!DO47-'Existing Levels Drone Survey'!DO47</f>
        <v>0.26876666666652227</v>
      </c>
      <c r="DP47" s="191">
        <f>'Functional Levels Drone Survey'!DP47-'Existing Levels Drone Survey'!DP47</f>
        <v>0.23686666666657175</v>
      </c>
      <c r="DQ47" s="191">
        <f>'Functional Levels Drone Survey'!DQ47-'Existing Levels Drone Survey'!DQ47</f>
        <v>0.21916666666652418</v>
      </c>
      <c r="DR47" s="191">
        <f>'Functional Levels Drone Survey'!DR47-'Existing Levels Drone Survey'!DR47</f>
        <v>-0.24143333333347528</v>
      </c>
      <c r="DS47" s="279">
        <f>'Functional Levels Drone Survey'!DS47-'Existing Levels Drone Survey'!DS47</f>
        <v>-0.25473333333343362</v>
      </c>
      <c r="DT47" s="191">
        <f>'Functional Levels Drone Survey'!DT47-'Existing Levels Drone Survey'!DT47</f>
        <v>-0.18413333333347737</v>
      </c>
      <c r="DU47" s="191">
        <f>'Functional Levels Drone Survey'!DU47-'Existing Levels Drone Survey'!DU47</f>
        <v>0.44606666666652472</v>
      </c>
      <c r="DV47" s="279">
        <f>'Functional Levels Drone Survey'!DV47-'Existing Levels Drone Survey'!DV47</f>
        <v>9.1793750000022101E-2</v>
      </c>
      <c r="DW47" s="191">
        <f>'Functional Levels Drone Survey'!DW47-'Existing Levels Drone Survey'!DW47</f>
        <v>0.15819375000000946</v>
      </c>
      <c r="DX47" s="191">
        <f>'Functional Levels Drone Survey'!DX47-'Existing Levels Drone Survey'!DX47</f>
        <v>0.22129375000002938</v>
      </c>
      <c r="DY47" s="191">
        <f>'Functional Levels Drone Survey'!DY47-'Existing Levels Drone Survey'!DY47</f>
        <v>0.18079375000002074</v>
      </c>
      <c r="DZ47" s="191">
        <f>'Functional Levels Drone Survey'!DZ47-'Existing Levels Drone Survey'!DZ47</f>
        <v>8.089375000002974E-2</v>
      </c>
      <c r="EA47" s="191">
        <f>'Functional Levels Drone Survey'!EA47-'Existing Levels Drone Survey'!EA47</f>
        <v>0.19969374999999445</v>
      </c>
      <c r="EB47" s="191">
        <f>'Functional Levels Drone Survey'!EB47-'Existing Levels Drone Survey'!EB47</f>
        <v>0.27559374999998454</v>
      </c>
      <c r="EC47" s="191">
        <f>'Functional Levels Drone Survey'!EC47-'Existing Levels Drone Survey'!EC47</f>
        <v>-1.2006250000013097E-2</v>
      </c>
      <c r="ED47" s="191">
        <f>'Functional Levels Drone Survey'!ED47-'Existing Levels Drone Survey'!ED47</f>
        <v>-6.4062499999977263E-3</v>
      </c>
      <c r="EE47" s="191">
        <f>'Functional Levels Drone Survey'!EE47-'Existing Levels Drone Survey'!EE47</f>
        <v>0.18179374999999709</v>
      </c>
      <c r="EF47" s="191">
        <f>'Functional Levels Drone Survey'!EF47-'Existing Levels Drone Survey'!EF47</f>
        <v>0.14679375000002892</v>
      </c>
      <c r="EG47" s="191">
        <f>'Functional Levels Drone Survey'!EG47-'Existing Levels Drone Survey'!EG47</f>
        <v>0.13689375000001291</v>
      </c>
      <c r="EH47" s="191">
        <f>'Functional Levels Drone Survey'!EH47-'Existing Levels Drone Survey'!EH47</f>
        <v>0.11669375000002447</v>
      </c>
      <c r="EI47" s="191">
        <f>'Functional Levels Drone Survey'!EI47-'Existing Levels Drone Survey'!EI47</f>
        <v>0.1170937499999809</v>
      </c>
      <c r="EJ47" s="191">
        <f>'Functional Levels Drone Survey'!EJ47-'Existing Levels Drone Survey'!EJ47</f>
        <v>-5.4306250000024647E-2</v>
      </c>
      <c r="EK47" s="279">
        <f>'Functional Levels Drone Survey'!EK47-'Existing Levels Drone Survey'!EK47</f>
        <v>0.17759375000002819</v>
      </c>
      <c r="EL47" s="191">
        <f>'Functional Levels Drone Survey'!EL47-'Existing Levels Drone Survey'!EL47</f>
        <v>-3.500624999998081E-2</v>
      </c>
      <c r="EM47" s="191">
        <f>'Functional Levels Drone Survey'!EM47-'Existing Levels Drone Survey'!EM47</f>
        <v>5.909375000004502E-2</v>
      </c>
      <c r="EN47" s="191">
        <f>'Functional Levels Drone Survey'!EN47-'Existing Levels Drone Survey'!EN47</f>
        <v>0.31339375000004566</v>
      </c>
      <c r="EO47" s="191">
        <f>'Functional Levels Drone Survey'!EO47-'Existing Levels Drone Survey'!EO47</f>
        <v>0.19689375000001519</v>
      </c>
      <c r="EP47" s="191">
        <f>'Functional Levels Drone Survey'!EP47-'Existing Levels Drone Survey'!EP47</f>
        <v>-8.5506249999980355E-2</v>
      </c>
      <c r="EQ47" s="191">
        <f>'Functional Levels Drone Survey'!EQ47-'Existing Levels Drone Survey'!EQ47</f>
        <v>9.9693750000028558E-2</v>
      </c>
      <c r="ER47" s="191">
        <f>'Functional Levels Drone Survey'!ER47-'Existing Levels Drone Survey'!ER47</f>
        <v>0.35799375000004829</v>
      </c>
      <c r="ES47" s="191">
        <f>'Functional Levels Drone Survey'!ES47-'Existing Levels Drone Survey'!ES47</f>
        <v>0.27969375000003538</v>
      </c>
      <c r="ET47" s="191">
        <f>'Functional Levels Drone Survey'!ET47-'Existing Levels Drone Survey'!ET47</f>
        <v>0.48729375000004893</v>
      </c>
      <c r="EU47" s="191">
        <f>'Functional Levels Drone Survey'!EU47-'Existing Levels Drone Survey'!EU47</f>
        <v>0.49139375000004293</v>
      </c>
      <c r="EV47" s="278">
        <f>'Functional Levels Drone Survey'!EV47-'Existing Levels Drone Survey'!EV47</f>
        <v>0.50159375000004047</v>
      </c>
      <c r="EW47" s="191">
        <f>'Functional Levels Drone Survey'!EW47-'Existing Levels Drone Survey'!EW47</f>
        <v>0</v>
      </c>
      <c r="EX47" s="191">
        <f>'Functional Levels Drone Survey'!EX47-'Existing Levels Drone Survey'!EX47</f>
        <v>0</v>
      </c>
      <c r="EY47" s="191">
        <f>'Functional Levels Drone Survey'!EY47-'Existing Levels Drone Survey'!EY47</f>
        <v>0</v>
      </c>
    </row>
    <row r="48" spans="1:155" ht="45" customHeight="1" x14ac:dyDescent="0.45">
      <c r="A48" s="277">
        <v>235</v>
      </c>
      <c r="B48" s="191">
        <f>'Functional Levels Drone Survey'!B48-'Existing Levels Drone Survey'!B48</f>
        <v>0</v>
      </c>
      <c r="C48" s="278">
        <f>'Functional Levels Drone Survey'!C48-'Existing Levels Drone Survey'!C48</f>
        <v>-8.7195000000065193E-2</v>
      </c>
      <c r="D48" s="191">
        <f>'Functional Levels Drone Survey'!D48-'Existing Levels Drone Survey'!D48</f>
        <v>5.2604999999914526E-2</v>
      </c>
      <c r="E48" s="191">
        <f>'Functional Levels Drone Survey'!E48-'Existing Levels Drone Survey'!E48</f>
        <v>3.3404999999902429E-2</v>
      </c>
      <c r="F48" s="279">
        <f>'Functional Levels Drone Survey'!F48-'Existing Levels Drone Survey'!F48</f>
        <v>0.13080499999995254</v>
      </c>
      <c r="G48" s="191">
        <f>'Functional Levels Drone Survey'!G48-'Existing Levels Drone Survey'!G48</f>
        <v>0.15100499999994099</v>
      </c>
      <c r="H48" s="191">
        <f>'Functional Levels Drone Survey'!H48-'Existing Levels Drone Survey'!H48</f>
        <v>0.12870499999996809</v>
      </c>
      <c r="I48" s="191">
        <f>'Functional Levels Drone Survey'!I48-'Existing Levels Drone Survey'!I48</f>
        <v>0.11100499999992053</v>
      </c>
      <c r="J48" s="191">
        <f>'Functional Levels Drone Survey'!J48-'Existing Levels Drone Survey'!J48</f>
        <v>0.14080499999994345</v>
      </c>
      <c r="K48" s="191">
        <f>'Functional Levels Drone Survey'!K48-'Existing Levels Drone Survey'!K48</f>
        <v>0.12740499999995336</v>
      </c>
      <c r="L48" s="191">
        <f>'Functional Levels Drone Survey'!L48-'Existing Levels Drone Survey'!L48</f>
        <v>0.11020499999995081</v>
      </c>
      <c r="M48" s="191">
        <f>'Functional Levels Drone Survey'!M48-'Existing Levels Drone Survey'!M48</f>
        <v>8.7904999999921074E-2</v>
      </c>
      <c r="N48" s="191">
        <f>'Functional Levels Drone Survey'!N48-'Existing Levels Drone Survey'!N48</f>
        <v>8.8804999999922529E-2</v>
      </c>
      <c r="O48" s="191">
        <f>'Functional Levels Drone Survey'!O48-'Existing Levels Drone Survey'!O48</f>
        <v>0.11400499999996327</v>
      </c>
      <c r="P48" s="191">
        <f>'Functional Levels Drone Survey'!P48-'Existing Levels Drone Survey'!P48</f>
        <v>0.1377049999999258</v>
      </c>
      <c r="Q48" s="191">
        <f>'Functional Levels Drone Survey'!Q48-'Existing Levels Drone Survey'!Q48</f>
        <v>0.15670499999993126</v>
      </c>
      <c r="R48" s="191">
        <f>'Functional Levels Drone Survey'!R48-'Existing Levels Drone Survey'!R48</f>
        <v>0.17010499999992135</v>
      </c>
      <c r="S48" s="191">
        <f>'Functional Levels Drone Survey'!S48-'Existing Levels Drone Survey'!S48</f>
        <v>0.17680499999994481</v>
      </c>
      <c r="T48" s="191">
        <f>'Functional Levels Drone Survey'!T48-'Existing Levels Drone Survey'!T48</f>
        <v>0.19620499999996355</v>
      </c>
      <c r="U48" s="279">
        <f>'Functional Levels Drone Survey'!U48-'Existing Levels Drone Survey'!U48</f>
        <v>0.18170499999996537</v>
      </c>
      <c r="V48" s="191">
        <f>'Functional Levels Drone Survey'!V48-'Existing Levels Drone Survey'!V48</f>
        <v>0.17010499999992135</v>
      </c>
      <c r="W48" s="191">
        <f>'Functional Levels Drone Survey'!W48-'Existing Levels Drone Survey'!W48</f>
        <v>0.21630499999992026</v>
      </c>
      <c r="X48" s="191">
        <f>'Functional Levels Drone Survey'!X48-'Existing Levels Drone Survey'!X48</f>
        <v>0.24040499999995291</v>
      </c>
      <c r="Y48" s="278">
        <f>'Functional Levels Drone Survey'!Y48-'Existing Levels Drone Survey'!Y48</f>
        <v>-0.29199500000004264</v>
      </c>
      <c r="Z48" s="191">
        <f>'Functional Levels Drone Survey'!Z48-'Existing Levels Drone Survey'!Z48</f>
        <v>0</v>
      </c>
      <c r="AA48" s="191">
        <f>'Functional Levels Drone Survey'!AA48-'Existing Levels Drone Survey'!AA48</f>
        <v>0</v>
      </c>
      <c r="AB48" s="191">
        <f>'Functional Levels Drone Survey'!AB48-'Existing Levels Drone Survey'!AB48</f>
        <v>0</v>
      </c>
      <c r="AC48" s="191">
        <f>'Functional Levels Drone Survey'!AC48-'Existing Levels Drone Survey'!AC48</f>
        <v>0</v>
      </c>
      <c r="AD48" s="191">
        <f>'Functional Levels Drone Survey'!AD48-'Existing Levels Drone Survey'!AD48</f>
        <v>0</v>
      </c>
      <c r="AE48" s="191">
        <f>'Functional Levels Drone Survey'!AE48-'Existing Levels Drone Survey'!AE48</f>
        <v>0</v>
      </c>
      <c r="AF48" s="191">
        <f>'Functional Levels Drone Survey'!AF48-'Existing Levels Drone Survey'!AF48</f>
        <v>0</v>
      </c>
      <c r="AG48" s="191">
        <f>'Functional Levels Drone Survey'!AG48-'Existing Levels Drone Survey'!AG48</f>
        <v>0</v>
      </c>
      <c r="AH48" s="191">
        <f>'Functional Levels Drone Survey'!AH48-'Existing Levels Drone Survey'!AH48</f>
        <v>0</v>
      </c>
      <c r="AI48" s="191">
        <f>'Functional Levels Drone Survey'!AI48-'Existing Levels Drone Survey'!AI48</f>
        <v>0</v>
      </c>
      <c r="AJ48" s="191">
        <f>'Functional Levels Drone Survey'!AJ48-'Existing Levels Drone Survey'!AJ48</f>
        <v>0</v>
      </c>
      <c r="AK48" s="191">
        <f>'Functional Levels Drone Survey'!AK48-'Existing Levels Drone Survey'!AK48</f>
        <v>0</v>
      </c>
      <c r="AL48" s="191">
        <f>'Functional Levels Drone Survey'!AL48-'Existing Levels Drone Survey'!AL48</f>
        <v>0</v>
      </c>
      <c r="AM48" s="191">
        <f>'Functional Levels Drone Survey'!AM48-'Existing Levels Drone Survey'!AM48</f>
        <v>0</v>
      </c>
      <c r="AN48" s="191">
        <f>'Functional Levels Drone Survey'!AN48-'Existing Levels Drone Survey'!AN48</f>
        <v>0</v>
      </c>
      <c r="AO48" s="191">
        <f>'Functional Levels Drone Survey'!AO48-'Existing Levels Drone Survey'!AO48</f>
        <v>0</v>
      </c>
      <c r="AP48" s="191">
        <f>'Functional Levels Drone Survey'!AP48-'Existing Levels Drone Survey'!AP48</f>
        <v>0</v>
      </c>
      <c r="AQ48" s="191">
        <f>'Functional Levels Drone Survey'!AQ48-'Existing Levels Drone Survey'!AQ48</f>
        <v>0</v>
      </c>
      <c r="AR48" s="191">
        <f>'Functional Levels Drone Survey'!AR48-'Existing Levels Drone Survey'!AR48</f>
        <v>0</v>
      </c>
      <c r="AS48" s="191">
        <f>'Functional Levels Drone Survey'!AS48-'Existing Levels Drone Survey'!AS48</f>
        <v>0</v>
      </c>
      <c r="AT48" s="191">
        <f>'Functional Levels Drone Survey'!AT48-'Existing Levels Drone Survey'!AT48</f>
        <v>0</v>
      </c>
      <c r="AU48" s="191">
        <f>'Functional Levels Drone Survey'!AU48-'Existing Levels Drone Survey'!AU48</f>
        <v>0</v>
      </c>
      <c r="AV48" s="191">
        <f>'Functional Levels Drone Survey'!AV48-'Existing Levels Drone Survey'!AV48</f>
        <v>0</v>
      </c>
      <c r="AW48" s="191">
        <f>'Functional Levels Drone Survey'!AW48-'Existing Levels Drone Survey'!AW48</f>
        <v>0</v>
      </c>
      <c r="AX48" s="191">
        <f>'Functional Levels Drone Survey'!AX48-'Existing Levels Drone Survey'!AX48</f>
        <v>0</v>
      </c>
      <c r="AY48" s="191">
        <f>'Functional Levels Drone Survey'!AY48-'Existing Levels Drone Survey'!AY48</f>
        <v>0</v>
      </c>
      <c r="AZ48" s="278">
        <f>'Functional Levels Drone Survey'!AZ48-'Existing Levels Drone Survey'!AZ48</f>
        <v>2.0238095237971265E-2</v>
      </c>
      <c r="BA48" s="191">
        <f>'Functional Levels Drone Survey'!BA48-'Existing Levels Drone Survey'!BA48</f>
        <v>-0.47046190476203265</v>
      </c>
      <c r="BB48" s="191">
        <f>'Functional Levels Drone Survey'!BB48-'Existing Levels Drone Survey'!BB48</f>
        <v>-5.1261904761986443E-2</v>
      </c>
      <c r="BC48" s="191">
        <f>'Functional Levels Drone Survey'!BC48-'Existing Levels Drone Survey'!BC48</f>
        <v>0.11093809523799791</v>
      </c>
      <c r="BD48" s="191">
        <f>'Functional Levels Drone Survey'!BD48-'Existing Levels Drone Survey'!BD48</f>
        <v>0.14043809523798245</v>
      </c>
      <c r="BE48" s="191">
        <f>'Functional Levels Drone Survey'!BE48-'Existing Levels Drone Survey'!BE48</f>
        <v>-0.11326190476199827</v>
      </c>
      <c r="BF48" s="279">
        <f>'Functional Levels Drone Survey'!BF48-'Existing Levels Drone Survey'!BF48</f>
        <v>-0.21536190476200545</v>
      </c>
      <c r="BG48" s="191">
        <f>'Functional Levels Drone Survey'!BG48-'Existing Levels Drone Survey'!BG48</f>
        <v>-0.1921619047620311</v>
      </c>
      <c r="BH48" s="191">
        <f>'Functional Levels Drone Survey'!BH48-'Existing Levels Drone Survey'!BH48</f>
        <v>-4.4161904762006543E-2</v>
      </c>
      <c r="BI48" s="191">
        <f>'Functional Levels Drone Survey'!BI48-'Existing Levels Drone Survey'!BI48</f>
        <v>-8.9461904762003996E-2</v>
      </c>
      <c r="BJ48" s="191">
        <f>'Functional Levels Drone Survey'!BJ48-'Existing Levels Drone Survey'!BJ48</f>
        <v>-0.111661904762002</v>
      </c>
      <c r="BK48" s="191">
        <f>'Functional Levels Drone Survey'!BK48-'Existing Levels Drone Survey'!BK48</f>
        <v>1.4738095237987636E-2</v>
      </c>
      <c r="BL48" s="191">
        <f>'Functional Levels Drone Survey'!BL48-'Existing Levels Drone Survey'!BL48</f>
        <v>2.8438095238016103E-2</v>
      </c>
      <c r="BM48" s="191">
        <f>'Functional Levels Drone Survey'!BM48-'Existing Levels Drone Survey'!BM48</f>
        <v>-3.9261904761985988E-2</v>
      </c>
      <c r="BN48" s="191">
        <f>'Functional Levels Drone Survey'!BN48-'Existing Levels Drone Survey'!BN48</f>
        <v>3.1438095238002006E-2</v>
      </c>
      <c r="BO48" s="191">
        <f>'Functional Levels Drone Survey'!BO48-'Existing Levels Drone Survey'!BO48</f>
        <v>4.6738095237969901E-2</v>
      </c>
      <c r="BP48" s="191">
        <f>'Functional Levels Drone Survey'!BP48-'Existing Levels Drone Survey'!BP48</f>
        <v>6.6538095238001915E-2</v>
      </c>
      <c r="BQ48" s="191">
        <f>'Functional Levels Drone Survey'!BQ48-'Existing Levels Drone Survey'!BQ48</f>
        <v>0.15243809523798291</v>
      </c>
      <c r="BR48" s="191">
        <f>'Functional Levels Drone Survey'!BR48-'Existing Levels Drone Survey'!BR48</f>
        <v>0.12103809523802056</v>
      </c>
      <c r="BS48" s="191">
        <f>'Functional Levels Drone Survey'!BS48-'Existing Levels Drone Survey'!BS48</f>
        <v>0.31803809523802329</v>
      </c>
      <c r="BT48" s="191">
        <f>'Functional Levels Drone Survey'!BT48-'Existing Levels Drone Survey'!BT48</f>
        <v>0.10303809523799146</v>
      </c>
      <c r="BU48" s="191">
        <f>'Functional Levels Drone Survey'!BU48-'Existing Levels Drone Survey'!BU48</f>
        <v>0.13753809523797145</v>
      </c>
      <c r="BV48" s="191">
        <f>'Functional Levels Drone Survey'!BV48-'Existing Levels Drone Survey'!BV48</f>
        <v>0.39433809523796981</v>
      </c>
      <c r="BW48" s="191">
        <f>'Functional Levels Drone Survey'!BW48-'Existing Levels Drone Survey'!BW48</f>
        <v>0.39323809523801856</v>
      </c>
      <c r="BX48" s="191">
        <f>'Functional Levels Drone Survey'!BX48-'Existing Levels Drone Survey'!BX48</f>
        <v>0.38633809523798845</v>
      </c>
      <c r="BY48" s="191">
        <f>'Functional Levels Drone Survey'!BY48-'Existing Levels Drone Survey'!BY48</f>
        <v>0.29343809523800246</v>
      </c>
      <c r="BZ48" s="279">
        <f>'Functional Levels Drone Survey'!BZ48-'Existing Levels Drone Survey'!BZ48</f>
        <v>0.34143809523800428</v>
      </c>
      <c r="CA48" s="191">
        <f>'Functional Levels Drone Survey'!CA48-'Existing Levels Drone Survey'!CA48</f>
        <v>7.1047619047135413E-3</v>
      </c>
      <c r="CB48" s="191">
        <f>'Functional Levels Drone Survey'!CB48-'Existing Levels Drone Survey'!CB48</f>
        <v>1.5304761904701536E-2</v>
      </c>
      <c r="CC48" s="279">
        <f>'Functional Levels Drone Survey'!CC48-'Existing Levels Drone Survey'!CC48</f>
        <v>2.7204761904727093E-2</v>
      </c>
      <c r="CD48" s="191">
        <f>'Functional Levels Drone Survey'!CD48-'Existing Levels Drone Survey'!CD48</f>
        <v>9.2904761904719635E-2</v>
      </c>
      <c r="CE48" s="191">
        <f>'Functional Levels Drone Survey'!CE48-'Existing Levels Drone Survey'!CE48</f>
        <v>0.18860476190474174</v>
      </c>
      <c r="CF48" s="191">
        <f>'Functional Levels Drone Survey'!CF48-'Existing Levels Drone Survey'!CF48</f>
        <v>0.1390047619046868</v>
      </c>
      <c r="CG48" s="191">
        <f>'Functional Levels Drone Survey'!CG48-'Existing Levels Drone Survey'!CG48</f>
        <v>0.1179047619046969</v>
      </c>
      <c r="CH48" s="191">
        <f>'Functional Levels Drone Survey'!CH48-'Existing Levels Drone Survey'!CH48</f>
        <v>3.0604761904726274E-2</v>
      </c>
      <c r="CI48" s="191">
        <f>'Functional Levels Drone Survey'!CI48-'Existing Levels Drone Survey'!CI48</f>
        <v>4.7104761904734005E-2</v>
      </c>
      <c r="CJ48" s="191">
        <f>'Functional Levels Drone Survey'!CJ48-'Existing Levels Drone Survey'!CJ48</f>
        <v>0.15750476190470408</v>
      </c>
      <c r="CK48" s="191">
        <f>'Functional Levels Drone Survey'!CK48-'Existing Levels Drone Survey'!CK48</f>
        <v>0.24530476190471973</v>
      </c>
      <c r="CL48" s="191">
        <f>'Functional Levels Drone Survey'!CL48-'Existing Levels Drone Survey'!CL48</f>
        <v>0.29400476190471636</v>
      </c>
      <c r="CM48" s="191">
        <f>'Functional Levels Drone Survey'!CM48-'Existing Levels Drone Survey'!CM48</f>
        <v>0.28990476190472236</v>
      </c>
      <c r="CN48" s="191">
        <f>'Functional Levels Drone Survey'!CN48-'Existing Levels Drone Survey'!CN48</f>
        <v>0.27560476190473082</v>
      </c>
      <c r="CO48" s="191">
        <f>'Functional Levels Drone Survey'!CO48-'Existing Levels Drone Survey'!CO48</f>
        <v>0.23780476190472655</v>
      </c>
      <c r="CP48" s="191">
        <f>'Functional Levels Drone Survey'!CP48-'Existing Levels Drone Survey'!CP48</f>
        <v>0.18280476190471973</v>
      </c>
      <c r="CQ48" s="191">
        <f>'Functional Levels Drone Survey'!CQ48-'Existing Levels Drone Survey'!CQ48</f>
        <v>-5.1952380952684507E-3</v>
      </c>
      <c r="CR48" s="191">
        <f>'Functional Levels Drone Survey'!CR48-'Existing Levels Drone Survey'!CR48</f>
        <v>-0.12079523809529746</v>
      </c>
      <c r="CS48" s="191">
        <f>'Functional Levels Drone Survey'!CS48-'Existing Levels Drone Survey'!CS48</f>
        <v>-0.12839523809526554</v>
      </c>
      <c r="CT48" s="191">
        <f>'Functional Levels Drone Survey'!CT48-'Existing Levels Drone Survey'!CT48</f>
        <v>-8.2395238095273271E-2</v>
      </c>
      <c r="CU48" s="191">
        <f>'Functional Levels Drone Survey'!CU48-'Existing Levels Drone Survey'!CU48</f>
        <v>0.10090476190470099</v>
      </c>
      <c r="CV48" s="191">
        <f>'Functional Levels Drone Survey'!CV48-'Existing Levels Drone Survey'!CV48</f>
        <v>0.25190476190471145</v>
      </c>
      <c r="CW48" s="279">
        <f>'Functional Levels Drone Survey'!CW48-'Existing Levels Drone Survey'!CW48</f>
        <v>0.13790476190473555</v>
      </c>
      <c r="CX48" s="191">
        <f>'Functional Levels Drone Survey'!CX48-'Existing Levels Drone Survey'!CX48</f>
        <v>-0.15693333333342707</v>
      </c>
      <c r="CY48" s="279">
        <f>'Functional Levels Drone Survey'!CY48-'Existing Levels Drone Survey'!CY48</f>
        <v>-1.5033333333462906E-2</v>
      </c>
      <c r="CZ48" s="191">
        <f>'Functional Levels Drone Survey'!CZ48-'Existing Levels Drone Survey'!CZ48</f>
        <v>-0.22513333333341734</v>
      </c>
      <c r="DA48" s="191">
        <f>'Functional Levels Drone Survey'!DA48-'Existing Levels Drone Survey'!DA48</f>
        <v>-0.18643333333341161</v>
      </c>
      <c r="DB48" s="191">
        <f>'Functional Levels Drone Survey'!DB48-'Existing Levels Drone Survey'!DB48</f>
        <v>-0.1150333333334288</v>
      </c>
      <c r="DC48" s="191">
        <f>'Functional Levels Drone Survey'!DC48-'Existing Levels Drone Survey'!DC48</f>
        <v>-0.20333333333343262</v>
      </c>
      <c r="DD48" s="191">
        <f>'Functional Levels Drone Survey'!DD48-'Existing Levels Drone Survey'!DD48</f>
        <v>-0.19723333333342907</v>
      </c>
      <c r="DE48" s="191">
        <f>'Functional Levels Drone Survey'!DE48-'Existing Levels Drone Survey'!DE48</f>
        <v>-0.32353333333344381</v>
      </c>
      <c r="DF48" s="191">
        <f>'Functional Levels Drone Survey'!DF48-'Existing Levels Drone Survey'!DF48</f>
        <v>-9.4233333333420433E-2</v>
      </c>
      <c r="DG48" s="191">
        <f>'Functional Levels Drone Survey'!DG48-'Existing Levels Drone Survey'!DG48</f>
        <v>-0.12803333333346245</v>
      </c>
      <c r="DH48" s="191">
        <f>'Functional Levels Drone Survey'!DH48-'Existing Levels Drone Survey'!DH48</f>
        <v>-0.23133333333345263</v>
      </c>
      <c r="DI48" s="191">
        <f>'Functional Levels Drone Survey'!DI48-'Existing Levels Drone Survey'!DI48</f>
        <v>-9.5733333333441806E-2</v>
      </c>
      <c r="DJ48" s="191">
        <f>'Functional Levels Drone Survey'!DJ48-'Existing Levels Drone Survey'!DJ48</f>
        <v>4.5366666666552646E-2</v>
      </c>
      <c r="DK48" s="191">
        <f>'Functional Levels Drone Survey'!DK48-'Existing Levels Drone Survey'!DK48</f>
        <v>-4.4933333333460723E-2</v>
      </c>
      <c r="DL48" s="191">
        <f>'Functional Levels Drone Survey'!DL48-'Existing Levels Drone Survey'!DL48</f>
        <v>-6.0833333333448536E-2</v>
      </c>
      <c r="DM48" s="191">
        <f>'Functional Levels Drone Survey'!DM48-'Existing Levels Drone Survey'!DM48</f>
        <v>2.996666666655301E-2</v>
      </c>
      <c r="DN48" s="191">
        <f>'Functional Levels Drone Survey'!DN48-'Existing Levels Drone Survey'!DN48</f>
        <v>-4.1833333333443079E-2</v>
      </c>
      <c r="DO48" s="191">
        <f>'Functional Levels Drone Survey'!DO48-'Existing Levels Drone Survey'!DO48</f>
        <v>0.19526666666655501</v>
      </c>
      <c r="DP48" s="191">
        <f>'Functional Levels Drone Survey'!DP48-'Existing Levels Drone Survey'!DP48</f>
        <v>0.18976666666657138</v>
      </c>
      <c r="DQ48" s="191">
        <f>'Functional Levels Drone Survey'!DQ48-'Existing Levels Drone Survey'!DQ48</f>
        <v>0.17346666666657029</v>
      </c>
      <c r="DR48" s="191">
        <f>'Functional Levels Drone Survey'!DR48-'Existing Levels Drone Survey'!DR48</f>
        <v>0.15836666666655219</v>
      </c>
      <c r="DS48" s="279">
        <f>'Functional Levels Drone Survey'!DS48-'Existing Levels Drone Survey'!DS48</f>
        <v>-9.7133333333431437E-2</v>
      </c>
      <c r="DT48" s="191">
        <f>'Functional Levels Drone Survey'!DT48-'Existing Levels Drone Survey'!DT48</f>
        <v>0.20686666666654219</v>
      </c>
      <c r="DU48" s="191">
        <f>'Functional Levels Drone Survey'!DU48-'Existing Levels Drone Survey'!DU48</f>
        <v>-0.1311333333334801</v>
      </c>
      <c r="DV48" s="279">
        <f>'Functional Levels Drone Survey'!DV48-'Existing Levels Drone Survey'!DV48</f>
        <v>3.0593750000036835E-2</v>
      </c>
      <c r="DW48" s="191">
        <f>'Functional Levels Drone Survey'!DW48-'Existing Levels Drone Survey'!DW48</f>
        <v>0.10369374999999081</v>
      </c>
      <c r="DX48" s="191">
        <f>'Functional Levels Drone Survey'!DX48-'Existing Levels Drone Survey'!DX48</f>
        <v>4.7393750000026102E-2</v>
      </c>
      <c r="DY48" s="191">
        <f>'Functional Levels Drone Survey'!DY48-'Existing Levels Drone Survey'!DY48</f>
        <v>0.2067937500000312</v>
      </c>
      <c r="DZ48" s="191">
        <f>'Functional Levels Drone Survey'!DZ48-'Existing Levels Drone Survey'!DZ48</f>
        <v>0.12259375000002137</v>
      </c>
      <c r="EA48" s="191">
        <f>'Functional Levels Drone Survey'!EA48-'Existing Levels Drone Survey'!EA48</f>
        <v>-3.2106249999969805E-2</v>
      </c>
      <c r="EB48" s="191">
        <f>'Functional Levels Drone Survey'!EB48-'Existing Levels Drone Survey'!EB48</f>
        <v>0.24169375000002447</v>
      </c>
      <c r="EC48" s="191">
        <f>'Functional Levels Drone Survey'!EC48-'Existing Levels Drone Survey'!EC48</f>
        <v>3.4093750000010914E-2</v>
      </c>
      <c r="ED48" s="191">
        <f>'Functional Levels Drone Survey'!ED48-'Existing Levels Drone Survey'!ED48</f>
        <v>0.13979375000002392</v>
      </c>
      <c r="EE48" s="191">
        <f>'Functional Levels Drone Survey'!EE48-'Existing Levels Drone Survey'!EE48</f>
        <v>0.21739375000004202</v>
      </c>
      <c r="EF48" s="191">
        <f>'Functional Levels Drone Survey'!EF48-'Existing Levels Drone Survey'!EF48</f>
        <v>0.25809375000000045</v>
      </c>
      <c r="EG48" s="191">
        <f>'Functional Levels Drone Survey'!EG48-'Existing Levels Drone Survey'!EG48</f>
        <v>0.25849375000001373</v>
      </c>
      <c r="EH48" s="191">
        <f>'Functional Levels Drone Survey'!EH48-'Existing Levels Drone Survey'!EH48</f>
        <v>0.20429375000003347</v>
      </c>
      <c r="EI48" s="191">
        <f>'Functional Levels Drone Survey'!EI48-'Existing Levels Drone Survey'!EI48</f>
        <v>0.26589375000003201</v>
      </c>
      <c r="EJ48" s="191">
        <f>'Functional Levels Drone Survey'!EJ48-'Existing Levels Drone Survey'!EJ48</f>
        <v>0.22869374999999081</v>
      </c>
      <c r="EK48" s="279">
        <f>'Functional Levels Drone Survey'!EK48-'Existing Levels Drone Survey'!EK48</f>
        <v>0.24509375000002365</v>
      </c>
      <c r="EL48" s="191">
        <f>'Functional Levels Drone Survey'!EL48-'Existing Levels Drone Survey'!EL48</f>
        <v>3.1937500000367436E-3</v>
      </c>
      <c r="EM48" s="191">
        <f>'Functional Levels Drone Survey'!EM48-'Existing Levels Drone Survey'!EM48</f>
        <v>6.9193750000010823E-2</v>
      </c>
      <c r="EN48" s="191">
        <f>'Functional Levels Drone Survey'!EN48-'Existing Levels Drone Survey'!EN48</f>
        <v>8.5893750000025193E-2</v>
      </c>
      <c r="EO48" s="191">
        <f>'Functional Levels Drone Survey'!EO48-'Existing Levels Drone Survey'!EO48</f>
        <v>0.1371937500000513</v>
      </c>
      <c r="EP48" s="191">
        <f>'Functional Levels Drone Survey'!EP48-'Existing Levels Drone Survey'!EP48</f>
        <v>0.32029375000001892</v>
      </c>
      <c r="EQ48" s="191">
        <f>'Functional Levels Drone Survey'!EQ48-'Existing Levels Drone Survey'!EQ48</f>
        <v>0.16809375000002547</v>
      </c>
      <c r="ER48" s="191">
        <f>'Functional Levels Drone Survey'!ER48-'Existing Levels Drone Survey'!ER48</f>
        <v>0.20619375000001128</v>
      </c>
      <c r="ES48" s="191">
        <f>'Functional Levels Drone Survey'!ES48-'Existing Levels Drone Survey'!ES48</f>
        <v>0.47319375000000719</v>
      </c>
      <c r="ET48" s="191">
        <f>'Functional Levels Drone Survey'!ET48-'Existing Levels Drone Survey'!ET48</f>
        <v>0.49779375000002801</v>
      </c>
      <c r="EU48" s="191">
        <f>'Functional Levels Drone Survey'!EU48-'Existing Levels Drone Survey'!EU48</f>
        <v>0.51059375000005502</v>
      </c>
      <c r="EV48" s="278">
        <f>'Functional Levels Drone Survey'!EV48-'Existing Levels Drone Survey'!EV48</f>
        <v>0.47759375000003956</v>
      </c>
      <c r="EW48" s="191">
        <f>'Functional Levels Drone Survey'!EW48-'Existing Levels Drone Survey'!EW48</f>
        <v>0</v>
      </c>
      <c r="EX48" s="191">
        <f>'Functional Levels Drone Survey'!EX48-'Existing Levels Drone Survey'!EX48</f>
        <v>0</v>
      </c>
      <c r="EY48" s="191">
        <f>'Functional Levels Drone Survey'!EY48-'Existing Levels Drone Survey'!EY48</f>
        <v>0</v>
      </c>
    </row>
    <row r="49" spans="1:155" ht="45" customHeight="1" x14ac:dyDescent="0.45">
      <c r="A49" s="277">
        <v>240</v>
      </c>
      <c r="B49" s="191">
        <f>'Functional Levels Drone Survey'!B49-'Existing Levels Drone Survey'!B49</f>
        <v>0</v>
      </c>
      <c r="C49" s="278">
        <f>'Functional Levels Drone Survey'!C49-'Existing Levels Drone Survey'!C49</f>
        <v>-0.14949500000005855</v>
      </c>
      <c r="D49" s="191">
        <f>'Functional Levels Drone Survey'!D49-'Existing Levels Drone Survey'!D49</f>
        <v>6.7904999999939264E-2</v>
      </c>
      <c r="E49" s="191">
        <f>'Functional Levels Drone Survey'!E49-'Existing Levels Drone Survey'!E49</f>
        <v>7.9004999999938263E-2</v>
      </c>
      <c r="F49" s="279">
        <f>'Functional Levels Drone Survey'!F49-'Existing Levels Drone Survey'!F49</f>
        <v>0.20780499999995072</v>
      </c>
      <c r="G49" s="191">
        <f>'Functional Levels Drone Survey'!G49-'Existing Levels Drone Survey'!G49</f>
        <v>0.21390499999995427</v>
      </c>
      <c r="H49" s="191">
        <f>'Functional Levels Drone Survey'!H49-'Existing Levels Drone Survey'!H49</f>
        <v>0.20430499999997664</v>
      </c>
      <c r="I49" s="191">
        <f>'Functional Levels Drone Survey'!I49-'Existing Levels Drone Survey'!I49</f>
        <v>0.21460499999994909</v>
      </c>
      <c r="J49" s="191">
        <f>'Functional Levels Drone Survey'!J49-'Existing Levels Drone Survey'!J49</f>
        <v>0.20920499999994036</v>
      </c>
      <c r="K49" s="191">
        <f>'Functional Levels Drone Survey'!K49-'Existing Levels Drone Survey'!K49</f>
        <v>0.21360499999997273</v>
      </c>
      <c r="L49" s="191">
        <f>'Functional Levels Drone Survey'!L49-'Existing Levels Drone Survey'!L49</f>
        <v>0.18860499999993863</v>
      </c>
      <c r="M49" s="191">
        <f>'Functional Levels Drone Survey'!M49-'Existing Levels Drone Survey'!M49</f>
        <v>0.17750499999993963</v>
      </c>
      <c r="N49" s="191">
        <f>'Functional Levels Drone Survey'!N49-'Existing Levels Drone Survey'!N49</f>
        <v>9.290499999997337E-2</v>
      </c>
      <c r="O49" s="191">
        <f>'Functional Levels Drone Survey'!O49-'Existing Levels Drone Survey'!O49</f>
        <v>0.17580499999996846</v>
      </c>
      <c r="P49" s="191">
        <f>'Functional Levels Drone Survey'!P49-'Existing Levels Drone Survey'!P49</f>
        <v>0.19150499999994963</v>
      </c>
      <c r="Q49" s="191">
        <f>'Functional Levels Drone Survey'!Q49-'Existing Levels Drone Survey'!Q49</f>
        <v>0.21800499999994827</v>
      </c>
      <c r="R49" s="191">
        <f>'Functional Levels Drone Survey'!R49-'Existing Levels Drone Survey'!R49</f>
        <v>0.2486049999999409</v>
      </c>
      <c r="S49" s="191">
        <f>'Functional Levels Drone Survey'!S49-'Existing Levels Drone Survey'!S49</f>
        <v>0.26640499999996337</v>
      </c>
      <c r="T49" s="191">
        <f>'Functional Levels Drone Survey'!T49-'Existing Levels Drone Survey'!T49</f>
        <v>0.28610499999996364</v>
      </c>
      <c r="U49" s="279">
        <f>'Functional Levels Drone Survey'!U49-'Existing Levels Drone Survey'!U49</f>
        <v>0.28660499999995181</v>
      </c>
      <c r="V49" s="279">
        <f>'Functional Levels Drone Survey'!V49-'Existing Levels Drone Survey'!V49</f>
        <v>0.26160499999997455</v>
      </c>
      <c r="W49" s="279">
        <f>'Functional Levels Drone Survey'!W49-'Existing Levels Drone Survey'!W49</f>
        <v>0.28350499999993417</v>
      </c>
      <c r="X49" s="279">
        <f>'Functional Levels Drone Survey'!X49-'Existing Levels Drone Survey'!X49</f>
        <v>0.28330499999998437</v>
      </c>
      <c r="Y49" s="279">
        <f>'Functional Levels Drone Survey'!Y49-'Existing Levels Drone Survey'!Y49</f>
        <v>-1.7595000000028449E-2</v>
      </c>
      <c r="Z49" s="278">
        <f>'Functional Levels Drone Survey'!Z49-'Existing Levels Drone Survey'!Z49</f>
        <v>-0.35049500000002354</v>
      </c>
      <c r="AA49" s="191">
        <f>'Functional Levels Drone Survey'!AA49-'Existing Levels Drone Survey'!AA49</f>
        <v>0</v>
      </c>
      <c r="AB49" s="191">
        <f>'Functional Levels Drone Survey'!AB49-'Existing Levels Drone Survey'!AB49</f>
        <v>0</v>
      </c>
      <c r="AC49" s="191">
        <f>'Functional Levels Drone Survey'!AC49-'Existing Levels Drone Survey'!AC49</f>
        <v>0</v>
      </c>
      <c r="AD49" s="191">
        <f>'Functional Levels Drone Survey'!AD49-'Existing Levels Drone Survey'!AD49</f>
        <v>0</v>
      </c>
      <c r="AE49" s="191">
        <f>'Functional Levels Drone Survey'!AE49-'Existing Levels Drone Survey'!AE49</f>
        <v>0</v>
      </c>
      <c r="AF49" s="191">
        <f>'Functional Levels Drone Survey'!AF49-'Existing Levels Drone Survey'!AF49</f>
        <v>0</v>
      </c>
      <c r="AG49" s="191">
        <f>'Functional Levels Drone Survey'!AG49-'Existing Levels Drone Survey'!AG49</f>
        <v>0</v>
      </c>
      <c r="AH49" s="191">
        <f>'Functional Levels Drone Survey'!AH49-'Existing Levels Drone Survey'!AH49</f>
        <v>0</v>
      </c>
      <c r="AI49" s="191">
        <f>'Functional Levels Drone Survey'!AI49-'Existing Levels Drone Survey'!AI49</f>
        <v>0</v>
      </c>
      <c r="AJ49" s="191">
        <f>'Functional Levels Drone Survey'!AJ49-'Existing Levels Drone Survey'!AJ49</f>
        <v>0</v>
      </c>
      <c r="AK49" s="191">
        <f>'Functional Levels Drone Survey'!AK49-'Existing Levels Drone Survey'!AK49</f>
        <v>0</v>
      </c>
      <c r="AL49" s="191">
        <f>'Functional Levels Drone Survey'!AL49-'Existing Levels Drone Survey'!AL49</f>
        <v>0</v>
      </c>
      <c r="AM49" s="191">
        <f>'Functional Levels Drone Survey'!AM49-'Existing Levels Drone Survey'!AM49</f>
        <v>0</v>
      </c>
      <c r="AN49" s="191">
        <f>'Functional Levels Drone Survey'!AN49-'Existing Levels Drone Survey'!AN49</f>
        <v>0</v>
      </c>
      <c r="AO49" s="191">
        <f>'Functional Levels Drone Survey'!AO49-'Existing Levels Drone Survey'!AO49</f>
        <v>0</v>
      </c>
      <c r="AP49" s="191">
        <f>'Functional Levels Drone Survey'!AP49-'Existing Levels Drone Survey'!AP49</f>
        <v>0</v>
      </c>
      <c r="AQ49" s="191">
        <f>'Functional Levels Drone Survey'!AQ49-'Existing Levels Drone Survey'!AQ49</f>
        <v>0</v>
      </c>
      <c r="AR49" s="191">
        <f>'Functional Levels Drone Survey'!AR49-'Existing Levels Drone Survey'!AR49</f>
        <v>0</v>
      </c>
      <c r="AS49" s="191">
        <f>'Functional Levels Drone Survey'!AS49-'Existing Levels Drone Survey'!AS49</f>
        <v>0</v>
      </c>
      <c r="AT49" s="191">
        <f>'Functional Levels Drone Survey'!AT49-'Existing Levels Drone Survey'!AT49</f>
        <v>0</v>
      </c>
      <c r="AU49" s="191">
        <f>'Functional Levels Drone Survey'!AU49-'Existing Levels Drone Survey'!AU49</f>
        <v>0</v>
      </c>
      <c r="AV49" s="191">
        <f>'Functional Levels Drone Survey'!AV49-'Existing Levels Drone Survey'!AV49</f>
        <v>0</v>
      </c>
      <c r="AW49" s="191">
        <f>'Functional Levels Drone Survey'!AW49-'Existing Levels Drone Survey'!AW49</f>
        <v>0</v>
      </c>
      <c r="AX49" s="191">
        <f>'Functional Levels Drone Survey'!AX49-'Existing Levels Drone Survey'!AX49</f>
        <v>0</v>
      </c>
      <c r="AY49" s="191">
        <f>'Functional Levels Drone Survey'!AY49-'Existing Levels Drone Survey'!AY49</f>
        <v>0</v>
      </c>
      <c r="AZ49" s="278">
        <f>'Functional Levels Drone Survey'!AZ49-'Existing Levels Drone Survey'!AZ49</f>
        <v>3.6338095238022561E-2</v>
      </c>
      <c r="BA49" s="191">
        <f>'Functional Levels Drone Survey'!BA49-'Existing Levels Drone Survey'!BA49</f>
        <v>-0.78516190476199199</v>
      </c>
      <c r="BB49" s="191">
        <f>'Functional Levels Drone Survey'!BB49-'Existing Levels Drone Survey'!BB49</f>
        <v>-0.16616190476202064</v>
      </c>
      <c r="BC49" s="191">
        <f>'Functional Levels Drone Survey'!BC49-'Existing Levels Drone Survey'!BC49</f>
        <v>-2.846190476202537E-2</v>
      </c>
      <c r="BD49" s="191">
        <f>'Functional Levels Drone Survey'!BD49-'Existing Levels Drone Survey'!BD49</f>
        <v>-0.12056190476198481</v>
      </c>
      <c r="BE49" s="191">
        <f>'Functional Levels Drone Survey'!BE49-'Existing Levels Drone Survey'!BE49</f>
        <v>-0.35686190476201318</v>
      </c>
      <c r="BF49" s="279">
        <f>'Functional Levels Drone Survey'!BF49-'Existing Levels Drone Survey'!BF49</f>
        <v>-5.3619047619690718E-3</v>
      </c>
      <c r="BG49" s="191">
        <f>'Functional Levels Drone Survey'!BG49-'Existing Levels Drone Survey'!BG49</f>
        <v>-3.1361904761979531E-2</v>
      </c>
      <c r="BH49" s="191">
        <f>'Functional Levels Drone Survey'!BH49-'Existing Levels Drone Survey'!BH49</f>
        <v>9.3809523798427108E-4</v>
      </c>
      <c r="BI49" s="191">
        <f>'Functional Levels Drone Survey'!BI49-'Existing Levels Drone Survey'!BI49</f>
        <v>2.4438095237997004E-2</v>
      </c>
      <c r="BJ49" s="191">
        <f>'Functional Levels Drone Survey'!BJ49-'Existing Levels Drone Survey'!BJ49</f>
        <v>6.8238095238029928E-2</v>
      </c>
      <c r="BK49" s="191">
        <f>'Functional Levels Drone Survey'!BK49-'Existing Levels Drone Survey'!BK49</f>
        <v>6.3338095238009373E-2</v>
      </c>
      <c r="BL49" s="191">
        <f>'Functional Levels Drone Survey'!BL49-'Existing Levels Drone Survey'!BL49</f>
        <v>6.2738095237989455E-2</v>
      </c>
      <c r="BM49" s="191">
        <f>'Functional Levels Drone Survey'!BM49-'Existing Levels Drone Survey'!BM49</f>
        <v>4.9738095238012647E-2</v>
      </c>
      <c r="BN49" s="191">
        <f>'Functional Levels Drone Survey'!BN49-'Existing Levels Drone Survey'!BN49</f>
        <v>7.9838095238017104E-2</v>
      </c>
      <c r="BO49" s="191">
        <f>'Functional Levels Drone Survey'!BO49-'Existing Levels Drone Survey'!BO49</f>
        <v>0.18023809523799628</v>
      </c>
      <c r="BP49" s="191">
        <f>'Functional Levels Drone Survey'!BP49-'Existing Levels Drone Survey'!BP49</f>
        <v>0.18823809523803448</v>
      </c>
      <c r="BQ49" s="191">
        <f>'Functional Levels Drone Survey'!BQ49-'Existing Levels Drone Survey'!BQ49</f>
        <v>0.18323809523798218</v>
      </c>
      <c r="BR49" s="191">
        <f>'Functional Levels Drone Survey'!BR49-'Existing Levels Drone Survey'!BR49</f>
        <v>0.37293809523799837</v>
      </c>
      <c r="BS49" s="191">
        <f>'Functional Levels Drone Survey'!BS49-'Existing Levels Drone Survey'!BS49</f>
        <v>0.45573809523801856</v>
      </c>
      <c r="BT49" s="191">
        <f>'Functional Levels Drone Survey'!BT49-'Existing Levels Drone Survey'!BT49</f>
        <v>0.35933809523800164</v>
      </c>
      <c r="BU49" s="191">
        <f>'Functional Levels Drone Survey'!BU49-'Existing Levels Drone Survey'!BU49</f>
        <v>0.31243809523800792</v>
      </c>
      <c r="BV49" s="191">
        <f>'Functional Levels Drone Survey'!BV49-'Existing Levels Drone Survey'!BV49</f>
        <v>0.18623809523802493</v>
      </c>
      <c r="BW49" s="191">
        <f>'Functional Levels Drone Survey'!BW49-'Existing Levels Drone Survey'!BW49</f>
        <v>0.19333809523800483</v>
      </c>
      <c r="BX49" s="191">
        <f>'Functional Levels Drone Survey'!BX49-'Existing Levels Drone Survey'!BX49</f>
        <v>0.36373809523803402</v>
      </c>
      <c r="BY49" s="191">
        <f>'Functional Levels Drone Survey'!BY49-'Existing Levels Drone Survey'!BY49</f>
        <v>0.22043809523802338</v>
      </c>
      <c r="BZ49" s="279">
        <f>'Functional Levels Drone Survey'!BZ49-'Existing Levels Drone Survey'!BZ49</f>
        <v>0.26023809523798036</v>
      </c>
      <c r="CA49" s="191">
        <f>'Functional Levels Drone Survey'!CA49-'Existing Levels Drone Survey'!CA49</f>
        <v>-3.0695238095290733E-2</v>
      </c>
      <c r="CB49" s="191">
        <f>'Functional Levels Drone Survey'!CB49-'Existing Levels Drone Survey'!CB49</f>
        <v>6.1704761904707084E-2</v>
      </c>
      <c r="CC49" s="279">
        <f>'Functional Levels Drone Survey'!CC49-'Existing Levels Drone Survey'!CC49</f>
        <v>0.20330476190474656</v>
      </c>
      <c r="CD49" s="191">
        <f>'Functional Levels Drone Survey'!CD49-'Existing Levels Drone Survey'!CD49</f>
        <v>0.24790476190474919</v>
      </c>
      <c r="CE49" s="191">
        <f>'Functional Levels Drone Survey'!CE49-'Existing Levels Drone Survey'!CE49</f>
        <v>0.27300476190470135</v>
      </c>
      <c r="CF49" s="191">
        <f>'Functional Levels Drone Survey'!CF49-'Existing Levels Drone Survey'!CF49</f>
        <v>0.35780476190473109</v>
      </c>
      <c r="CG49" s="191">
        <f>'Functional Levels Drone Survey'!CG49-'Existing Levels Drone Survey'!CG49</f>
        <v>0.31390476190472327</v>
      </c>
      <c r="CH49" s="191">
        <f>'Functional Levels Drone Survey'!CH49-'Existing Levels Drone Survey'!CH49</f>
        <v>0.3194047619047069</v>
      </c>
      <c r="CI49" s="191">
        <f>'Functional Levels Drone Survey'!CI49-'Existing Levels Drone Survey'!CI49</f>
        <v>0.34290476190471963</v>
      </c>
      <c r="CJ49" s="191">
        <f>'Functional Levels Drone Survey'!CJ49-'Existing Levels Drone Survey'!CJ49</f>
        <v>0.33270476190472209</v>
      </c>
      <c r="CK49" s="191">
        <f>'Functional Levels Drone Survey'!CK49-'Existing Levels Drone Survey'!CK49</f>
        <v>0.31890476190471873</v>
      </c>
      <c r="CL49" s="191">
        <f>'Functional Levels Drone Survey'!CL49-'Existing Levels Drone Survey'!CL49</f>
        <v>0.33740476190473601</v>
      </c>
      <c r="CM49" s="191">
        <f>'Functional Levels Drone Survey'!CM49-'Existing Levels Drone Survey'!CM49</f>
        <v>0.32980476190471109</v>
      </c>
      <c r="CN49" s="191">
        <f>'Functional Levels Drone Survey'!CN49-'Existing Levels Drone Survey'!CN49</f>
        <v>0.35210476190474083</v>
      </c>
      <c r="CO49" s="191">
        <f>'Functional Levels Drone Survey'!CO49-'Existing Levels Drone Survey'!CO49</f>
        <v>0.37440476190471372</v>
      </c>
      <c r="CP49" s="191">
        <f>'Functional Levels Drone Survey'!CP49-'Existing Levels Drone Survey'!CP49</f>
        <v>0.38880476190473701</v>
      </c>
      <c r="CQ49" s="191">
        <f>'Functional Levels Drone Survey'!CQ49-'Existing Levels Drone Survey'!CQ49</f>
        <v>0.24210476190472718</v>
      </c>
      <c r="CR49" s="191">
        <f>'Functional Levels Drone Survey'!CR49-'Existing Levels Drone Survey'!CR49</f>
        <v>-7.595238095291279E-3</v>
      </c>
      <c r="CS49" s="191">
        <f>'Functional Levels Drone Survey'!CS49-'Existing Levels Drone Survey'!CS49</f>
        <v>3.1804761904709267E-2</v>
      </c>
      <c r="CT49" s="191">
        <f>'Functional Levels Drone Survey'!CT49-'Existing Levels Drone Survey'!CT49</f>
        <v>0.21890476190475283</v>
      </c>
      <c r="CU49" s="191">
        <f>'Functional Levels Drone Survey'!CU49-'Existing Levels Drone Survey'!CU49</f>
        <v>0.22920476190472527</v>
      </c>
      <c r="CV49" s="191">
        <f>'Functional Levels Drone Survey'!CV49-'Existing Levels Drone Survey'!CV49</f>
        <v>0.26950476190472727</v>
      </c>
      <c r="CW49" s="279">
        <f>'Functional Levels Drone Survey'!CW49-'Existing Levels Drone Survey'!CW49</f>
        <v>0.13430476190472973</v>
      </c>
      <c r="CX49" s="191">
        <f>'Functional Levels Drone Survey'!CX49-'Existing Levels Drone Survey'!CX49</f>
        <v>6.8266666666545461E-2</v>
      </c>
      <c r="CY49" s="279">
        <f>'Functional Levels Drone Survey'!CY49-'Existing Levels Drone Survey'!CY49</f>
        <v>7.426666666657411E-2</v>
      </c>
      <c r="CZ49" s="191">
        <f>'Functional Levels Drone Survey'!CZ49-'Existing Levels Drone Survey'!CZ49</f>
        <v>2.866666666659512E-2</v>
      </c>
      <c r="DA49" s="191">
        <f>'Functional Levels Drone Survey'!DA49-'Existing Levels Drone Survey'!DA49</f>
        <v>-6.4533333333429255E-2</v>
      </c>
      <c r="DB49" s="191">
        <f>'Functional Levels Drone Survey'!DB49-'Existing Levels Drone Survey'!DB49</f>
        <v>7.8666666666549645E-2</v>
      </c>
      <c r="DC49" s="191">
        <f>'Functional Levels Drone Survey'!DC49-'Existing Levels Drone Survey'!DC49</f>
        <v>-1.0133333333442351E-2</v>
      </c>
      <c r="DD49" s="191">
        <f>'Functional Levels Drone Survey'!DD49-'Existing Levels Drone Survey'!DD49</f>
        <v>0.13566666666656602</v>
      </c>
      <c r="DE49" s="191">
        <f>'Functional Levels Drone Survey'!DE49-'Existing Levels Drone Survey'!DE49</f>
        <v>0.14856666666656793</v>
      </c>
      <c r="DF49" s="191">
        <f>'Functional Levels Drone Survey'!DF49-'Existing Levels Drone Survey'!DF49</f>
        <v>-4.3633333333445989E-2</v>
      </c>
      <c r="DG49" s="191">
        <f>'Functional Levels Drone Survey'!DG49-'Existing Levels Drone Survey'!DG49</f>
        <v>-6.2833333333401242E-2</v>
      </c>
      <c r="DH49" s="191">
        <f>'Functional Levels Drone Survey'!DH49-'Existing Levels Drone Survey'!DH49</f>
        <v>4.6366666666585843E-2</v>
      </c>
      <c r="DI49" s="191">
        <f>'Functional Levels Drone Survey'!DI49-'Existing Levels Drone Survey'!DI49</f>
        <v>0.10526666666658002</v>
      </c>
      <c r="DJ49" s="191">
        <f>'Functional Levels Drone Survey'!DJ49-'Existing Levels Drone Survey'!DJ49</f>
        <v>0.11916666666655829</v>
      </c>
      <c r="DK49" s="191">
        <f>'Functional Levels Drone Survey'!DK49-'Existing Levels Drone Survey'!DK49</f>
        <v>5.2766666666570927E-2</v>
      </c>
      <c r="DL49" s="191">
        <f>'Functional Levels Drone Survey'!DL49-'Existing Levels Drone Survey'!DL49</f>
        <v>-4.2133333333424616E-2</v>
      </c>
      <c r="DM49" s="191">
        <f>'Functional Levels Drone Survey'!DM49-'Existing Levels Drone Survey'!DM49</f>
        <v>-7.5633333333428254E-2</v>
      </c>
      <c r="DN49" s="191">
        <f>'Functional Levels Drone Survey'!DN49-'Existing Levels Drone Survey'!DN49</f>
        <v>7.5466666666557103E-2</v>
      </c>
      <c r="DO49" s="191">
        <f>'Functional Levels Drone Survey'!DO49-'Existing Levels Drone Survey'!DO49</f>
        <v>0.17016666666654601</v>
      </c>
      <c r="DP49" s="191">
        <f>'Functional Levels Drone Survey'!DP49-'Existing Levels Drone Survey'!DP49</f>
        <v>-7.3433333333412065E-2</v>
      </c>
      <c r="DQ49" s="191">
        <f>'Functional Levels Drone Survey'!DQ49-'Existing Levels Drone Survey'!DQ49</f>
        <v>0.18366666666656783</v>
      </c>
      <c r="DR49" s="191">
        <f>'Functional Levels Drone Survey'!DR49-'Existing Levels Drone Survey'!DR49</f>
        <v>5.2866666666545825E-2</v>
      </c>
      <c r="DS49" s="279">
        <f>'Functional Levels Drone Survey'!DS49-'Existing Levels Drone Survey'!DS49</f>
        <v>0.15586666666655447</v>
      </c>
      <c r="DT49" s="191">
        <f>'Functional Levels Drone Survey'!DT49-'Existing Levels Drone Survey'!DT49</f>
        <v>-6.7733333333421797E-2</v>
      </c>
      <c r="DU49" s="191">
        <f>'Functional Levels Drone Survey'!DU49-'Existing Levels Drone Survey'!DU49</f>
        <v>8.5566666666522906E-2</v>
      </c>
      <c r="DV49" s="279">
        <f>'Functional Levels Drone Survey'!DV49-'Existing Levels Drone Survey'!DV49</f>
        <v>0.31309375000000728</v>
      </c>
      <c r="DW49" s="191">
        <f>'Functional Levels Drone Survey'!DW49-'Existing Levels Drone Survey'!DW49</f>
        <v>0.27499375000002146</v>
      </c>
      <c r="DX49" s="191">
        <f>'Functional Levels Drone Survey'!DX49-'Existing Levels Drone Survey'!DX49</f>
        <v>0.26759375000000318</v>
      </c>
      <c r="DY49" s="191">
        <f>'Functional Levels Drone Survey'!DY49-'Existing Levels Drone Survey'!DY49</f>
        <v>0.17719375000001492</v>
      </c>
      <c r="DZ49" s="191">
        <f>'Functional Levels Drone Survey'!DZ49-'Existing Levels Drone Survey'!DZ49</f>
        <v>0.29199375000001737</v>
      </c>
      <c r="EA49" s="191">
        <f>'Functional Levels Drone Survey'!EA49-'Existing Levels Drone Survey'!EA49</f>
        <v>0.34939375000004702</v>
      </c>
      <c r="EB49" s="191">
        <f>'Functional Levels Drone Survey'!EB49-'Existing Levels Drone Survey'!EB49</f>
        <v>0.32229375000002847</v>
      </c>
      <c r="EC49" s="191">
        <f>'Functional Levels Drone Survey'!EC49-'Existing Levels Drone Survey'!EC49</f>
        <v>0.23849375000003192</v>
      </c>
      <c r="ED49" s="191">
        <f>'Functional Levels Drone Survey'!ED49-'Existing Levels Drone Survey'!ED49</f>
        <v>0.21659375000001546</v>
      </c>
      <c r="EE49" s="191">
        <f>'Functional Levels Drone Survey'!EE49-'Existing Levels Drone Survey'!EE49</f>
        <v>0.34459375000000136</v>
      </c>
      <c r="EF49" s="191">
        <f>'Functional Levels Drone Survey'!EF49-'Existing Levels Drone Survey'!EF49</f>
        <v>0.32509375000000773</v>
      </c>
      <c r="EG49" s="191">
        <f>'Functional Levels Drone Survey'!EG49-'Existing Levels Drone Survey'!EG49</f>
        <v>0.30939375000002656</v>
      </c>
      <c r="EH49" s="191">
        <f>'Functional Levels Drone Survey'!EH49-'Existing Levels Drone Survey'!EH49</f>
        <v>0.26479375000002392</v>
      </c>
      <c r="EI49" s="191">
        <f>'Functional Levels Drone Survey'!EI49-'Existing Levels Drone Survey'!EI49</f>
        <v>0.34899375000003374</v>
      </c>
      <c r="EJ49" s="191">
        <f>'Functional Levels Drone Survey'!EJ49-'Existing Levels Drone Survey'!EJ49</f>
        <v>0.34649375000003602</v>
      </c>
      <c r="EK49" s="279">
        <f>'Functional Levels Drone Survey'!EK49-'Existing Levels Drone Survey'!EK49</f>
        <v>0.35459375000004911</v>
      </c>
      <c r="EL49" s="191">
        <f>'Functional Levels Drone Survey'!EL49-'Existing Levels Drone Survey'!EL49</f>
        <v>6.089375000004793E-2</v>
      </c>
      <c r="EM49" s="191">
        <f>'Functional Levels Drone Survey'!EM49-'Existing Levels Drone Survey'!EM49</f>
        <v>0.11049375000004602</v>
      </c>
      <c r="EN49" s="191">
        <f>'Functional Levels Drone Survey'!EN49-'Existing Levels Drone Survey'!EN49</f>
        <v>0.10539375000001883</v>
      </c>
      <c r="EO49" s="191">
        <f>'Functional Levels Drone Survey'!EO49-'Existing Levels Drone Survey'!EO49</f>
        <v>0.14209375000001501</v>
      </c>
      <c r="EP49" s="191">
        <f>'Functional Levels Drone Survey'!EP49-'Existing Levels Drone Survey'!EP49</f>
        <v>0.14039375000004384</v>
      </c>
      <c r="EQ49" s="191">
        <f>'Functional Levels Drone Survey'!EQ49-'Existing Levels Drone Survey'!EQ49</f>
        <v>0.344793750000008</v>
      </c>
      <c r="ER49" s="191">
        <f>'Functional Levels Drone Survey'!ER49-'Existing Levels Drone Survey'!ER49</f>
        <v>0.46659375000001546</v>
      </c>
      <c r="ES49" s="191">
        <f>'Functional Levels Drone Survey'!ES49-'Existing Levels Drone Survey'!ES49</f>
        <v>0.43189375000002883</v>
      </c>
      <c r="ET49" s="191">
        <f>'Functional Levels Drone Survey'!ET49-'Existing Levels Drone Survey'!ET49</f>
        <v>0.45139375000002246</v>
      </c>
      <c r="EU49" s="191">
        <f>'Functional Levels Drone Survey'!EU49-'Existing Levels Drone Survey'!EU49</f>
        <v>0.48919375000002674</v>
      </c>
      <c r="EV49" s="278">
        <f>'Functional Levels Drone Survey'!EV49-'Existing Levels Drone Survey'!EV49</f>
        <v>0.46319375000001628</v>
      </c>
      <c r="EW49" s="191">
        <f>'Functional Levels Drone Survey'!EW49-'Existing Levels Drone Survey'!EW49</f>
        <v>0</v>
      </c>
      <c r="EX49" s="191">
        <f>'Functional Levels Drone Survey'!EX49-'Existing Levels Drone Survey'!EX49</f>
        <v>0</v>
      </c>
      <c r="EY49" s="191">
        <f>'Functional Levels Drone Survey'!EY49-'Existing Levels Drone Survey'!EY49</f>
        <v>0</v>
      </c>
    </row>
    <row r="50" spans="1:155" ht="45" customHeight="1" x14ac:dyDescent="0.45">
      <c r="A50" s="277">
        <v>245</v>
      </c>
      <c r="B50" s="191">
        <f>'Functional Levels Drone Survey'!B50-'Existing Levels Drone Survey'!B50</f>
        <v>0</v>
      </c>
      <c r="C50" s="278">
        <f>'Functional Levels Drone Survey'!C50-'Existing Levels Drone Survey'!C50</f>
        <v>-0.21379500000006146</v>
      </c>
      <c r="D50" s="191">
        <f>'Functional Levels Drone Survey'!D50-'Existing Levels Drone Survey'!D50</f>
        <v>0.13790499999993244</v>
      </c>
      <c r="E50" s="191">
        <f>'Functional Levels Drone Survey'!E50-'Existing Levels Drone Survey'!E50</f>
        <v>0.13840499999992062</v>
      </c>
      <c r="F50" s="279">
        <f>'Functional Levels Drone Survey'!F50-'Existing Levels Drone Survey'!F50</f>
        <v>0.25500499999998283</v>
      </c>
      <c r="G50" s="191">
        <f>'Functional Levels Drone Survey'!G50-'Existing Levels Drone Survey'!G50</f>
        <v>0.288804999999968</v>
      </c>
      <c r="H50" s="191">
        <f>'Functional Levels Drone Survey'!H50-'Existing Levels Drone Survey'!H50</f>
        <v>0.29710499999998774</v>
      </c>
      <c r="I50" s="191">
        <f>'Functional Levels Drone Survey'!I50-'Existing Levels Drone Survey'!I50</f>
        <v>0.28420499999998583</v>
      </c>
      <c r="J50" s="191">
        <f>'Functional Levels Drone Survey'!J50-'Existing Levels Drone Survey'!J50</f>
        <v>0.29620499999998628</v>
      </c>
      <c r="K50" s="191">
        <f>'Functional Levels Drone Survey'!K50-'Existing Levels Drone Survey'!K50</f>
        <v>0.29600499999997965</v>
      </c>
      <c r="L50" s="191">
        <f>'Functional Levels Drone Survey'!L50-'Existing Levels Drone Survey'!L50</f>
        <v>0.28230499999995118</v>
      </c>
      <c r="M50" s="191">
        <f>'Functional Levels Drone Survey'!M50-'Existing Levels Drone Survey'!M50</f>
        <v>0.24690499999996973</v>
      </c>
      <c r="N50" s="191">
        <f>'Functional Levels Drone Survey'!N50-'Existing Levels Drone Survey'!N50</f>
        <v>9.0304999999943902E-2</v>
      </c>
      <c r="O50" s="191">
        <f>'Functional Levels Drone Survey'!O50-'Existing Levels Drone Survey'!O50</f>
        <v>0.2677049999999781</v>
      </c>
      <c r="P50" s="191">
        <f>'Functional Levels Drone Survey'!P50-'Existing Levels Drone Survey'!P50</f>
        <v>0.26980499999996255</v>
      </c>
      <c r="Q50" s="191">
        <f>'Functional Levels Drone Survey'!Q50-'Existing Levels Drone Survey'!Q50</f>
        <v>0.29090499999995245</v>
      </c>
      <c r="R50" s="191">
        <f>'Functional Levels Drone Survey'!R50-'Existing Levels Drone Survey'!R50</f>
        <v>0.28840499999995473</v>
      </c>
      <c r="S50" s="191">
        <f>'Functional Levels Drone Survey'!S50-'Existing Levels Drone Survey'!S50</f>
        <v>0.30670499999996537</v>
      </c>
      <c r="T50" s="191">
        <f>'Functional Levels Drone Survey'!T50-'Existing Levels Drone Survey'!T50</f>
        <v>0.32790499999998701</v>
      </c>
      <c r="U50" s="191">
        <f>'Functional Levels Drone Survey'!U50-'Existing Levels Drone Survey'!U50</f>
        <v>0.33480499999996027</v>
      </c>
      <c r="V50" s="191">
        <f>'Functional Levels Drone Survey'!V50-'Existing Levels Drone Survey'!V50</f>
        <v>0.35450499999996055</v>
      </c>
      <c r="W50" s="191">
        <f>'Functional Levels Drone Survey'!W50-'Existing Levels Drone Survey'!W50</f>
        <v>0.36310499999996182</v>
      </c>
      <c r="X50" s="191">
        <f>'Functional Levels Drone Survey'!X50-'Existing Levels Drone Survey'!X50</f>
        <v>0.32280499999995982</v>
      </c>
      <c r="Y50" s="279">
        <f>'Functional Levels Drone Survey'!Y50-'Existing Levels Drone Survey'!Y50</f>
        <v>3.604999999993197E-3</v>
      </c>
      <c r="Z50" s="191">
        <f>'Functional Levels Drone Survey'!Z50-'Existing Levels Drone Survey'!Z50</f>
        <v>-3.9595000000019809E-2</v>
      </c>
      <c r="AA50" s="278">
        <f>'Functional Levels Drone Survey'!AA50-'Existing Levels Drone Survey'!AA50</f>
        <v>-6.8095000000027994E-2</v>
      </c>
      <c r="AB50" s="191">
        <f>'Functional Levels Drone Survey'!AB50-'Existing Levels Drone Survey'!AB50</f>
        <v>0</v>
      </c>
      <c r="AC50" s="191">
        <f>'Functional Levels Drone Survey'!AC50-'Existing Levels Drone Survey'!AC50</f>
        <v>0</v>
      </c>
      <c r="AD50" s="191">
        <f>'Functional Levels Drone Survey'!AD50-'Existing Levels Drone Survey'!AD50</f>
        <v>0</v>
      </c>
      <c r="AE50" s="191">
        <f>'Functional Levels Drone Survey'!AE50-'Existing Levels Drone Survey'!AE50</f>
        <v>0</v>
      </c>
      <c r="AF50" s="191">
        <f>'Functional Levels Drone Survey'!AF50-'Existing Levels Drone Survey'!AF50</f>
        <v>0</v>
      </c>
      <c r="AG50" s="191">
        <f>'Functional Levels Drone Survey'!AG50-'Existing Levels Drone Survey'!AG50</f>
        <v>0</v>
      </c>
      <c r="AH50" s="191">
        <f>'Functional Levels Drone Survey'!AH50-'Existing Levels Drone Survey'!AH50</f>
        <v>0</v>
      </c>
      <c r="AI50" s="191">
        <f>'Functional Levels Drone Survey'!AI50-'Existing Levels Drone Survey'!AI50</f>
        <v>0</v>
      </c>
      <c r="AJ50" s="191">
        <f>'Functional Levels Drone Survey'!AJ50-'Existing Levels Drone Survey'!AJ50</f>
        <v>0</v>
      </c>
      <c r="AK50" s="191">
        <f>'Functional Levels Drone Survey'!AK50-'Existing Levels Drone Survey'!AK50</f>
        <v>0</v>
      </c>
      <c r="AL50" s="191">
        <f>'Functional Levels Drone Survey'!AL50-'Existing Levels Drone Survey'!AL50</f>
        <v>0</v>
      </c>
      <c r="AM50" s="191">
        <f>'Functional Levels Drone Survey'!AM50-'Existing Levels Drone Survey'!AM50</f>
        <v>0</v>
      </c>
      <c r="AN50" s="191">
        <f>'Functional Levels Drone Survey'!AN50-'Existing Levels Drone Survey'!AN50</f>
        <v>0</v>
      </c>
      <c r="AO50" s="191">
        <f>'Functional Levels Drone Survey'!AO50-'Existing Levels Drone Survey'!AO50</f>
        <v>0</v>
      </c>
      <c r="AP50" s="191">
        <f>'Functional Levels Drone Survey'!AP50-'Existing Levels Drone Survey'!AP50</f>
        <v>0</v>
      </c>
      <c r="AQ50" s="191">
        <f>'Functional Levels Drone Survey'!AQ50-'Existing Levels Drone Survey'!AQ50</f>
        <v>0</v>
      </c>
      <c r="AR50" s="191">
        <f>'Functional Levels Drone Survey'!AR50-'Existing Levels Drone Survey'!AR50</f>
        <v>0</v>
      </c>
      <c r="AS50" s="191">
        <f>'Functional Levels Drone Survey'!AS50-'Existing Levels Drone Survey'!AS50</f>
        <v>0</v>
      </c>
      <c r="AT50" s="191">
        <f>'Functional Levels Drone Survey'!AT50-'Existing Levels Drone Survey'!AT50</f>
        <v>0</v>
      </c>
      <c r="AU50" s="191">
        <f>'Functional Levels Drone Survey'!AU50-'Existing Levels Drone Survey'!AU50</f>
        <v>0</v>
      </c>
      <c r="AV50" s="191">
        <f>'Functional Levels Drone Survey'!AV50-'Existing Levels Drone Survey'!AV50</f>
        <v>0</v>
      </c>
      <c r="AW50" s="191">
        <f>'Functional Levels Drone Survey'!AW50-'Existing Levels Drone Survey'!AW50</f>
        <v>0</v>
      </c>
      <c r="AX50" s="191">
        <f>'Functional Levels Drone Survey'!AX50-'Existing Levels Drone Survey'!AX50</f>
        <v>0</v>
      </c>
      <c r="AY50" s="191">
        <f>'Functional Levels Drone Survey'!AY50-'Existing Levels Drone Survey'!AY50</f>
        <v>0</v>
      </c>
      <c r="AZ50" s="191">
        <f>'Functional Levels Drone Survey'!AZ50-'Existing Levels Drone Survey'!AZ50</f>
        <v>0</v>
      </c>
      <c r="BA50" s="278">
        <f>'Functional Levels Drone Survey'!BA50-'Existing Levels Drone Survey'!BA50</f>
        <v>-0.453361904762005</v>
      </c>
      <c r="BB50" s="191">
        <f>'Functional Levels Drone Survey'!BB50-'Existing Levels Drone Survey'!BB50</f>
        <v>-4.8761904761988717E-2</v>
      </c>
      <c r="BC50" s="191">
        <f>'Functional Levels Drone Survey'!BC50-'Existing Levels Drone Survey'!BC50</f>
        <v>-0.14976190476198781</v>
      </c>
      <c r="BD50" s="191">
        <f>'Functional Levels Drone Survey'!BD50-'Existing Levels Drone Survey'!BD50</f>
        <v>-0.14496190476199899</v>
      </c>
      <c r="BE50" s="191">
        <f>'Functional Levels Drone Survey'!BE50-'Existing Levels Drone Survey'!BE50</f>
        <v>-5.9619047619889898E-3</v>
      </c>
      <c r="BF50" s="279">
        <f>'Functional Levels Drone Survey'!BF50-'Existing Levels Drone Survey'!BF50</f>
        <v>0.31863809523804321</v>
      </c>
      <c r="BG50" s="191">
        <f>'Functional Levels Drone Survey'!BG50-'Existing Levels Drone Survey'!BG50</f>
        <v>0.20663809523802001</v>
      </c>
      <c r="BH50" s="191">
        <f>'Functional Levels Drone Survey'!BH50-'Existing Levels Drone Survey'!BH50</f>
        <v>6.2038095237994639E-2</v>
      </c>
      <c r="BI50" s="191">
        <f>'Functional Levels Drone Survey'!BI50-'Existing Levels Drone Survey'!BI50</f>
        <v>0.27183809523802438</v>
      </c>
      <c r="BJ50" s="191">
        <f>'Functional Levels Drone Survey'!BJ50-'Existing Levels Drone Survey'!BJ50</f>
        <v>0.32513809523800319</v>
      </c>
      <c r="BK50" s="191">
        <f>'Functional Levels Drone Survey'!BK50-'Existing Levels Drone Survey'!BK50</f>
        <v>0.36333809523802074</v>
      </c>
      <c r="BL50" s="191">
        <f>'Functional Levels Drone Survey'!BL50-'Existing Levels Drone Survey'!BL50</f>
        <v>0.31803809523802329</v>
      </c>
      <c r="BM50" s="191">
        <f>'Functional Levels Drone Survey'!BM50-'Existing Levels Drone Survey'!BM50</f>
        <v>0.3571380952380423</v>
      </c>
      <c r="BN50" s="191">
        <f>'Functional Levels Drone Survey'!BN50-'Existing Levels Drone Survey'!BN50</f>
        <v>0.39703809523803102</v>
      </c>
      <c r="BO50" s="191">
        <f>'Functional Levels Drone Survey'!BO50-'Existing Levels Drone Survey'!BO50</f>
        <v>0.38613809523803866</v>
      </c>
      <c r="BP50" s="191">
        <f>'Functional Levels Drone Survey'!BP50-'Existing Levels Drone Survey'!BP50</f>
        <v>0.33773809523802356</v>
      </c>
      <c r="BQ50" s="191">
        <f>'Functional Levels Drone Survey'!BQ50-'Existing Levels Drone Survey'!BQ50</f>
        <v>0.33193809523800155</v>
      </c>
      <c r="BR50" s="191">
        <f>'Functional Levels Drone Survey'!BR50-'Existing Levels Drone Survey'!BR50</f>
        <v>0.22923809523803129</v>
      </c>
      <c r="BS50" s="191">
        <f>'Functional Levels Drone Survey'!BS50-'Existing Levels Drone Survey'!BS50</f>
        <v>0.21583809523804121</v>
      </c>
      <c r="BT50" s="191">
        <f>'Functional Levels Drone Survey'!BT50-'Existing Levels Drone Survey'!BT50</f>
        <v>0.15293809523802793</v>
      </c>
      <c r="BU50" s="191">
        <f>'Functional Levels Drone Survey'!BU50-'Existing Levels Drone Survey'!BU50</f>
        <v>0.34233809523800574</v>
      </c>
      <c r="BV50" s="191">
        <f>'Functional Levels Drone Survey'!BV50-'Existing Levels Drone Survey'!BV50</f>
        <v>0.47023809523801674</v>
      </c>
      <c r="BW50" s="191">
        <f>'Functional Levels Drone Survey'!BW50-'Existing Levels Drone Survey'!BW50</f>
        <v>0.4991380952380382</v>
      </c>
      <c r="BX50" s="191">
        <f>'Functional Levels Drone Survey'!BX50-'Existing Levels Drone Survey'!BX50</f>
        <v>0.54963809523803775</v>
      </c>
      <c r="BY50" s="191">
        <f>'Functional Levels Drone Survey'!BY50-'Existing Levels Drone Survey'!BY50</f>
        <v>0.55373809523803175</v>
      </c>
      <c r="BZ50" s="279">
        <f>'Functional Levels Drone Survey'!BZ50-'Existing Levels Drone Survey'!BZ50</f>
        <v>0.56833809523800483</v>
      </c>
      <c r="CA50" s="191">
        <f>'Functional Levels Drone Survey'!CA50-'Existing Levels Drone Survey'!CA50</f>
        <v>0.28390476190475056</v>
      </c>
      <c r="CB50" s="191">
        <f>'Functional Levels Drone Survey'!CB50-'Existing Levels Drone Survey'!CB50</f>
        <v>0.30150476190470954</v>
      </c>
      <c r="CC50" s="279">
        <f>'Functional Levels Drone Survey'!CC50-'Existing Levels Drone Survey'!CC50</f>
        <v>0.31600476190476456</v>
      </c>
      <c r="CD50" s="191">
        <f>'Functional Levels Drone Survey'!CD50-'Existing Levels Drone Survey'!CD50</f>
        <v>0.3285047619047532</v>
      </c>
      <c r="CE50" s="191">
        <f>'Functional Levels Drone Survey'!CE50-'Existing Levels Drone Survey'!CE50</f>
        <v>0.32790476190473328</v>
      </c>
      <c r="CF50" s="191">
        <f>'Functional Levels Drone Survey'!CF50-'Existing Levels Drone Survey'!CF50</f>
        <v>0.40650476190472773</v>
      </c>
      <c r="CG50" s="191">
        <f>'Functional Levels Drone Survey'!CG50-'Existing Levels Drone Survey'!CG50</f>
        <v>0.39160476190471627</v>
      </c>
      <c r="CH50" s="191">
        <f>'Functional Levels Drone Survey'!CH50-'Existing Levels Drone Survey'!CH50</f>
        <v>0.37980476190472245</v>
      </c>
      <c r="CI50" s="191">
        <f>'Functional Levels Drone Survey'!CI50-'Existing Levels Drone Survey'!CI50</f>
        <v>0.370704761904733</v>
      </c>
      <c r="CJ50" s="191">
        <f>'Functional Levels Drone Survey'!CJ50-'Existing Levels Drone Survey'!CJ50</f>
        <v>0.37220476190475438</v>
      </c>
      <c r="CK50" s="191">
        <f>'Functional Levels Drone Survey'!CK50-'Existing Levels Drone Survey'!CK50</f>
        <v>0.3577047619047562</v>
      </c>
      <c r="CL50" s="191">
        <f>'Functional Levels Drone Survey'!CL50-'Existing Levels Drone Survey'!CL50</f>
        <v>0.37690476190471145</v>
      </c>
      <c r="CM50" s="191">
        <f>'Functional Levels Drone Survey'!CM50-'Existing Levels Drone Survey'!CM50</f>
        <v>0.4091047619047572</v>
      </c>
      <c r="CN50" s="191">
        <f>'Functional Levels Drone Survey'!CN50-'Existing Levels Drone Survey'!CN50</f>
        <v>0.43700476190474546</v>
      </c>
      <c r="CO50" s="191">
        <f>'Functional Levels Drone Survey'!CO50-'Existing Levels Drone Survey'!CO50</f>
        <v>0.47130476190471882</v>
      </c>
      <c r="CP50" s="191">
        <f>'Functional Levels Drone Survey'!CP50-'Existing Levels Drone Survey'!CP50</f>
        <v>0.46690476190474328</v>
      </c>
      <c r="CQ50" s="191">
        <f>'Functional Levels Drone Survey'!CQ50-'Existing Levels Drone Survey'!CQ50</f>
        <v>0.49900476190475729</v>
      </c>
      <c r="CR50" s="191">
        <f>'Functional Levels Drone Survey'!CR50-'Existing Levels Drone Survey'!CR50</f>
        <v>0.276104761904719</v>
      </c>
      <c r="CS50" s="191">
        <f>'Functional Levels Drone Survey'!CS50-'Existing Levels Drone Survey'!CS50</f>
        <v>0.15470476190472482</v>
      </c>
      <c r="CT50" s="191">
        <f>'Functional Levels Drone Survey'!CT50-'Existing Levels Drone Survey'!CT50</f>
        <v>0.16190476190473646</v>
      </c>
      <c r="CU50" s="191">
        <f>'Functional Levels Drone Survey'!CU50-'Existing Levels Drone Survey'!CU50</f>
        <v>0.15480476190475656</v>
      </c>
      <c r="CV50" s="191">
        <f>'Functional Levels Drone Survey'!CV50-'Existing Levels Drone Survey'!CV50</f>
        <v>0.15280476190474701</v>
      </c>
      <c r="CW50" s="279">
        <f>'Functional Levels Drone Survey'!CW50-'Existing Levels Drone Survey'!CW50</f>
        <v>0.32900476190474137</v>
      </c>
      <c r="CX50" s="191">
        <f>'Functional Levels Drone Survey'!CX50-'Existing Levels Drone Survey'!CX50</f>
        <v>9.9066666666601577E-2</v>
      </c>
      <c r="CY50" s="279">
        <f>'Functional Levels Drone Survey'!CY50-'Existing Levels Drone Survey'!CY50</f>
        <v>0.14226666666655774</v>
      </c>
      <c r="CZ50" s="191">
        <f>'Functional Levels Drone Survey'!CZ50-'Existing Levels Drone Survey'!CZ50</f>
        <v>0.13216666666659194</v>
      </c>
      <c r="DA50" s="191">
        <f>'Functional Levels Drone Survey'!DA50-'Existing Levels Drone Survey'!DA50</f>
        <v>0.2387666666666064</v>
      </c>
      <c r="DB50" s="191">
        <f>'Functional Levels Drone Survey'!DB50-'Existing Levels Drone Survey'!DB50</f>
        <v>0.15446666666656483</v>
      </c>
      <c r="DC50" s="191">
        <f>'Functional Levels Drone Survey'!DC50-'Existing Levels Drone Survey'!DC50</f>
        <v>0.2276666666666074</v>
      </c>
      <c r="DD50" s="191">
        <f>'Functional Levels Drone Survey'!DD50-'Existing Levels Drone Survey'!DD50</f>
        <v>6.0666666666577385E-2</v>
      </c>
      <c r="DE50" s="191">
        <f>'Functional Levels Drone Survey'!DE50-'Existing Levels Drone Survey'!DE50</f>
        <v>0.15076666666658411</v>
      </c>
      <c r="DF50" s="191">
        <f>'Functional Levels Drone Survey'!DF50-'Existing Levels Drone Survey'!DF50</f>
        <v>0.24436666666656492</v>
      </c>
      <c r="DG50" s="191">
        <f>'Functional Levels Drone Survey'!DG50-'Existing Levels Drone Survey'!DG50</f>
        <v>-1.2133333333395058E-2</v>
      </c>
      <c r="DH50" s="191">
        <f>'Functional Levels Drone Survey'!DH50-'Existing Levels Drone Survey'!DH50</f>
        <v>0.16976666666658957</v>
      </c>
      <c r="DI50" s="191">
        <f>'Functional Levels Drone Survey'!DI50-'Existing Levels Drone Survey'!DI50</f>
        <v>0.24386666666657675</v>
      </c>
      <c r="DJ50" s="191">
        <f>'Functional Levels Drone Survey'!DJ50-'Existing Levels Drone Survey'!DJ50</f>
        <v>0.30396666666661076</v>
      </c>
      <c r="DK50" s="191">
        <f>'Functional Levels Drone Survey'!DK50-'Existing Levels Drone Survey'!DK50</f>
        <v>0.33136666666661085</v>
      </c>
      <c r="DL50" s="191">
        <f>'Functional Levels Drone Survey'!DL50-'Existing Levels Drone Survey'!DL50</f>
        <v>5.9766666666575929E-2</v>
      </c>
      <c r="DM50" s="191">
        <f>'Functional Levels Drone Survey'!DM50-'Existing Levels Drone Survey'!DM50</f>
        <v>0.28086666666661131</v>
      </c>
      <c r="DN50" s="191">
        <f>'Functional Levels Drone Survey'!DN50-'Existing Levels Drone Survey'!DN50</f>
        <v>0.2791666666665833</v>
      </c>
      <c r="DO50" s="191">
        <f>'Functional Levels Drone Survey'!DO50-'Existing Levels Drone Survey'!DO50</f>
        <v>0.28066666666660467</v>
      </c>
      <c r="DP50" s="191">
        <f>'Functional Levels Drone Survey'!DP50-'Existing Levels Drone Survey'!DP50</f>
        <v>0.23516666666660058</v>
      </c>
      <c r="DQ50" s="191">
        <f>'Functional Levels Drone Survey'!DQ50-'Existing Levels Drone Survey'!DQ50</f>
        <v>0.28066666666660467</v>
      </c>
      <c r="DR50" s="191">
        <f>'Functional Levels Drone Survey'!DR50-'Existing Levels Drone Survey'!DR50</f>
        <v>0.77376666666657457</v>
      </c>
      <c r="DS50" s="279">
        <f>'Functional Levels Drone Survey'!DS50-'Existing Levels Drone Survey'!DS50</f>
        <v>0.49286666666660039</v>
      </c>
      <c r="DT50" s="191">
        <f>'Functional Levels Drone Survey'!DT50-'Existing Levels Drone Survey'!DT50</f>
        <v>0.11616666666657238</v>
      </c>
      <c r="DU50" s="191">
        <f>'Functional Levels Drone Survey'!DU50-'Existing Levels Drone Survey'!DU50</f>
        <v>8.6266666666574565E-2</v>
      </c>
      <c r="DV50" s="279">
        <f>'Functional Levels Drone Survey'!DV50-'Existing Levels Drone Survey'!DV50</f>
        <v>0.18109375000005912</v>
      </c>
      <c r="DW50" s="191">
        <f>'Functional Levels Drone Survey'!DW50-'Existing Levels Drone Survey'!DW50</f>
        <v>0.20379375000004529</v>
      </c>
      <c r="DX50" s="191">
        <f>'Functional Levels Drone Survey'!DX50-'Existing Levels Drone Survey'!DX50</f>
        <v>0.24319375000004584</v>
      </c>
      <c r="DY50" s="191">
        <f>'Functional Levels Drone Survey'!DY50-'Existing Levels Drone Survey'!DY50</f>
        <v>0.27499375000002146</v>
      </c>
      <c r="DZ50" s="191">
        <f>'Functional Levels Drone Survey'!DZ50-'Existing Levels Drone Survey'!DZ50</f>
        <v>0.30609375000005912</v>
      </c>
      <c r="EA50" s="191">
        <f>'Functional Levels Drone Survey'!EA50-'Existing Levels Drone Survey'!EA50</f>
        <v>0.33399375000004738</v>
      </c>
      <c r="EB50" s="191">
        <f>'Functional Levels Drone Survey'!EB50-'Existing Levels Drone Survey'!EB50</f>
        <v>0.31509375000001683</v>
      </c>
      <c r="EC50" s="191">
        <f>'Functional Levels Drone Survey'!EC50-'Existing Levels Drone Survey'!EC50</f>
        <v>0.28539375000002565</v>
      </c>
      <c r="ED50" s="191">
        <f>'Functional Levels Drone Survey'!ED50-'Existing Levels Drone Survey'!ED50</f>
        <v>0.41989375000002838</v>
      </c>
      <c r="EE50" s="191">
        <f>'Functional Levels Drone Survey'!EE50-'Existing Levels Drone Survey'!EE50</f>
        <v>0.42309375000002092</v>
      </c>
      <c r="EF50" s="191">
        <f>'Functional Levels Drone Survey'!EF50-'Existing Levels Drone Survey'!EF50</f>
        <v>0.37659375000004047</v>
      </c>
      <c r="EG50" s="191">
        <f>'Functional Levels Drone Survey'!EG50-'Existing Levels Drone Survey'!EG50</f>
        <v>0.48289375000001655</v>
      </c>
      <c r="EH50" s="191">
        <f>'Functional Levels Drone Survey'!EH50-'Existing Levels Drone Survey'!EH50</f>
        <v>0.44729375000002847</v>
      </c>
      <c r="EI50" s="191">
        <f>'Functional Levels Drone Survey'!EI50-'Existing Levels Drone Survey'!EI50</f>
        <v>0.37289375000005975</v>
      </c>
      <c r="EJ50" s="191">
        <f>'Functional Levels Drone Survey'!EJ50-'Existing Levels Drone Survey'!EJ50</f>
        <v>0.4163937500000543</v>
      </c>
      <c r="EK50" s="279">
        <f>'Functional Levels Drone Survey'!EK50-'Existing Levels Drone Survey'!EK50</f>
        <v>0.3680937500000141</v>
      </c>
      <c r="EL50" s="191">
        <f>'Functional Levels Drone Survey'!EL50-'Existing Levels Drone Survey'!EL50</f>
        <v>7.0293750000018917E-2</v>
      </c>
      <c r="EM50" s="191">
        <f>'Functional Levels Drone Survey'!EM50-'Existing Levels Drone Survey'!EM50</f>
        <v>0.26779375000000982</v>
      </c>
      <c r="EN50" s="191">
        <f>'Functional Levels Drone Survey'!EN50-'Existing Levels Drone Survey'!EN50</f>
        <v>0.17559375000001864</v>
      </c>
      <c r="EO50" s="191">
        <f>'Functional Levels Drone Survey'!EO50-'Existing Levels Drone Survey'!EO50</f>
        <v>0.304493750000006</v>
      </c>
      <c r="EP50" s="191">
        <f>'Functional Levels Drone Survey'!EP50-'Existing Levels Drone Survey'!EP50</f>
        <v>0.22289375000002565</v>
      </c>
      <c r="EQ50" s="191">
        <f>'Functional Levels Drone Survey'!EQ50-'Existing Levels Drone Survey'!EQ50</f>
        <v>0.30539375000000746</v>
      </c>
      <c r="ER50" s="191">
        <f>'Functional Levels Drone Survey'!ER50-'Existing Levels Drone Survey'!ER50</f>
        <v>0.42869375000003629</v>
      </c>
      <c r="ES50" s="191">
        <f>'Functional Levels Drone Survey'!ES50-'Existing Levels Drone Survey'!ES50</f>
        <v>0.36779375000003256</v>
      </c>
      <c r="ET50" s="191">
        <f>'Functional Levels Drone Survey'!ET50-'Existing Levels Drone Survey'!ET50</f>
        <v>0.44549375000002556</v>
      </c>
      <c r="EU50" s="191">
        <f>'Functional Levels Drone Survey'!EU50-'Existing Levels Drone Survey'!EU50</f>
        <v>0.45699375000003783</v>
      </c>
      <c r="EV50" s="278">
        <f>'Functional Levels Drone Survey'!EV50-'Existing Levels Drone Survey'!EV50</f>
        <v>0.43939375000002201</v>
      </c>
      <c r="EW50" s="191">
        <f>'Functional Levels Drone Survey'!EW50-'Existing Levels Drone Survey'!EW50</f>
        <v>0</v>
      </c>
      <c r="EX50" s="191">
        <f>'Functional Levels Drone Survey'!EX50-'Existing Levels Drone Survey'!EX50</f>
        <v>0</v>
      </c>
      <c r="EY50" s="191">
        <f>'Functional Levels Drone Survey'!EY50-'Existing Levels Drone Survey'!EY50</f>
        <v>0</v>
      </c>
    </row>
    <row r="51" spans="1:155" ht="45" customHeight="1" x14ac:dyDescent="0.45">
      <c r="A51" s="277">
        <v>250</v>
      </c>
      <c r="B51" s="191">
        <f>'Functional Levels Drone Survey'!B51-'Existing Levels Drone Survey'!B51</f>
        <v>0</v>
      </c>
      <c r="C51" s="278">
        <f>'Functional Levels Drone Survey'!C51-'Existing Levels Drone Survey'!C51</f>
        <v>-0.14389500000004318</v>
      </c>
      <c r="D51" s="191">
        <f>'Functional Levels Drone Survey'!D51-'Existing Levels Drone Survey'!D51</f>
        <v>0.21100499999994327</v>
      </c>
      <c r="E51" s="191">
        <f>'Functional Levels Drone Survey'!E51-'Existing Levels Drone Survey'!E51</f>
        <v>0.18970499999994672</v>
      </c>
      <c r="F51" s="279">
        <f>'Functional Levels Drone Survey'!F51-'Existing Levels Drone Survey'!F51</f>
        <v>0.33500499999996691</v>
      </c>
      <c r="G51" s="191">
        <f>'Functional Levels Drone Survey'!G51-'Existing Levels Drone Survey'!G51</f>
        <v>0.35690499999998337</v>
      </c>
      <c r="H51" s="191">
        <f>'Functional Levels Drone Survey'!H51-'Existing Levels Drone Survey'!H51</f>
        <v>0.37530499999996891</v>
      </c>
      <c r="I51" s="191">
        <f>'Functional Levels Drone Survey'!I51-'Existing Levels Drone Survey'!I51</f>
        <v>0.36660499999999274</v>
      </c>
      <c r="J51" s="191">
        <f>'Functional Levels Drone Survey'!J51-'Existing Levels Drone Survey'!J51</f>
        <v>0.37240499999995791</v>
      </c>
      <c r="K51" s="191">
        <f>'Functional Levels Drone Survey'!K51-'Existing Levels Drone Survey'!K51</f>
        <v>0.37400499999995418</v>
      </c>
      <c r="L51" s="191">
        <f>'Functional Levels Drone Survey'!L51-'Existing Levels Drone Survey'!L51</f>
        <v>0.36890499999998383</v>
      </c>
      <c r="M51" s="191">
        <f>'Functional Levels Drone Survey'!M51-'Existing Levels Drone Survey'!M51</f>
        <v>0.35010499999998501</v>
      </c>
      <c r="N51" s="191">
        <f>'Functional Levels Drone Survey'!N51-'Existing Levels Drone Survey'!N51</f>
        <v>0.24800499999997783</v>
      </c>
      <c r="O51" s="191">
        <f>'Functional Levels Drone Survey'!O51-'Existing Levels Drone Survey'!O51</f>
        <v>0.34790499999996882</v>
      </c>
      <c r="P51" s="191">
        <f>'Functional Levels Drone Survey'!P51-'Existing Levels Drone Survey'!P51</f>
        <v>0.36280499999998028</v>
      </c>
      <c r="Q51" s="191">
        <f>'Functional Levels Drone Survey'!Q51-'Existing Levels Drone Survey'!Q51</f>
        <v>0.34460500000000138</v>
      </c>
      <c r="R51" s="191">
        <f>'Functional Levels Drone Survey'!R51-'Existing Levels Drone Survey'!R51</f>
        <v>0.35100499999998647</v>
      </c>
      <c r="S51" s="191">
        <f>'Functional Levels Drone Survey'!S51-'Existing Levels Drone Survey'!S51</f>
        <v>0.34590499999995927</v>
      </c>
      <c r="T51" s="191">
        <f>'Functional Levels Drone Survey'!T51-'Existing Levels Drone Survey'!T51</f>
        <v>0.36150499999996555</v>
      </c>
      <c r="U51" s="191">
        <f>'Functional Levels Drone Survey'!U51-'Existing Levels Drone Survey'!U51</f>
        <v>0.37280499999997119</v>
      </c>
      <c r="V51" s="191">
        <f>'Functional Levels Drone Survey'!V51-'Existing Levels Drone Survey'!V51</f>
        <v>0.41550499999999602</v>
      </c>
      <c r="W51" s="191">
        <f>'Functional Levels Drone Survey'!W51-'Existing Levels Drone Survey'!W51</f>
        <v>0.39440500000000611</v>
      </c>
      <c r="X51" s="191">
        <f>'Functional Levels Drone Survey'!X51-'Existing Levels Drone Survey'!X51</f>
        <v>0.34850499999998874</v>
      </c>
      <c r="Y51" s="279">
        <f>'Functional Levels Drone Survey'!Y51-'Existing Levels Drone Survey'!Y51</f>
        <v>0.1981049999999982</v>
      </c>
      <c r="Z51" s="191">
        <f>'Functional Levels Drone Survey'!Z51-'Existing Levels Drone Survey'!Z51</f>
        <v>6.6404999999974734E-2</v>
      </c>
      <c r="AA51" s="278">
        <f>'Functional Levels Drone Survey'!AA51-'Existing Levels Drone Survey'!AA51</f>
        <v>-3.5950000000184446E-3</v>
      </c>
      <c r="AB51" s="191">
        <f>'Functional Levels Drone Survey'!AB51-'Existing Levels Drone Survey'!AB51</f>
        <v>0</v>
      </c>
      <c r="AC51" s="191">
        <f>'Functional Levels Drone Survey'!AC51-'Existing Levels Drone Survey'!AC51</f>
        <v>0</v>
      </c>
      <c r="AD51" s="191">
        <f>'Functional Levels Drone Survey'!AD51-'Existing Levels Drone Survey'!AD51</f>
        <v>0</v>
      </c>
      <c r="AE51" s="191">
        <f>'Functional Levels Drone Survey'!AE51-'Existing Levels Drone Survey'!AE51</f>
        <v>0</v>
      </c>
      <c r="AF51" s="191">
        <f>'Functional Levels Drone Survey'!AF51-'Existing Levels Drone Survey'!AF51</f>
        <v>0</v>
      </c>
      <c r="AG51" s="191">
        <f>'Functional Levels Drone Survey'!AG51-'Existing Levels Drone Survey'!AG51</f>
        <v>0</v>
      </c>
      <c r="AH51" s="191">
        <f>'Functional Levels Drone Survey'!AH51-'Existing Levels Drone Survey'!AH51</f>
        <v>0</v>
      </c>
      <c r="AI51" s="191">
        <f>'Functional Levels Drone Survey'!AI51-'Existing Levels Drone Survey'!AI51</f>
        <v>0</v>
      </c>
      <c r="AJ51" s="191">
        <f>'Functional Levels Drone Survey'!AJ51-'Existing Levels Drone Survey'!AJ51</f>
        <v>0</v>
      </c>
      <c r="AK51" s="191">
        <f>'Functional Levels Drone Survey'!AK51-'Existing Levels Drone Survey'!AK51</f>
        <v>0</v>
      </c>
      <c r="AL51" s="191">
        <f>'Functional Levels Drone Survey'!AL51-'Existing Levels Drone Survey'!AL51</f>
        <v>0</v>
      </c>
      <c r="AM51" s="191">
        <f>'Functional Levels Drone Survey'!AM51-'Existing Levels Drone Survey'!AM51</f>
        <v>0</v>
      </c>
      <c r="AN51" s="191">
        <f>'Functional Levels Drone Survey'!AN51-'Existing Levels Drone Survey'!AN51</f>
        <v>0</v>
      </c>
      <c r="AO51" s="191">
        <f>'Functional Levels Drone Survey'!AO51-'Existing Levels Drone Survey'!AO51</f>
        <v>0</v>
      </c>
      <c r="AP51" s="191">
        <f>'Functional Levels Drone Survey'!AP51-'Existing Levels Drone Survey'!AP51</f>
        <v>0</v>
      </c>
      <c r="AQ51" s="191">
        <f>'Functional Levels Drone Survey'!AQ51-'Existing Levels Drone Survey'!AQ51</f>
        <v>0</v>
      </c>
      <c r="AR51" s="191">
        <f>'Functional Levels Drone Survey'!AR51-'Existing Levels Drone Survey'!AR51</f>
        <v>0</v>
      </c>
      <c r="AS51" s="191">
        <f>'Functional Levels Drone Survey'!AS51-'Existing Levels Drone Survey'!AS51</f>
        <v>0</v>
      </c>
      <c r="AT51" s="191">
        <f>'Functional Levels Drone Survey'!AT51-'Existing Levels Drone Survey'!AT51</f>
        <v>0</v>
      </c>
      <c r="AU51" s="191">
        <f>'Functional Levels Drone Survey'!AU51-'Existing Levels Drone Survey'!AU51</f>
        <v>0</v>
      </c>
      <c r="AV51" s="191">
        <f>'Functional Levels Drone Survey'!AV51-'Existing Levels Drone Survey'!AV51</f>
        <v>0</v>
      </c>
      <c r="AW51" s="191">
        <f>'Functional Levels Drone Survey'!AW51-'Existing Levels Drone Survey'!AW51</f>
        <v>0</v>
      </c>
      <c r="AX51" s="191">
        <f>'Functional Levels Drone Survey'!AX51-'Existing Levels Drone Survey'!AX51</f>
        <v>0</v>
      </c>
      <c r="AY51" s="191">
        <f>'Functional Levels Drone Survey'!AY51-'Existing Levels Drone Survey'!AY51</f>
        <v>0</v>
      </c>
      <c r="AZ51" s="191">
        <f>'Functional Levels Drone Survey'!AZ51-'Existing Levels Drone Survey'!AZ51</f>
        <v>0</v>
      </c>
      <c r="BA51" s="278">
        <f>'Functional Levels Drone Survey'!BA51-'Existing Levels Drone Survey'!BA51</f>
        <v>-0.13196190476196534</v>
      </c>
      <c r="BB51" s="278">
        <f>'Functional Levels Drone Survey'!BB51-'Existing Levels Drone Survey'!BB51</f>
        <v>0.377238095237999</v>
      </c>
      <c r="BC51" s="278">
        <f>'Functional Levels Drone Survey'!BC51-'Existing Levels Drone Survey'!BC51</f>
        <v>-0.40156190476199072</v>
      </c>
      <c r="BD51" s="191">
        <f>'Functional Levels Drone Survey'!BD51-'Existing Levels Drone Survey'!BD51</f>
        <v>0.18183809523799255</v>
      </c>
      <c r="BE51" s="191">
        <f>'Functional Levels Drone Survey'!BE51-'Existing Levels Drone Survey'!BE51</f>
        <v>0.34723809523802629</v>
      </c>
      <c r="BF51" s="279">
        <f>'Functional Levels Drone Survey'!BF51-'Existing Levels Drone Survey'!BF51</f>
        <v>0.4266380952380473</v>
      </c>
      <c r="BG51" s="191">
        <f>'Functional Levels Drone Survey'!BG51-'Existing Levels Drone Survey'!BG51</f>
        <v>0.74093809523805021</v>
      </c>
      <c r="BH51" s="191">
        <f>'Functional Levels Drone Survey'!BH51-'Existing Levels Drone Survey'!BH51</f>
        <v>0.36113809523800455</v>
      </c>
      <c r="BI51" s="191">
        <f>'Functional Levels Drone Survey'!BI51-'Existing Levels Drone Survey'!BI51</f>
        <v>0.37233809523803529</v>
      </c>
      <c r="BJ51" s="191">
        <f>'Functional Levels Drone Survey'!BJ51-'Existing Levels Drone Survey'!BJ51</f>
        <v>0.38283809523801438</v>
      </c>
      <c r="BK51" s="191">
        <f>'Functional Levels Drone Survey'!BK51-'Existing Levels Drone Survey'!BK51</f>
        <v>0.35023809523801219</v>
      </c>
      <c r="BL51" s="191">
        <f>'Functional Levels Drone Survey'!BL51-'Existing Levels Drone Survey'!BL51</f>
        <v>0.3752380952380463</v>
      </c>
      <c r="BM51" s="191">
        <f>'Functional Levels Drone Survey'!BM51-'Existing Levels Drone Survey'!BM51</f>
        <v>0.40493809523803748</v>
      </c>
      <c r="BN51" s="191">
        <f>'Functional Levels Drone Survey'!BN51-'Existing Levels Drone Survey'!BN51</f>
        <v>0.41443809523804021</v>
      </c>
      <c r="BO51" s="191">
        <f>'Functional Levels Drone Survey'!BO51-'Existing Levels Drone Survey'!BO51</f>
        <v>0.40433809523801756</v>
      </c>
      <c r="BP51" s="191">
        <f>'Functional Levels Drone Survey'!BP51-'Existing Levels Drone Survey'!BP51</f>
        <v>0.42443809523803111</v>
      </c>
      <c r="BQ51" s="191">
        <f>'Functional Levels Drone Survey'!BQ51-'Existing Levels Drone Survey'!BQ51</f>
        <v>0.42083809523802529</v>
      </c>
      <c r="BR51" s="191">
        <f>'Functional Levels Drone Survey'!BR51-'Existing Levels Drone Survey'!BR51</f>
        <v>0.42343809523805476</v>
      </c>
      <c r="BS51" s="191">
        <f>'Functional Levels Drone Survey'!BS51-'Existing Levels Drone Survey'!BS51</f>
        <v>0.50363809523804548</v>
      </c>
      <c r="BT51" s="191">
        <f>'Functional Levels Drone Survey'!BT51-'Existing Levels Drone Survey'!BT51</f>
        <v>0.5325380952380101</v>
      </c>
      <c r="BU51" s="191">
        <f>'Functional Levels Drone Survey'!BU51-'Existing Levels Drone Survey'!BU51</f>
        <v>0.56893809523802474</v>
      </c>
      <c r="BV51" s="191">
        <f>'Functional Levels Drone Survey'!BV51-'Existing Levels Drone Survey'!BV51</f>
        <v>0.55423809523801992</v>
      </c>
      <c r="BW51" s="191">
        <f>'Functional Levels Drone Survey'!BW51-'Existing Levels Drone Survey'!BW51</f>
        <v>0.55563809523800956</v>
      </c>
      <c r="BX51" s="191">
        <f>'Functional Levels Drone Survey'!BX51-'Existing Levels Drone Survey'!BX51</f>
        <v>0.57613809523803639</v>
      </c>
      <c r="BY51" s="191">
        <f>'Functional Levels Drone Survey'!BY51-'Existing Levels Drone Survey'!BY51</f>
        <v>0.5739380952380202</v>
      </c>
      <c r="BZ51" s="279">
        <f>'Functional Levels Drone Survey'!BZ51-'Existing Levels Drone Survey'!BZ51</f>
        <v>0.60813809523801865</v>
      </c>
      <c r="CA51" s="191">
        <f>'Functional Levels Drone Survey'!CA51-'Existing Levels Drone Survey'!CA51</f>
        <v>0.35540476190476511</v>
      </c>
      <c r="CB51" s="191">
        <f>'Functional Levels Drone Survey'!CB51-'Existing Levels Drone Survey'!CB51</f>
        <v>0.36870476190472345</v>
      </c>
      <c r="CC51" s="279">
        <f>'Functional Levels Drone Survey'!CC51-'Existing Levels Drone Survey'!CC51</f>
        <v>0.35380476190476884</v>
      </c>
      <c r="CD51" s="191">
        <f>'Functional Levels Drone Survey'!CD51-'Existing Levels Drone Survey'!CD51</f>
        <v>0.37240476190476102</v>
      </c>
      <c r="CE51" s="191">
        <f>'Functional Levels Drone Survey'!CE51-'Existing Levels Drone Survey'!CE51</f>
        <v>0.37460476190477721</v>
      </c>
      <c r="CF51" s="191">
        <f>'Functional Levels Drone Survey'!CF51-'Existing Levels Drone Survey'!CF51</f>
        <v>0.42330476190477384</v>
      </c>
      <c r="CG51" s="191">
        <f>'Functional Levels Drone Survey'!CG51-'Existing Levels Drone Survey'!CG51</f>
        <v>0.43640476190472555</v>
      </c>
      <c r="CH51" s="191">
        <f>'Functional Levels Drone Survey'!CH51-'Existing Levels Drone Survey'!CH51</f>
        <v>0.45550476190476274</v>
      </c>
      <c r="CI51" s="191">
        <f>'Functional Levels Drone Survey'!CI51-'Existing Levels Drone Survey'!CI51</f>
        <v>0.4313047619047552</v>
      </c>
      <c r="CJ51" s="191">
        <f>'Functional Levels Drone Survey'!CJ51-'Existing Levels Drone Survey'!CJ51</f>
        <v>0.43370476190472118</v>
      </c>
      <c r="CK51" s="191">
        <f>'Functional Levels Drone Survey'!CK51-'Existing Levels Drone Survey'!CK51</f>
        <v>0.42180476190475247</v>
      </c>
      <c r="CL51" s="191">
        <f>'Functional Levels Drone Survey'!CL51-'Existing Levels Drone Survey'!CL51</f>
        <v>0.41130476190477339</v>
      </c>
      <c r="CM51" s="191">
        <f>'Functional Levels Drone Survey'!CM51-'Existing Levels Drone Survey'!CM51</f>
        <v>0.45010476190475401</v>
      </c>
      <c r="CN51" s="191">
        <f>'Functional Levels Drone Survey'!CN51-'Existing Levels Drone Survey'!CN51</f>
        <v>0.47540476190476966</v>
      </c>
      <c r="CO51" s="191">
        <f>'Functional Levels Drone Survey'!CO51-'Existing Levels Drone Survey'!CO51</f>
        <v>0.50340476190473282</v>
      </c>
      <c r="CP51" s="191">
        <f>'Functional Levels Drone Survey'!CP51-'Existing Levels Drone Survey'!CP51</f>
        <v>0.47470476190477484</v>
      </c>
      <c r="CQ51" s="191">
        <f>'Functional Levels Drone Survey'!CQ51-'Existing Levels Drone Survey'!CQ51</f>
        <v>0.48370476190473255</v>
      </c>
      <c r="CR51" s="191">
        <f>'Functional Levels Drone Survey'!CR51-'Existing Levels Drone Survey'!CR51</f>
        <v>0.26690476190475465</v>
      </c>
      <c r="CS51" s="191">
        <f>'Functional Levels Drone Survey'!CS51-'Existing Levels Drone Survey'!CS51</f>
        <v>0.334504761904725</v>
      </c>
      <c r="CT51" s="191">
        <f>'Functional Levels Drone Survey'!CT51-'Existing Levels Drone Survey'!CT51</f>
        <v>0.38710476190476584</v>
      </c>
      <c r="CU51" s="191">
        <f>'Functional Levels Drone Survey'!CU51-'Existing Levels Drone Survey'!CU51</f>
        <v>0.46850476190473955</v>
      </c>
      <c r="CV51" s="191">
        <f>'Functional Levels Drone Survey'!CV51-'Existing Levels Drone Survey'!CV51</f>
        <v>0.47720476190477257</v>
      </c>
      <c r="CW51" s="279">
        <f>'Functional Levels Drone Survey'!CW51-'Existing Levels Drone Survey'!CW51</f>
        <v>0.76280476190476065</v>
      </c>
      <c r="CX51" s="191">
        <f>'Functional Levels Drone Survey'!CX51-'Existing Levels Drone Survey'!CX51</f>
        <v>0.36546666666657757</v>
      </c>
      <c r="CY51" s="279">
        <f>'Functional Levels Drone Survey'!CY51-'Existing Levels Drone Survey'!CY51</f>
        <v>0.25116666666662013</v>
      </c>
      <c r="CZ51" s="191">
        <f>'Functional Levels Drone Survey'!CZ51-'Existing Levels Drone Survey'!CZ51</f>
        <v>0.32826666666659321</v>
      </c>
      <c r="DA51" s="191">
        <f>'Functional Levels Drone Survey'!DA51-'Existing Levels Drone Survey'!DA51</f>
        <v>1.6066666666574747E-2</v>
      </c>
      <c r="DB51" s="191">
        <f>'Functional Levels Drone Survey'!DB51-'Existing Levels Drone Survey'!DB51</f>
        <v>0.27816666666660694</v>
      </c>
      <c r="DC51" s="191">
        <f>'Functional Levels Drone Survey'!DC51-'Existing Levels Drone Survey'!DC51</f>
        <v>0.32026666666661185</v>
      </c>
      <c r="DD51" s="191">
        <f>'Functional Levels Drone Survey'!DD51-'Existing Levels Drone Survey'!DD51</f>
        <v>0.23166666666656965</v>
      </c>
      <c r="DE51" s="191">
        <f>'Functional Levels Drone Survey'!DE51-'Existing Levels Drone Survey'!DE51</f>
        <v>0.36846666666662031</v>
      </c>
      <c r="DF51" s="191">
        <f>'Functional Levels Drone Survey'!DF51-'Existing Levels Drone Survey'!DF51</f>
        <v>0.29056666666662068</v>
      </c>
      <c r="DG51" s="191">
        <f>'Functional Levels Drone Survey'!DG51-'Existing Levels Drone Survey'!DG51</f>
        <v>0.2720666666666034</v>
      </c>
      <c r="DH51" s="191">
        <f>'Functional Levels Drone Survey'!DH51-'Existing Levels Drone Survey'!DH51</f>
        <v>0.27066666666661376</v>
      </c>
      <c r="DI51" s="191">
        <f>'Functional Levels Drone Survey'!DI51-'Existing Levels Drone Survey'!DI51</f>
        <v>0.44926666666657411</v>
      </c>
      <c r="DJ51" s="191">
        <f>'Functional Levels Drone Survey'!DJ51-'Existing Levels Drone Survey'!DJ51</f>
        <v>0.42556666666661158</v>
      </c>
      <c r="DK51" s="191">
        <f>'Functional Levels Drone Survey'!DK51-'Existing Levels Drone Survey'!DK51</f>
        <v>0.42816666666658421</v>
      </c>
      <c r="DL51" s="191">
        <f>'Functional Levels Drone Survey'!DL51-'Existing Levels Drone Survey'!DL51</f>
        <v>0.28896666666662441</v>
      </c>
      <c r="DM51" s="191">
        <f>'Functional Levels Drone Survey'!DM51-'Existing Levels Drone Survey'!DM51</f>
        <v>0.33126666666657911</v>
      </c>
      <c r="DN51" s="191">
        <f>'Functional Levels Drone Survey'!DN51-'Existing Levels Drone Survey'!DN51</f>
        <v>0.36006666666656884</v>
      </c>
      <c r="DO51" s="191">
        <f>'Functional Levels Drone Survey'!DO51-'Existing Levels Drone Survey'!DO51</f>
        <v>0.27256666666659157</v>
      </c>
      <c r="DP51" s="191">
        <f>'Functional Levels Drone Survey'!DP51-'Existing Levels Drone Survey'!DP51</f>
        <v>0.23286666666660949</v>
      </c>
      <c r="DQ51" s="191">
        <f>'Functional Levels Drone Survey'!DQ51-'Existing Levels Drone Survey'!DQ51</f>
        <v>0.30366666666657238</v>
      </c>
      <c r="DR51" s="191">
        <f>'Functional Levels Drone Survey'!DR51-'Existing Levels Drone Survey'!DR51</f>
        <v>0.77006666666659385</v>
      </c>
      <c r="DS51" s="279">
        <f>'Functional Levels Drone Survey'!DS51-'Existing Levels Drone Survey'!DS51</f>
        <v>0.61616666666657238</v>
      </c>
      <c r="DT51" s="191">
        <f>'Functional Levels Drone Survey'!DT51-'Existing Levels Drone Survey'!DT51</f>
        <v>0.45886666666655174</v>
      </c>
      <c r="DU51" s="191">
        <f>'Functional Levels Drone Survey'!DU51-'Existing Levels Drone Survey'!DU51</f>
        <v>0.33026666666654592</v>
      </c>
      <c r="DV51" s="279">
        <f>'Functional Levels Drone Survey'!DV51-'Existing Levels Drone Survey'!DV51</f>
        <v>0.33189375000006294</v>
      </c>
      <c r="DW51" s="191">
        <f>'Functional Levels Drone Survey'!DW51-'Existing Levels Drone Survey'!DW51</f>
        <v>0.27149375000004738</v>
      </c>
      <c r="DX51" s="191">
        <f>'Functional Levels Drone Survey'!DX51-'Existing Levels Drone Survey'!DX51</f>
        <v>0.45719375000004447</v>
      </c>
      <c r="DY51" s="191">
        <f>'Functional Levels Drone Survey'!DY51-'Existing Levels Drone Survey'!DY51</f>
        <v>0.51969375000004447</v>
      </c>
      <c r="DZ51" s="191">
        <f>'Functional Levels Drone Survey'!DZ51-'Existing Levels Drone Survey'!DZ51</f>
        <v>0.49829375000007303</v>
      </c>
      <c r="EA51" s="191">
        <f>'Functional Levels Drone Survey'!EA51-'Existing Levels Drone Survey'!EA51</f>
        <v>0.44719375000005357</v>
      </c>
      <c r="EB51" s="191">
        <f>'Functional Levels Drone Survey'!EB51-'Existing Levels Drone Survey'!EB51</f>
        <v>0.55279375000003483</v>
      </c>
      <c r="EC51" s="191">
        <f>'Functional Levels Drone Survey'!EC51-'Existing Levels Drone Survey'!EC51</f>
        <v>0.53769375000007358</v>
      </c>
      <c r="ED51" s="191">
        <f>'Functional Levels Drone Survey'!ED51-'Existing Levels Drone Survey'!ED51</f>
        <v>0.46999375000007149</v>
      </c>
      <c r="EE51" s="191">
        <f>'Functional Levels Drone Survey'!EE51-'Existing Levels Drone Survey'!EE51</f>
        <v>0.4595937500000673</v>
      </c>
      <c r="EF51" s="191">
        <f>'Functional Levels Drone Survey'!EF51-'Existing Levels Drone Survey'!EF51</f>
        <v>0.5010937500000523</v>
      </c>
      <c r="EG51" s="191">
        <f>'Functional Levels Drone Survey'!EG51-'Existing Levels Drone Survey'!EG51</f>
        <v>0.48669375000002901</v>
      </c>
      <c r="EH51" s="191">
        <f>'Functional Levels Drone Survey'!EH51-'Existing Levels Drone Survey'!EH51</f>
        <v>0.50159375000004047</v>
      </c>
      <c r="EI51" s="191">
        <f>'Functional Levels Drone Survey'!EI51-'Existing Levels Drone Survey'!EI51</f>
        <v>0.45439375000006521</v>
      </c>
      <c r="EJ51" s="191">
        <f>'Functional Levels Drone Survey'!EJ51-'Existing Levels Drone Survey'!EJ51</f>
        <v>0.6098937500000261</v>
      </c>
      <c r="EK51" s="279">
        <f>'Functional Levels Drone Survey'!EK51-'Existing Levels Drone Survey'!EK51</f>
        <v>0.49879375000006121</v>
      </c>
      <c r="EL51" s="191">
        <f>'Functional Levels Drone Survey'!EL51-'Existing Levels Drone Survey'!EL51</f>
        <v>0.32169375000000855</v>
      </c>
      <c r="EM51" s="191">
        <f>'Functional Levels Drone Survey'!EM51-'Existing Levels Drone Survey'!EM51</f>
        <v>0.293393750000007</v>
      </c>
      <c r="EN51" s="191">
        <f>'Functional Levels Drone Survey'!EN51-'Existing Levels Drone Survey'!EN51</f>
        <v>0.36489375000002156</v>
      </c>
      <c r="EO51" s="191">
        <f>'Functional Levels Drone Survey'!EO51-'Existing Levels Drone Survey'!EO51</f>
        <v>0.3497937500000603</v>
      </c>
      <c r="EP51" s="191">
        <f>'Functional Levels Drone Survey'!EP51-'Existing Levels Drone Survey'!EP51</f>
        <v>0.4788937500000543</v>
      </c>
      <c r="EQ51" s="191">
        <f>'Functional Levels Drone Survey'!EQ51-'Existing Levels Drone Survey'!EQ51</f>
        <v>0.46889375000000655</v>
      </c>
      <c r="ER51" s="191">
        <f>'Functional Levels Drone Survey'!ER51-'Existing Levels Drone Survey'!ER51</f>
        <v>0.44849375000001146</v>
      </c>
      <c r="ES51" s="191">
        <f>'Functional Levels Drone Survey'!ES51-'Existing Levels Drone Survey'!ES51</f>
        <v>0.4222937500000512</v>
      </c>
      <c r="ET51" s="191">
        <f>'Functional Levels Drone Survey'!ET51-'Existing Levels Drone Survey'!ET51</f>
        <v>0.42889375000004293</v>
      </c>
      <c r="EU51" s="191">
        <f>'Functional Levels Drone Survey'!EU51-'Existing Levels Drone Survey'!EU51</f>
        <v>0.41449375000001965</v>
      </c>
      <c r="EV51" s="278">
        <f>'Functional Levels Drone Survey'!EV51-'Existing Levels Drone Survey'!EV51</f>
        <v>0.41049375000005739</v>
      </c>
      <c r="EW51" s="191">
        <f>'Functional Levels Drone Survey'!EW51-'Existing Levels Drone Survey'!EW51</f>
        <v>0</v>
      </c>
      <c r="EX51" s="191">
        <f>'Functional Levels Drone Survey'!EX51-'Existing Levels Drone Survey'!EX51</f>
        <v>0</v>
      </c>
      <c r="EY51" s="191">
        <f>'Functional Levels Drone Survey'!EY51-'Existing Levels Drone Survey'!EY51</f>
        <v>0</v>
      </c>
    </row>
    <row r="52" spans="1:155" ht="45" customHeight="1" x14ac:dyDescent="0.45">
      <c r="A52" s="277">
        <v>255</v>
      </c>
      <c r="B52" s="191">
        <f>'Functional Levels Drone Survey'!B52-'Existing Levels Drone Survey'!B52</f>
        <v>0</v>
      </c>
      <c r="C52" s="278">
        <f>'Functional Levels Drone Survey'!C52-'Existing Levels Drone Survey'!C52</f>
        <v>-0.12869500000005019</v>
      </c>
      <c r="D52" s="191">
        <f>'Functional Levels Drone Survey'!D52-'Existing Levels Drone Survey'!D52</f>
        <v>0.24000499999999647</v>
      </c>
      <c r="E52" s="191">
        <f>'Functional Levels Drone Survey'!E52-'Existing Levels Drone Survey'!E52</f>
        <v>0.26300499999996418</v>
      </c>
      <c r="F52" s="279">
        <f>'Functional Levels Drone Survey'!F52-'Existing Levels Drone Survey'!F52</f>
        <v>0.39980500000001484</v>
      </c>
      <c r="G52" s="191">
        <f>'Functional Levels Drone Survey'!G52-'Existing Levels Drone Survey'!G52</f>
        <v>0.41050500000000056</v>
      </c>
      <c r="H52" s="191">
        <f>'Functional Levels Drone Survey'!H52-'Existing Levels Drone Survey'!H52</f>
        <v>0.41950500000001512</v>
      </c>
      <c r="I52" s="191">
        <f>'Functional Levels Drone Survey'!I52-'Existing Levels Drone Survey'!I52</f>
        <v>0.42980499999998756</v>
      </c>
      <c r="J52" s="191">
        <f>'Functional Levels Drone Survey'!J52-'Existing Levels Drone Survey'!J52</f>
        <v>0.43670500000001766</v>
      </c>
      <c r="K52" s="191">
        <f>'Functional Levels Drone Survey'!K52-'Existing Levels Drone Survey'!K52</f>
        <v>0.42970500000001266</v>
      </c>
      <c r="L52" s="191">
        <f>'Functional Levels Drone Survey'!L52-'Existing Levels Drone Survey'!L52</f>
        <v>0.39910500000002003</v>
      </c>
      <c r="M52" s="191">
        <f>'Functional Levels Drone Survey'!M52-'Existing Levels Drone Survey'!M52</f>
        <v>0.37330500000001621</v>
      </c>
      <c r="N52" s="191">
        <f>'Functional Levels Drone Survey'!N52-'Existing Levels Drone Survey'!N52</f>
        <v>0.37870499999996809</v>
      </c>
      <c r="O52" s="191">
        <f>'Functional Levels Drone Survey'!O52-'Existing Levels Drone Survey'!O52</f>
        <v>0.4815049999999701</v>
      </c>
      <c r="P52" s="191">
        <f>'Functional Levels Drone Survey'!P52-'Existing Levels Drone Survey'!P52</f>
        <v>0.42080499999997301</v>
      </c>
      <c r="Q52" s="191">
        <f>'Functional Levels Drone Survey'!Q52-'Existing Levels Drone Survey'!Q52</f>
        <v>0.38640499999996791</v>
      </c>
      <c r="R52" s="191">
        <f>'Functional Levels Drone Survey'!R52-'Existing Levels Drone Survey'!R52</f>
        <v>0.3301050000000032</v>
      </c>
      <c r="S52" s="191">
        <f>'Functional Levels Drone Survey'!S52-'Existing Levels Drone Survey'!S52</f>
        <v>0.35090500000001157</v>
      </c>
      <c r="T52" s="191">
        <f>'Functional Levels Drone Survey'!T52-'Existing Levels Drone Survey'!T52</f>
        <v>0.38310500000000047</v>
      </c>
      <c r="U52" s="191">
        <f>'Functional Levels Drone Survey'!U52-'Existing Levels Drone Survey'!U52</f>
        <v>0.40410500000001548</v>
      </c>
      <c r="V52" s="191">
        <f>'Functional Levels Drone Survey'!V52-'Existing Levels Drone Survey'!V52</f>
        <v>0.39820500000001857</v>
      </c>
      <c r="W52" s="191">
        <f>'Functional Levels Drone Survey'!W52-'Existing Levels Drone Survey'!W52</f>
        <v>0.42480499999999211</v>
      </c>
      <c r="X52" s="191">
        <f>'Functional Levels Drone Survey'!X52-'Existing Levels Drone Survey'!X52</f>
        <v>0.4159050000000093</v>
      </c>
      <c r="Y52" s="279">
        <f>'Functional Levels Drone Survey'!Y52-'Existing Levels Drone Survey'!Y52</f>
        <v>0.22650499999997464</v>
      </c>
      <c r="Z52" s="191">
        <f>'Functional Levels Drone Survey'!Z52-'Existing Levels Drone Survey'!Z52</f>
        <v>0.12680499999999029</v>
      </c>
      <c r="AA52" s="191">
        <f>'Functional Levels Drone Survey'!AA52-'Existing Levels Drone Survey'!AA52</f>
        <v>8.7904999999977917E-2</v>
      </c>
      <c r="AB52" s="278">
        <f>'Functional Levels Drone Survey'!AB52-'Existing Levels Drone Survey'!AB52</f>
        <v>-0.13309499999996888</v>
      </c>
      <c r="AC52" s="191">
        <f>'Functional Levels Drone Survey'!AC52-'Existing Levels Drone Survey'!AC52</f>
        <v>0</v>
      </c>
      <c r="AD52" s="191">
        <f>'Functional Levels Drone Survey'!AD52-'Existing Levels Drone Survey'!AD52</f>
        <v>0</v>
      </c>
      <c r="AE52" s="191">
        <f>'Functional Levels Drone Survey'!AE52-'Existing Levels Drone Survey'!AE52</f>
        <v>0</v>
      </c>
      <c r="AF52" s="191">
        <f>'Functional Levels Drone Survey'!AF52-'Existing Levels Drone Survey'!AF52</f>
        <v>0</v>
      </c>
      <c r="AG52" s="191">
        <f>'Functional Levels Drone Survey'!AG52-'Existing Levels Drone Survey'!AG52</f>
        <v>0</v>
      </c>
      <c r="AH52" s="191">
        <f>'Functional Levels Drone Survey'!AH52-'Existing Levels Drone Survey'!AH52</f>
        <v>0</v>
      </c>
      <c r="AI52" s="191">
        <f>'Functional Levels Drone Survey'!AI52-'Existing Levels Drone Survey'!AI52</f>
        <v>0</v>
      </c>
      <c r="AJ52" s="191">
        <f>'Functional Levels Drone Survey'!AJ52-'Existing Levels Drone Survey'!AJ52</f>
        <v>0</v>
      </c>
      <c r="AK52" s="191">
        <f>'Functional Levels Drone Survey'!AK52-'Existing Levels Drone Survey'!AK52</f>
        <v>0</v>
      </c>
      <c r="AL52" s="191">
        <f>'Functional Levels Drone Survey'!AL52-'Existing Levels Drone Survey'!AL52</f>
        <v>0</v>
      </c>
      <c r="AM52" s="191">
        <f>'Functional Levels Drone Survey'!AM52-'Existing Levels Drone Survey'!AM52</f>
        <v>0</v>
      </c>
      <c r="AN52" s="191">
        <f>'Functional Levels Drone Survey'!AN52-'Existing Levels Drone Survey'!AN52</f>
        <v>0</v>
      </c>
      <c r="AO52" s="191">
        <f>'Functional Levels Drone Survey'!AO52-'Existing Levels Drone Survey'!AO52</f>
        <v>0</v>
      </c>
      <c r="AP52" s="191">
        <f>'Functional Levels Drone Survey'!AP52-'Existing Levels Drone Survey'!AP52</f>
        <v>0</v>
      </c>
      <c r="AQ52" s="191">
        <f>'Functional Levels Drone Survey'!AQ52-'Existing Levels Drone Survey'!AQ52</f>
        <v>0</v>
      </c>
      <c r="AR52" s="191">
        <f>'Functional Levels Drone Survey'!AR52-'Existing Levels Drone Survey'!AR52</f>
        <v>0</v>
      </c>
      <c r="AS52" s="191">
        <f>'Functional Levels Drone Survey'!AS52-'Existing Levels Drone Survey'!AS52</f>
        <v>0</v>
      </c>
      <c r="AT52" s="191">
        <f>'Functional Levels Drone Survey'!AT52-'Existing Levels Drone Survey'!AT52</f>
        <v>0</v>
      </c>
      <c r="AU52" s="191">
        <f>'Functional Levels Drone Survey'!AU52-'Existing Levels Drone Survey'!AU52</f>
        <v>0</v>
      </c>
      <c r="AV52" s="191">
        <f>'Functional Levels Drone Survey'!AV52-'Existing Levels Drone Survey'!AV52</f>
        <v>0</v>
      </c>
      <c r="AW52" s="191">
        <f>'Functional Levels Drone Survey'!AW52-'Existing Levels Drone Survey'!AW52</f>
        <v>0</v>
      </c>
      <c r="AX52" s="191">
        <f>'Functional Levels Drone Survey'!AX52-'Existing Levels Drone Survey'!AX52</f>
        <v>0</v>
      </c>
      <c r="AY52" s="191">
        <f>'Functional Levels Drone Survey'!AY52-'Existing Levels Drone Survey'!AY52</f>
        <v>0</v>
      </c>
      <c r="AZ52" s="191">
        <f>'Functional Levels Drone Survey'!AZ52-'Existing Levels Drone Survey'!AZ52</f>
        <v>0</v>
      </c>
      <c r="BA52" s="278">
        <f>'Functional Levels Drone Survey'!BA52-'Existing Levels Drone Survey'!BA52</f>
        <v>0</v>
      </c>
      <c r="BB52" s="191">
        <f>'Functional Levels Drone Survey'!BB52-'Existing Levels Drone Survey'!BB52</f>
        <v>0</v>
      </c>
      <c r="BC52" s="278">
        <f>'Functional Levels Drone Survey'!BC52-'Existing Levels Drone Survey'!BC52</f>
        <v>0</v>
      </c>
      <c r="BD52" s="191">
        <f>'Functional Levels Drone Survey'!BD52-'Existing Levels Drone Survey'!BD52</f>
        <v>-5.026190476201009E-2</v>
      </c>
      <c r="BE52" s="191">
        <f>'Functional Levels Drone Survey'!BE52-'Existing Levels Drone Survey'!BE52</f>
        <v>6.0938095237986545E-2</v>
      </c>
      <c r="BF52" s="279">
        <f>'Functional Levels Drone Survey'!BF52-'Existing Levels Drone Survey'!BF52</f>
        <v>0.26193809523800837</v>
      </c>
      <c r="BG52" s="191">
        <f>'Functional Levels Drone Survey'!BG52-'Existing Levels Drone Survey'!BG52</f>
        <v>0.45863809523802956</v>
      </c>
      <c r="BH52" s="191">
        <f>'Functional Levels Drone Survey'!BH52-'Existing Levels Drone Survey'!BH52</f>
        <v>0.33543809523803247</v>
      </c>
      <c r="BI52" s="191">
        <f>'Functional Levels Drone Survey'!BI52-'Existing Levels Drone Survey'!BI52</f>
        <v>0.32373809523801356</v>
      </c>
      <c r="BJ52" s="191">
        <f>'Functional Levels Drone Survey'!BJ52-'Existing Levels Drone Survey'!BJ52</f>
        <v>0.3116380952380382</v>
      </c>
      <c r="BK52" s="191">
        <f>'Functional Levels Drone Survey'!BK52-'Existing Levels Drone Survey'!BK52</f>
        <v>0.30743809523801247</v>
      </c>
      <c r="BL52" s="191">
        <f>'Functional Levels Drone Survey'!BL52-'Existing Levels Drone Survey'!BL52</f>
        <v>0.34563809523803002</v>
      </c>
      <c r="BM52" s="191">
        <f>'Functional Levels Drone Survey'!BM52-'Existing Levels Drone Survey'!BM52</f>
        <v>0.33853809523799328</v>
      </c>
      <c r="BN52" s="191">
        <f>'Functional Levels Drone Survey'!BN52-'Existing Levels Drone Survey'!BN52</f>
        <v>0.33123809523800674</v>
      </c>
      <c r="BO52" s="191">
        <f>'Functional Levels Drone Survey'!BO52-'Existing Levels Drone Survey'!BO52</f>
        <v>0.36093809523799791</v>
      </c>
      <c r="BP52" s="191">
        <f>'Functional Levels Drone Survey'!BP52-'Existing Levels Drone Survey'!BP52</f>
        <v>0.36653809523801328</v>
      </c>
      <c r="BQ52" s="191">
        <f>'Functional Levels Drone Survey'!BQ52-'Existing Levels Drone Survey'!BQ52</f>
        <v>0.38783809523800983</v>
      </c>
      <c r="BR52" s="191">
        <f>'Functional Levels Drone Survey'!BR52-'Existing Levels Drone Survey'!BR52</f>
        <v>0.39553809523800965</v>
      </c>
      <c r="BS52" s="191">
        <f>'Functional Levels Drone Survey'!BS52-'Existing Levels Drone Survey'!BS52</f>
        <v>0.52023809523802811</v>
      </c>
      <c r="BT52" s="191">
        <f>'Functional Levels Drone Survey'!BT52-'Existing Levels Drone Survey'!BT52</f>
        <v>0.52393809523800883</v>
      </c>
      <c r="BU52" s="191">
        <f>'Functional Levels Drone Survey'!BU52-'Existing Levels Drone Survey'!BU52</f>
        <v>0.53083809523803893</v>
      </c>
      <c r="BV52" s="191">
        <f>'Functional Levels Drone Survey'!BV52-'Existing Levels Drone Survey'!BV52</f>
        <v>0.52063809523804139</v>
      </c>
      <c r="BW52" s="191">
        <f>'Functional Levels Drone Survey'!BW52-'Existing Levels Drone Survey'!BW52</f>
        <v>0.5074380952380011</v>
      </c>
      <c r="BX52" s="191">
        <f>'Functional Levels Drone Survey'!BX52-'Existing Levels Drone Survey'!BX52</f>
        <v>0.51083809523800028</v>
      </c>
      <c r="BY52" s="191">
        <f>'Functional Levels Drone Survey'!BY52-'Existing Levels Drone Survey'!BY52</f>
        <v>0.51513809523800091</v>
      </c>
      <c r="BZ52" s="279">
        <f>'Functional Levels Drone Survey'!BZ52-'Existing Levels Drone Survey'!BZ52</f>
        <v>0.54883809523801119</v>
      </c>
      <c r="CA52" s="191">
        <f>'Functional Levels Drone Survey'!CA52-'Existing Levels Drone Survey'!CA52</f>
        <v>0.39530476190475383</v>
      </c>
      <c r="CB52" s="191">
        <f>'Functional Levels Drone Survey'!CB52-'Existing Levels Drone Survey'!CB52</f>
        <v>0.38790476190473555</v>
      </c>
      <c r="CC52" s="279">
        <f>'Functional Levels Drone Survey'!CC52-'Existing Levels Drone Survey'!CC52</f>
        <v>0.41080476190478521</v>
      </c>
      <c r="CD52" s="191">
        <f>'Functional Levels Drone Survey'!CD52-'Existing Levels Drone Survey'!CD52</f>
        <v>0.40000476190476775</v>
      </c>
      <c r="CE52" s="191">
        <f>'Functional Levels Drone Survey'!CE52-'Existing Levels Drone Survey'!CE52</f>
        <v>0.39420476190474574</v>
      </c>
      <c r="CF52" s="191">
        <f>'Functional Levels Drone Survey'!CF52-'Existing Levels Drone Survey'!CF52</f>
        <v>0.46230476190476111</v>
      </c>
      <c r="CG52" s="191">
        <f>'Functional Levels Drone Survey'!CG52-'Existing Levels Drone Survey'!CG52</f>
        <v>0.48210476190473628</v>
      </c>
      <c r="CH52" s="191">
        <f>'Functional Levels Drone Survey'!CH52-'Existing Levels Drone Survey'!CH52</f>
        <v>0.49390476190478694</v>
      </c>
      <c r="CI52" s="191">
        <f>'Functional Levels Drone Survey'!CI52-'Existing Levels Drone Survey'!CI52</f>
        <v>0.45920476190474346</v>
      </c>
      <c r="CJ52" s="191">
        <f>'Functional Levels Drone Survey'!CJ52-'Existing Levels Drone Survey'!CJ52</f>
        <v>0.49630476190475292</v>
      </c>
      <c r="CK52" s="191">
        <f>'Functional Levels Drone Survey'!CK52-'Existing Levels Drone Survey'!CK52</f>
        <v>0.50230476190478157</v>
      </c>
      <c r="CL52" s="191">
        <f>'Functional Levels Drone Survey'!CL52-'Existing Levels Drone Survey'!CL52</f>
        <v>0.4827047619047562</v>
      </c>
      <c r="CM52" s="191">
        <f>'Functional Levels Drone Survey'!CM52-'Existing Levels Drone Survey'!CM52</f>
        <v>0.50030476190477202</v>
      </c>
      <c r="CN52" s="191">
        <f>'Functional Levels Drone Survey'!CN52-'Existing Levels Drone Survey'!CN52</f>
        <v>0.51160476190477766</v>
      </c>
      <c r="CO52" s="191">
        <f>'Functional Levels Drone Survey'!CO52-'Existing Levels Drone Survey'!CO52</f>
        <v>0.52120476190475529</v>
      </c>
      <c r="CP52" s="191">
        <f>'Functional Levels Drone Survey'!CP52-'Existing Levels Drone Survey'!CP52</f>
        <v>0.5370047619047682</v>
      </c>
      <c r="CQ52" s="191">
        <f>'Functional Levels Drone Survey'!CQ52-'Existing Levels Drone Survey'!CQ52</f>
        <v>0.57870476190475983</v>
      </c>
      <c r="CR52" s="191">
        <f>'Functional Levels Drone Survey'!CR52-'Existing Levels Drone Survey'!CR52</f>
        <v>0.64140476190476647</v>
      </c>
      <c r="CS52" s="191">
        <f>'Functional Levels Drone Survey'!CS52-'Existing Levels Drone Survey'!CS52</f>
        <v>0.35500476190475183</v>
      </c>
      <c r="CT52" s="191">
        <f>'Functional Levels Drone Survey'!CT52-'Existing Levels Drone Survey'!CT52</f>
        <v>0.43340476190473964</v>
      </c>
      <c r="CU52" s="191">
        <f>'Functional Levels Drone Survey'!CU52-'Existing Levels Drone Survey'!CU52</f>
        <v>0.43660476190473219</v>
      </c>
      <c r="CV52" s="191">
        <f>'Functional Levels Drone Survey'!CV52-'Existing Levels Drone Survey'!CV52</f>
        <v>0.42870476190478257</v>
      </c>
      <c r="CW52" s="279">
        <f>'Functional Levels Drone Survey'!CW52-'Existing Levels Drone Survey'!CW52</f>
        <v>0.51870476190475756</v>
      </c>
      <c r="CX52" s="191">
        <f>'Functional Levels Drone Survey'!CX52-'Existing Levels Drone Survey'!CX52</f>
        <v>0.20756666666659385</v>
      </c>
      <c r="CY52" s="279">
        <f>'Functional Levels Drone Survey'!CY52-'Existing Levels Drone Survey'!CY52</f>
        <v>0.22916666666662877</v>
      </c>
      <c r="CZ52" s="191">
        <f>'Functional Levels Drone Survey'!CZ52-'Existing Levels Drone Survey'!CZ52</f>
        <v>0.13466666666658966</v>
      </c>
      <c r="DA52" s="191">
        <f>'Functional Levels Drone Survey'!DA52-'Existing Levels Drone Survey'!DA52</f>
        <v>0.21456666666659885</v>
      </c>
      <c r="DB52" s="191">
        <f>'Functional Levels Drone Survey'!DB52-'Existing Levels Drone Survey'!DB52</f>
        <v>0.28626666666662004</v>
      </c>
      <c r="DC52" s="191">
        <f>'Functional Levels Drone Survey'!DC52-'Existing Levels Drone Survey'!DC52</f>
        <v>0.27186666666659676</v>
      </c>
      <c r="DD52" s="191">
        <f>'Functional Levels Drone Survey'!DD52-'Existing Levels Drone Survey'!DD52</f>
        <v>0.26906666666661749</v>
      </c>
      <c r="DE52" s="191">
        <f>'Functional Levels Drone Survey'!DE52-'Existing Levels Drone Survey'!DE52</f>
        <v>0.43826666666660685</v>
      </c>
      <c r="DF52" s="191">
        <f>'Functional Levels Drone Survey'!DF52-'Existing Levels Drone Survey'!DF52</f>
        <v>0.3899666666666235</v>
      </c>
      <c r="DG52" s="191">
        <f>'Functional Levels Drone Survey'!DG52-'Existing Levels Drone Survey'!DG52</f>
        <v>0.29586666666659767</v>
      </c>
      <c r="DH52" s="191">
        <f>'Functional Levels Drone Survey'!DH52-'Existing Levels Drone Survey'!DH52</f>
        <v>0.39916666666658784</v>
      </c>
      <c r="DI52" s="191">
        <f>'Functional Levels Drone Survey'!DI52-'Existing Levels Drone Survey'!DI52</f>
        <v>0.43466666666660103</v>
      </c>
      <c r="DJ52" s="191">
        <f>'Functional Levels Drone Survey'!DJ52-'Existing Levels Drone Survey'!DJ52</f>
        <v>0.40756666666658248</v>
      </c>
      <c r="DK52" s="191">
        <f>'Functional Levels Drone Survey'!DK52-'Existing Levels Drone Survey'!DK52</f>
        <v>0.42596666666662486</v>
      </c>
      <c r="DL52" s="191">
        <f>'Functional Levels Drone Survey'!DL52-'Existing Levels Drone Survey'!DL52</f>
        <v>0.3253666666665822</v>
      </c>
      <c r="DM52" s="191">
        <f>'Functional Levels Drone Survey'!DM52-'Existing Levels Drone Survey'!DM52</f>
        <v>0.32306666666659112</v>
      </c>
      <c r="DN52" s="191">
        <f>'Functional Levels Drone Survey'!DN52-'Existing Levels Drone Survey'!DN52</f>
        <v>0.23506666666662568</v>
      </c>
      <c r="DO52" s="191">
        <f>'Functional Levels Drone Survey'!DO52-'Existing Levels Drone Survey'!DO52</f>
        <v>0.5623666666666054</v>
      </c>
      <c r="DP52" s="191">
        <f>'Functional Levels Drone Survey'!DP52-'Existing Levels Drone Survey'!DP52</f>
        <v>0.59526666666658912</v>
      </c>
      <c r="DQ52" s="191">
        <f>'Functional Levels Drone Survey'!DQ52-'Existing Levels Drone Survey'!DQ52</f>
        <v>0.37056666666660476</v>
      </c>
      <c r="DR52" s="191">
        <f>'Functional Levels Drone Survey'!DR52-'Existing Levels Drone Survey'!DR52</f>
        <v>0.41026666666658684</v>
      </c>
      <c r="DS52" s="279">
        <f>'Functional Levels Drone Survey'!DS52-'Existing Levels Drone Survey'!DS52</f>
        <v>0.5209666666665953</v>
      </c>
      <c r="DT52" s="191">
        <f>'Functional Levels Drone Survey'!DT52-'Existing Levels Drone Survey'!DT52</f>
        <v>0.45166666666659694</v>
      </c>
      <c r="DU52" s="191">
        <f>'Functional Levels Drone Survey'!DU52-'Existing Levels Drone Survey'!DU52</f>
        <v>0.48016666666660512</v>
      </c>
      <c r="DV52" s="279">
        <f>'Functional Levels Drone Survey'!DV52-'Existing Levels Drone Survey'!DV52</f>
        <v>0.54959375000004229</v>
      </c>
      <c r="DW52" s="191">
        <f>'Functional Levels Drone Survey'!DW52-'Existing Levels Drone Survey'!DW52</f>
        <v>0.61979375000004211</v>
      </c>
      <c r="DX52" s="191">
        <f>'Functional Levels Drone Survey'!DX52-'Existing Levels Drone Survey'!DX52</f>
        <v>0.58549375000006876</v>
      </c>
      <c r="DY52" s="191">
        <f>'Functional Levels Drone Survey'!DY52-'Existing Levels Drone Survey'!DY52</f>
        <v>0.65789375000008476</v>
      </c>
      <c r="DZ52" s="191">
        <f>'Functional Levels Drone Survey'!DZ52-'Existing Levels Drone Survey'!DZ52</f>
        <v>0.71759375000004866</v>
      </c>
      <c r="EA52" s="191">
        <f>'Functional Levels Drone Survey'!EA52-'Existing Levels Drone Survey'!EA52</f>
        <v>0.68479375000003984</v>
      </c>
      <c r="EB52" s="191">
        <f>'Functional Levels Drone Survey'!EB52-'Existing Levels Drone Survey'!EB52</f>
        <v>0.48949375000006512</v>
      </c>
      <c r="EC52" s="191">
        <f>'Functional Levels Drone Survey'!EC52-'Existing Levels Drone Survey'!EC52</f>
        <v>0.72709375000005139</v>
      </c>
      <c r="ED52" s="191">
        <f>'Functional Levels Drone Survey'!ED52-'Existing Levels Drone Survey'!ED52</f>
        <v>0.74429375000005393</v>
      </c>
      <c r="EE52" s="191">
        <f>'Functional Levels Drone Survey'!EE52-'Existing Levels Drone Survey'!EE52</f>
        <v>0.59659375000006776</v>
      </c>
      <c r="EF52" s="191">
        <f>'Functional Levels Drone Survey'!EF52-'Existing Levels Drone Survey'!EF52</f>
        <v>0.76699375000004011</v>
      </c>
      <c r="EG52" s="191">
        <f>'Functional Levels Drone Survey'!EG52-'Existing Levels Drone Survey'!EG52</f>
        <v>0.85529375000004393</v>
      </c>
      <c r="EH52" s="191">
        <f>'Functional Levels Drone Survey'!EH52-'Existing Levels Drone Survey'!EH52</f>
        <v>0.82719375000004902</v>
      </c>
      <c r="EI52" s="191">
        <f>'Functional Levels Drone Survey'!EI52-'Existing Levels Drone Survey'!EI52</f>
        <v>0.81669375000006994</v>
      </c>
      <c r="EJ52" s="191">
        <f>'Functional Levels Drone Survey'!EJ52-'Existing Levels Drone Survey'!EJ52</f>
        <v>0.86439375000003338</v>
      </c>
      <c r="EK52" s="279">
        <f>'Functional Levels Drone Survey'!EK52-'Existing Levels Drone Survey'!EK52</f>
        <v>0.82879375000004529</v>
      </c>
      <c r="EL52" s="191">
        <f>'Functional Levels Drone Survey'!EL52-'Existing Levels Drone Survey'!EL52</f>
        <v>0.61429375000000164</v>
      </c>
      <c r="EM52" s="191">
        <f>'Functional Levels Drone Survey'!EM52-'Existing Levels Drone Survey'!EM52</f>
        <v>0.62939375000001974</v>
      </c>
      <c r="EN52" s="191">
        <f>'Functional Levels Drone Survey'!EN52-'Existing Levels Drone Survey'!EN52</f>
        <v>0.61599375000002965</v>
      </c>
      <c r="EO52" s="278">
        <f>'Functional Levels Drone Survey'!EO52-'Existing Levels Drone Survey'!EO52</f>
        <v>0.41209374999999682</v>
      </c>
      <c r="EP52" s="278">
        <f>'Functional Levels Drone Survey'!EP52-'Existing Levels Drone Survey'!EP52</f>
        <v>0.576693750000004</v>
      </c>
      <c r="EQ52" s="278">
        <f>'Functional Levels Drone Survey'!EQ52-'Existing Levels Drone Survey'!EQ52</f>
        <v>0.580793749999998</v>
      </c>
      <c r="ER52" s="278">
        <f>'Functional Levels Drone Survey'!ER52-'Existing Levels Drone Survey'!ER52</f>
        <v>0.48109375000001364</v>
      </c>
      <c r="ES52" s="278">
        <f>'Functional Levels Drone Survey'!ES52-'Existing Levels Drone Survey'!ES52</f>
        <v>0.54679375000000618</v>
      </c>
      <c r="ET52" s="278">
        <f>'Functional Levels Drone Survey'!ET52-'Existing Levels Drone Survey'!ET52</f>
        <v>0.51739374999999654</v>
      </c>
      <c r="EU52" s="278">
        <f>'Functional Levels Drone Survey'!EU52-'Existing Levels Drone Survey'!EU52</f>
        <v>0.40889375000000427</v>
      </c>
      <c r="EV52" s="191">
        <f>'Functional Levels Drone Survey'!EV52-'Existing Levels Drone Survey'!EV52</f>
        <v>0</v>
      </c>
      <c r="EW52" s="191">
        <f>'Functional Levels Drone Survey'!EW52-'Existing Levels Drone Survey'!EW52</f>
        <v>0</v>
      </c>
      <c r="EX52" s="191">
        <f>'Functional Levels Drone Survey'!EX52-'Existing Levels Drone Survey'!EX52</f>
        <v>0</v>
      </c>
      <c r="EY52" s="191">
        <f>'Functional Levels Drone Survey'!EY52-'Existing Levels Drone Survey'!EY52</f>
        <v>0</v>
      </c>
    </row>
    <row r="53" spans="1:155" ht="45" customHeight="1" x14ac:dyDescent="0.45">
      <c r="A53" s="277">
        <v>260</v>
      </c>
      <c r="B53" s="191">
        <f>'Functional Levels Drone Survey'!B53-'Existing Levels Drone Survey'!B53</f>
        <v>0</v>
      </c>
      <c r="C53" s="278">
        <f>'Functional Levels Drone Survey'!C53-'Existing Levels Drone Survey'!C53</f>
        <v>-0.18689499999999271</v>
      </c>
      <c r="D53" s="191">
        <f>'Functional Levels Drone Survey'!D53-'Existing Levels Drone Survey'!D53</f>
        <v>0.29580499999997301</v>
      </c>
      <c r="E53" s="191">
        <f>'Functional Levels Drone Survey'!E53-'Existing Levels Drone Survey'!E53</f>
        <v>0.33360499999997728</v>
      </c>
      <c r="F53" s="279">
        <f>'Functional Levels Drone Survey'!F53-'Existing Levels Drone Survey'!F53</f>
        <v>0.45940500000000384</v>
      </c>
      <c r="G53" s="191">
        <f>'Functional Levels Drone Survey'!G53-'Existing Levels Drone Survey'!G53</f>
        <v>0.47570500000000493</v>
      </c>
      <c r="H53" s="191">
        <f>'Functional Levels Drone Survey'!H53-'Existing Levels Drone Survey'!H53</f>
        <v>0.4884050000000002</v>
      </c>
      <c r="I53" s="191">
        <f>'Functional Levels Drone Survey'!I53-'Existing Levels Drone Survey'!I53</f>
        <v>0.44730500000002849</v>
      </c>
      <c r="J53" s="191">
        <f>'Functional Levels Drone Survey'!J53-'Existing Levels Drone Survey'!J53</f>
        <v>0.3774050000000102</v>
      </c>
      <c r="K53" s="191">
        <f>'Functional Levels Drone Survey'!K53-'Existing Levels Drone Survey'!K53</f>
        <v>0.23150500000002694</v>
      </c>
      <c r="L53" s="191">
        <f>'Functional Levels Drone Survey'!L53-'Existing Levels Drone Survey'!L53</f>
        <v>0.19140500000003158</v>
      </c>
      <c r="M53" s="191">
        <f>'Functional Levels Drone Survey'!M53-'Existing Levels Drone Survey'!M53</f>
        <v>0.32910500000002685</v>
      </c>
      <c r="N53" s="191">
        <f>'Functional Levels Drone Survey'!N53-'Existing Levels Drone Survey'!N53</f>
        <v>0.38730500000002621</v>
      </c>
      <c r="O53" s="191">
        <f>'Functional Levels Drone Survey'!O53-'Existing Levels Drone Survey'!O53</f>
        <v>0.50390500000003158</v>
      </c>
      <c r="P53" s="191">
        <f>'Functional Levels Drone Survey'!P53-'Existing Levels Drone Survey'!P53</f>
        <v>0.48340500000000475</v>
      </c>
      <c r="Q53" s="191">
        <f>'Functional Levels Drone Survey'!Q53-'Existing Levels Drone Survey'!Q53</f>
        <v>0.4954050000000052</v>
      </c>
      <c r="R53" s="191">
        <f>'Functional Levels Drone Survey'!R53-'Existing Levels Drone Survey'!R53</f>
        <v>0.46750500000001693</v>
      </c>
      <c r="S53" s="191">
        <f>'Functional Levels Drone Survey'!S53-'Existing Levels Drone Survey'!S53</f>
        <v>0.47880500000002257</v>
      </c>
      <c r="T53" s="191">
        <f>'Functional Levels Drone Survey'!T53-'Existing Levels Drone Survey'!T53</f>
        <v>0.44530500000001894</v>
      </c>
      <c r="U53" s="191">
        <f>'Functional Levels Drone Survey'!U53-'Existing Levels Drone Survey'!U53</f>
        <v>0.45490499999999656</v>
      </c>
      <c r="V53" s="191">
        <f>'Functional Levels Drone Survey'!V53-'Existing Levels Drone Survey'!V53</f>
        <v>0.44450499999999238</v>
      </c>
      <c r="W53" s="191">
        <f>'Functional Levels Drone Survey'!W53-'Existing Levels Drone Survey'!W53</f>
        <v>0.43130500000000893</v>
      </c>
      <c r="X53" s="191">
        <f>'Functional Levels Drone Survey'!X53-'Existing Levels Drone Survey'!X53</f>
        <v>0.43070499999998901</v>
      </c>
      <c r="Y53" s="279">
        <f>'Functional Levels Drone Survey'!Y53-'Existing Levels Drone Survey'!Y53</f>
        <v>0.31670500000001311</v>
      </c>
      <c r="Z53" s="191">
        <f>'Functional Levels Drone Survey'!Z53-'Existing Levels Drone Survey'!Z53</f>
        <v>0.12610499999999547</v>
      </c>
      <c r="AA53" s="191">
        <f>'Functional Levels Drone Survey'!AA53-'Existing Levels Drone Survey'!AA53</f>
        <v>0.11530500000003485</v>
      </c>
      <c r="AB53" s="278">
        <f>'Functional Levels Drone Survey'!AB53-'Existing Levels Drone Survey'!AB53</f>
        <v>0.10540500000001884</v>
      </c>
      <c r="AC53" s="191">
        <f>'Functional Levels Drone Survey'!AC53-'Existing Levels Drone Survey'!AC53</f>
        <v>0</v>
      </c>
      <c r="AD53" s="191">
        <f>'Functional Levels Drone Survey'!AD53-'Existing Levels Drone Survey'!AD53</f>
        <v>0</v>
      </c>
      <c r="AE53" s="191">
        <f>'Functional Levels Drone Survey'!AE53-'Existing Levels Drone Survey'!AE53</f>
        <v>0</v>
      </c>
      <c r="AF53" s="191">
        <f>'Functional Levels Drone Survey'!AF53-'Existing Levels Drone Survey'!AF53</f>
        <v>0</v>
      </c>
      <c r="AG53" s="191">
        <f>'Functional Levels Drone Survey'!AG53-'Existing Levels Drone Survey'!AG53</f>
        <v>0</v>
      </c>
      <c r="AH53" s="191">
        <f>'Functional Levels Drone Survey'!AH53-'Existing Levels Drone Survey'!AH53</f>
        <v>0</v>
      </c>
      <c r="AI53" s="191">
        <f>'Functional Levels Drone Survey'!AI53-'Existing Levels Drone Survey'!AI53</f>
        <v>0</v>
      </c>
      <c r="AJ53" s="191">
        <f>'Functional Levels Drone Survey'!AJ53-'Existing Levels Drone Survey'!AJ53</f>
        <v>0</v>
      </c>
      <c r="AK53" s="191">
        <f>'Functional Levels Drone Survey'!AK53-'Existing Levels Drone Survey'!AK53</f>
        <v>0</v>
      </c>
      <c r="AL53" s="191">
        <f>'Functional Levels Drone Survey'!AL53-'Existing Levels Drone Survey'!AL53</f>
        <v>0</v>
      </c>
      <c r="AM53" s="191">
        <f>'Functional Levels Drone Survey'!AM53-'Existing Levels Drone Survey'!AM53</f>
        <v>0</v>
      </c>
      <c r="AN53" s="191">
        <f>'Functional Levels Drone Survey'!AN53-'Existing Levels Drone Survey'!AN53</f>
        <v>0</v>
      </c>
      <c r="AO53" s="191">
        <f>'Functional Levels Drone Survey'!AO53-'Existing Levels Drone Survey'!AO53</f>
        <v>0</v>
      </c>
      <c r="AP53" s="191">
        <f>'Functional Levels Drone Survey'!AP53-'Existing Levels Drone Survey'!AP53</f>
        <v>0</v>
      </c>
      <c r="AQ53" s="191">
        <f>'Functional Levels Drone Survey'!AQ53-'Existing Levels Drone Survey'!AQ53</f>
        <v>0</v>
      </c>
      <c r="AR53" s="191">
        <f>'Functional Levels Drone Survey'!AR53-'Existing Levels Drone Survey'!AR53</f>
        <v>0</v>
      </c>
      <c r="AS53" s="191">
        <f>'Functional Levels Drone Survey'!AS53-'Existing Levels Drone Survey'!AS53</f>
        <v>0</v>
      </c>
      <c r="AT53" s="191">
        <f>'Functional Levels Drone Survey'!AT53-'Existing Levels Drone Survey'!AT53</f>
        <v>0</v>
      </c>
      <c r="AU53" s="191">
        <f>'Functional Levels Drone Survey'!AU53-'Existing Levels Drone Survey'!AU53</f>
        <v>0</v>
      </c>
      <c r="AV53" s="191">
        <f>'Functional Levels Drone Survey'!AV53-'Existing Levels Drone Survey'!AV53</f>
        <v>0</v>
      </c>
      <c r="AW53" s="191">
        <f>'Functional Levels Drone Survey'!AW53-'Existing Levels Drone Survey'!AW53</f>
        <v>0</v>
      </c>
      <c r="AX53" s="191">
        <f>'Functional Levels Drone Survey'!AX53-'Existing Levels Drone Survey'!AX53</f>
        <v>0</v>
      </c>
      <c r="AY53" s="191">
        <f>'Functional Levels Drone Survey'!AY53-'Existing Levels Drone Survey'!AY53</f>
        <v>0</v>
      </c>
      <c r="AZ53" s="191">
        <f>'Functional Levels Drone Survey'!AZ53-'Existing Levels Drone Survey'!AZ53</f>
        <v>0</v>
      </c>
      <c r="BA53" s="191">
        <f>'Functional Levels Drone Survey'!BA53-'Existing Levels Drone Survey'!BA53</f>
        <v>0</v>
      </c>
      <c r="BB53" s="191">
        <f>'Functional Levels Drone Survey'!BB53-'Existing Levels Drone Survey'!BB53</f>
        <v>0</v>
      </c>
      <c r="BC53" s="191">
        <f>'Functional Levels Drone Survey'!BC53-'Existing Levels Drone Survey'!BC53</f>
        <v>0</v>
      </c>
      <c r="BD53" s="278">
        <f>'Functional Levels Drone Survey'!BD53-'Existing Levels Drone Survey'!BD53</f>
        <v>-3.6161904762025188E-2</v>
      </c>
      <c r="BE53" s="191">
        <f>'Functional Levels Drone Survey'!BE53-'Existing Levels Drone Survey'!BE53</f>
        <v>0.10313809523796635</v>
      </c>
      <c r="BF53" s="279">
        <f>'Functional Levels Drone Survey'!BF53-'Existing Levels Drone Survey'!BF53</f>
        <v>0.20383809523798391</v>
      </c>
      <c r="BG53" s="191">
        <f>'Functional Levels Drone Survey'!BG53-'Existing Levels Drone Survey'!BG53</f>
        <v>0.15223809523803311</v>
      </c>
      <c r="BH53" s="191">
        <f>'Functional Levels Drone Survey'!BH53-'Existing Levels Drone Survey'!BH53</f>
        <v>0.28483809523800119</v>
      </c>
      <c r="BI53" s="191">
        <f>'Functional Levels Drone Survey'!BI53-'Existing Levels Drone Survey'!BI53</f>
        <v>0.28893809523799519</v>
      </c>
      <c r="BJ53" s="191">
        <f>'Functional Levels Drone Survey'!BJ53-'Existing Levels Drone Survey'!BJ53</f>
        <v>0.27883809523802938</v>
      </c>
      <c r="BK53" s="191">
        <f>'Functional Levels Drone Survey'!BK53-'Existing Levels Drone Survey'!BK53</f>
        <v>0.3006380952380141</v>
      </c>
      <c r="BL53" s="191">
        <f>'Functional Levels Drone Survey'!BL53-'Existing Levels Drone Survey'!BL53</f>
        <v>0.3228380952380121</v>
      </c>
      <c r="BM53" s="191">
        <f>'Functional Levels Drone Survey'!BM53-'Existing Levels Drone Survey'!BM53</f>
        <v>0.32103809523800919</v>
      </c>
      <c r="BN53" s="191">
        <f>'Functional Levels Drone Survey'!BN53-'Existing Levels Drone Survey'!BN53</f>
        <v>0.29943809523803111</v>
      </c>
      <c r="BO53" s="191">
        <f>'Functional Levels Drone Survey'!BO53-'Existing Levels Drone Survey'!BO53</f>
        <v>0.28533809523798936</v>
      </c>
      <c r="BP53" s="191">
        <f>'Functional Levels Drone Survey'!BP53-'Existing Levels Drone Survey'!BP53</f>
        <v>0.293738095237984</v>
      </c>
      <c r="BQ53" s="191">
        <f>'Functional Levels Drone Survey'!BQ53-'Existing Levels Drone Survey'!BQ53</f>
        <v>0.33133809523798163</v>
      </c>
      <c r="BR53" s="191">
        <f>'Functional Levels Drone Survey'!BR53-'Existing Levels Drone Survey'!BR53</f>
        <v>0.49713809523802865</v>
      </c>
      <c r="BS53" s="191">
        <f>'Functional Levels Drone Survey'!BS53-'Existing Levels Drone Survey'!BS53</f>
        <v>0.39883809523803393</v>
      </c>
      <c r="BT53" s="191">
        <f>'Functional Levels Drone Survey'!BT53-'Existing Levels Drone Survey'!BT53</f>
        <v>0.46663809523801092</v>
      </c>
      <c r="BU53" s="191">
        <f>'Functional Levels Drone Survey'!BU53-'Existing Levels Drone Survey'!BU53</f>
        <v>0.47203809523801965</v>
      </c>
      <c r="BV53" s="191">
        <f>'Functional Levels Drone Survey'!BV53-'Existing Levels Drone Survey'!BV53</f>
        <v>0.47903809523802465</v>
      </c>
      <c r="BW53" s="191">
        <f>'Functional Levels Drone Survey'!BW53-'Existing Levels Drone Survey'!BW53</f>
        <v>0.47433809523801074</v>
      </c>
      <c r="BX53" s="191">
        <f>'Functional Levels Drone Survey'!BX53-'Existing Levels Drone Survey'!BX53</f>
        <v>0.46433809523801983</v>
      </c>
      <c r="BY53" s="191">
        <f>'Functional Levels Drone Survey'!BY53-'Existing Levels Drone Survey'!BY53</f>
        <v>0.47843809523800473</v>
      </c>
      <c r="BZ53" s="279">
        <f>'Functional Levels Drone Survey'!BZ53-'Existing Levels Drone Survey'!BZ53</f>
        <v>0.46373809523799991</v>
      </c>
      <c r="CA53" s="191">
        <f>'Functional Levels Drone Survey'!CA53-'Existing Levels Drone Survey'!CA53</f>
        <v>0.42540476190475829</v>
      </c>
      <c r="CB53" s="191">
        <f>'Functional Levels Drone Survey'!CB53-'Existing Levels Drone Survey'!CB53</f>
        <v>0.44720476190479985</v>
      </c>
      <c r="CC53" s="279">
        <f>'Functional Levels Drone Survey'!CC53-'Existing Levels Drone Survey'!CC53</f>
        <v>0.47000476190476093</v>
      </c>
      <c r="CD53" s="191">
        <f>'Functional Levels Drone Survey'!CD53-'Existing Levels Drone Survey'!CD53</f>
        <v>0.47650476190477775</v>
      </c>
      <c r="CE53" s="191">
        <f>'Functional Levels Drone Survey'!CE53-'Existing Levels Drone Survey'!CE53</f>
        <v>0.46710476190474992</v>
      </c>
      <c r="CF53" s="191">
        <f>'Functional Levels Drone Survey'!CF53-'Existing Levels Drone Survey'!CF53</f>
        <v>0.5159047619047783</v>
      </c>
      <c r="CG53" s="191">
        <f>'Functional Levels Drone Survey'!CG53-'Existing Levels Drone Survey'!CG53</f>
        <v>0.48620476190478712</v>
      </c>
      <c r="CH53" s="191">
        <f>'Functional Levels Drone Survey'!CH53-'Existing Levels Drone Survey'!CH53</f>
        <v>0.52040476190478557</v>
      </c>
      <c r="CI53" s="191">
        <f>'Functional Levels Drone Survey'!CI53-'Existing Levels Drone Survey'!CI53</f>
        <v>0.51810476190479449</v>
      </c>
      <c r="CJ53" s="191">
        <f>'Functional Levels Drone Survey'!CJ53-'Existing Levels Drone Survey'!CJ53</f>
        <v>0.52610476190477584</v>
      </c>
      <c r="CK53" s="191">
        <f>'Functional Levels Drone Survey'!CK53-'Existing Levels Drone Survey'!CK53</f>
        <v>0.52950476190477502</v>
      </c>
      <c r="CL53" s="191">
        <f>'Functional Levels Drone Survey'!CL53-'Existing Levels Drone Survey'!CL53</f>
        <v>0.53420476190478894</v>
      </c>
      <c r="CM53" s="191">
        <f>'Functional Levels Drone Survey'!CM53-'Existing Levels Drone Survey'!CM53</f>
        <v>0.56110476190474401</v>
      </c>
      <c r="CN53" s="191">
        <f>'Functional Levels Drone Survey'!CN53-'Existing Levels Drone Survey'!CN53</f>
        <v>0.55710476190478175</v>
      </c>
      <c r="CO53" s="191">
        <f>'Functional Levels Drone Survey'!CO53-'Existing Levels Drone Survey'!CO53</f>
        <v>0.57080476190475338</v>
      </c>
      <c r="CP53" s="191">
        <f>'Functional Levels Drone Survey'!CP53-'Existing Levels Drone Survey'!CP53</f>
        <v>0.58590476190477148</v>
      </c>
      <c r="CQ53" s="191">
        <f>'Functional Levels Drone Survey'!CQ53-'Existing Levels Drone Survey'!CQ53</f>
        <v>0.56800476190477411</v>
      </c>
      <c r="CR53" s="191">
        <f>'Functional Levels Drone Survey'!CR53-'Existing Levels Drone Survey'!CR53</f>
        <v>0.48390476190479603</v>
      </c>
      <c r="CS53" s="191">
        <f>'Functional Levels Drone Survey'!CS53-'Existing Levels Drone Survey'!CS53</f>
        <v>0.3980047619047582</v>
      </c>
      <c r="CT53" s="191">
        <f>'Functional Levels Drone Survey'!CT53-'Existing Levels Drone Survey'!CT53</f>
        <v>0.46300476190475592</v>
      </c>
      <c r="CU53" s="191">
        <f>'Functional Levels Drone Survey'!CU53-'Existing Levels Drone Survey'!CU53</f>
        <v>0.59530476190479931</v>
      </c>
      <c r="CV53" s="191">
        <f>'Functional Levels Drone Survey'!CV53-'Existing Levels Drone Survey'!CV53</f>
        <v>0.73240476190477466</v>
      </c>
      <c r="CW53" s="279">
        <f>'Functional Levels Drone Survey'!CW53-'Existing Levels Drone Survey'!CW53</f>
        <v>0.6439047619047642</v>
      </c>
      <c r="CX53" s="191">
        <f>'Functional Levels Drone Survey'!CX53-'Existing Levels Drone Survey'!CX53</f>
        <v>0.41276666666658457</v>
      </c>
      <c r="CY53" s="279">
        <f>'Functional Levels Drone Survey'!CY53-'Existing Levels Drone Survey'!CY53</f>
        <v>0.42466666666661013</v>
      </c>
      <c r="CZ53" s="191">
        <f>'Functional Levels Drone Survey'!CZ53-'Existing Levels Drone Survey'!CZ53</f>
        <v>0.16846666666663168</v>
      </c>
      <c r="DA53" s="191">
        <f>'Functional Levels Drone Survey'!DA53-'Existing Levels Drone Survey'!DA53</f>
        <v>0.24096666666662259</v>
      </c>
      <c r="DB53" s="191">
        <f>'Functional Levels Drone Survey'!DB53-'Existing Levels Drone Survey'!DB53</f>
        <v>0.36966666666660331</v>
      </c>
      <c r="DC53" s="191">
        <f>'Functional Levels Drone Survey'!DC53-'Existing Levels Drone Survey'!DC53</f>
        <v>0.27286666666662995</v>
      </c>
      <c r="DD53" s="191">
        <f>'Functional Levels Drone Survey'!DD53-'Existing Levels Drone Survey'!DD53</f>
        <v>0.3011666666666315</v>
      </c>
      <c r="DE53" s="191">
        <f>'Functional Levels Drone Survey'!DE53-'Existing Levels Drone Survey'!DE53</f>
        <v>0.40756666666663932</v>
      </c>
      <c r="DF53" s="191">
        <f>'Functional Levels Drone Survey'!DF53-'Existing Levels Drone Survey'!DF53</f>
        <v>0.38856666666663386</v>
      </c>
      <c r="DG53" s="191">
        <f>'Functional Levels Drone Survey'!DG53-'Existing Levels Drone Survey'!DG53</f>
        <v>0.39106666666663159</v>
      </c>
      <c r="DH53" s="191">
        <f>'Functional Levels Drone Survey'!DH53-'Existing Levels Drone Survey'!DH53</f>
        <v>0.47786666666661404</v>
      </c>
      <c r="DI53" s="191">
        <f>'Functional Levels Drone Survey'!DI53-'Existing Levels Drone Survey'!DI53</f>
        <v>0.52186666666659676</v>
      </c>
      <c r="DJ53" s="191">
        <f>'Functional Levels Drone Survey'!DJ53-'Existing Levels Drone Survey'!DJ53</f>
        <v>0.47016666666661422</v>
      </c>
      <c r="DK53" s="191">
        <f>'Functional Levels Drone Survey'!DK53-'Existing Levels Drone Survey'!DK53</f>
        <v>0.42746666666664623</v>
      </c>
      <c r="DL53" s="191">
        <f>'Functional Levels Drone Survey'!DL53-'Existing Levels Drone Survey'!DL53</f>
        <v>0.46526666666659366</v>
      </c>
      <c r="DM53" s="191">
        <f>'Functional Levels Drone Survey'!DM53-'Existing Levels Drone Survey'!DM53</f>
        <v>0.69476666666662368</v>
      </c>
      <c r="DN53" s="191">
        <f>'Functional Levels Drone Survey'!DN53-'Existing Levels Drone Survey'!DN53</f>
        <v>0.63426666666663323</v>
      </c>
      <c r="DO53" s="191">
        <f>'Functional Levels Drone Survey'!DO53-'Existing Levels Drone Survey'!DO53</f>
        <v>0.57496666666662577</v>
      </c>
      <c r="DP53" s="191">
        <f>'Functional Levels Drone Survey'!DP53-'Existing Levels Drone Survey'!DP53</f>
        <v>0.45756666666659385</v>
      </c>
      <c r="DQ53" s="191">
        <f>'Functional Levels Drone Survey'!DQ53-'Existing Levels Drone Survey'!DQ53</f>
        <v>0.42986666666661222</v>
      </c>
      <c r="DR53" s="191">
        <f>'Functional Levels Drone Survey'!DR53-'Existing Levels Drone Survey'!DR53</f>
        <v>0.42826666666661595</v>
      </c>
      <c r="DS53" s="279">
        <f>'Functional Levels Drone Survey'!DS53-'Existing Levels Drone Survey'!DS53</f>
        <v>0.53236666666663268</v>
      </c>
      <c r="DT53" s="191">
        <f>'Functional Levels Drone Survey'!DT53-'Existing Levels Drone Survey'!DT53</f>
        <v>0.45786666666657538</v>
      </c>
      <c r="DU53" s="191">
        <f>'Functional Levels Drone Survey'!DU53-'Existing Levels Drone Survey'!DU53</f>
        <v>0.48996666666658939</v>
      </c>
      <c r="DV53" s="279">
        <f>'Functional Levels Drone Survey'!DV53-'Existing Levels Drone Survey'!DV53</f>
        <v>0.69679375000009713</v>
      </c>
      <c r="DW53" s="191">
        <f>'Functional Levels Drone Survey'!DW53-'Existing Levels Drone Survey'!DW53</f>
        <v>0.73049375000005057</v>
      </c>
      <c r="DX53" s="191">
        <f>'Functional Levels Drone Survey'!DX53-'Existing Levels Drone Survey'!DX53</f>
        <v>0.67399375000007922</v>
      </c>
      <c r="DY53" s="191">
        <f>'Functional Levels Drone Survey'!DY53-'Existing Levels Drone Survey'!DY53</f>
        <v>0.75849375000007058</v>
      </c>
      <c r="DZ53" s="191">
        <f>'Functional Levels Drone Survey'!DZ53-'Existing Levels Drone Survey'!DZ53</f>
        <v>0.76259375000006457</v>
      </c>
      <c r="EA53" s="191">
        <f>'Functional Levels Drone Survey'!EA53-'Existing Levels Drone Survey'!EA53</f>
        <v>0.70319375000008222</v>
      </c>
      <c r="EB53" s="191">
        <f>'Functional Levels Drone Survey'!EB53-'Existing Levels Drone Survey'!EB53</f>
        <v>0.74369375000009086</v>
      </c>
      <c r="EC53" s="191">
        <f>'Functional Levels Drone Survey'!EC53-'Existing Levels Drone Survey'!EC53</f>
        <v>0.73439375000009477</v>
      </c>
      <c r="ED53" s="191">
        <f>'Functional Levels Drone Survey'!ED53-'Existing Levels Drone Survey'!ED53</f>
        <v>0.84179375000007894</v>
      </c>
      <c r="EE53" s="191">
        <f>'Functional Levels Drone Survey'!EE53-'Existing Levels Drone Survey'!EE53</f>
        <v>0.8315937500000814</v>
      </c>
      <c r="EF53" s="191">
        <f>'Functional Levels Drone Survey'!EF53-'Existing Levels Drone Survey'!EF53</f>
        <v>0.84599375000004784</v>
      </c>
      <c r="EG53" s="191">
        <f>'Functional Levels Drone Survey'!EG53-'Existing Levels Drone Survey'!EG53</f>
        <v>0.86509375000008504</v>
      </c>
      <c r="EH53" s="191">
        <f>'Functional Levels Drone Survey'!EH53-'Existing Levels Drone Survey'!EH53</f>
        <v>0.81879375000005439</v>
      </c>
      <c r="EI53" s="191">
        <f>'Functional Levels Drone Survey'!EI53-'Existing Levels Drone Survey'!EI53</f>
        <v>0.8104937500000915</v>
      </c>
      <c r="EJ53" s="191">
        <f>'Functional Levels Drone Survey'!EJ53-'Existing Levels Drone Survey'!EJ53</f>
        <v>0.83729375000007167</v>
      </c>
      <c r="EK53" s="279">
        <f>'Functional Levels Drone Survey'!EK53-'Existing Levels Drone Survey'!EK53</f>
        <v>0.79479375000005348</v>
      </c>
      <c r="EL53" s="191">
        <f>'Functional Levels Drone Survey'!EL53-'Existing Levels Drone Survey'!EL53</f>
        <v>0.64139375000002019</v>
      </c>
      <c r="EM53" s="191">
        <f>'Functional Levels Drone Survey'!EM53-'Existing Levels Drone Survey'!EM53</f>
        <v>0.61359375000000682</v>
      </c>
      <c r="EN53" s="278">
        <f>'Functional Levels Drone Survey'!EN53-'Existing Levels Drone Survey'!EN53</f>
        <v>0.32259375000001</v>
      </c>
      <c r="EO53" s="191">
        <f>'Functional Levels Drone Survey'!EO53-'Existing Levels Drone Survey'!EO53</f>
        <v>0</v>
      </c>
      <c r="EP53" s="191">
        <f>'Functional Levels Drone Survey'!EP53-'Existing Levels Drone Survey'!EP53</f>
        <v>0</v>
      </c>
      <c r="EQ53" s="191">
        <f>'Functional Levels Drone Survey'!EQ53-'Existing Levels Drone Survey'!EQ53</f>
        <v>0</v>
      </c>
      <c r="ER53" s="191">
        <f>'Functional Levels Drone Survey'!ER53-'Existing Levels Drone Survey'!ER53</f>
        <v>0</v>
      </c>
      <c r="ES53" s="191">
        <f>'Functional Levels Drone Survey'!ES53-'Existing Levels Drone Survey'!ES53</f>
        <v>0</v>
      </c>
      <c r="ET53" s="191">
        <f>'Functional Levels Drone Survey'!ET53-'Existing Levels Drone Survey'!ET53</f>
        <v>0</v>
      </c>
      <c r="EU53" s="191">
        <f>'Functional Levels Drone Survey'!EU53-'Existing Levels Drone Survey'!EU53</f>
        <v>0</v>
      </c>
      <c r="EV53" s="191">
        <f>'Functional Levels Drone Survey'!EV53-'Existing Levels Drone Survey'!EV53</f>
        <v>0</v>
      </c>
      <c r="EW53" s="191">
        <f>'Functional Levels Drone Survey'!EW53-'Existing Levels Drone Survey'!EW53</f>
        <v>0</v>
      </c>
      <c r="EX53" s="191">
        <f>'Functional Levels Drone Survey'!EX53-'Existing Levels Drone Survey'!EX53</f>
        <v>0</v>
      </c>
      <c r="EY53" s="191">
        <f>'Functional Levels Drone Survey'!EY53-'Existing Levels Drone Survey'!EY53</f>
        <v>0</v>
      </c>
    </row>
    <row r="54" spans="1:155" ht="45" customHeight="1" x14ac:dyDescent="0.45">
      <c r="A54" s="277">
        <v>265</v>
      </c>
      <c r="B54" s="191">
        <f>'Functional Levels Drone Survey'!B54-'Existing Levels Drone Survey'!B54</f>
        <v>0</v>
      </c>
      <c r="C54" s="191">
        <f>'Functional Levels Drone Survey'!C54-'Existing Levels Drone Survey'!C54</f>
        <v>0</v>
      </c>
      <c r="D54" s="278">
        <f>'Functional Levels Drone Survey'!D54-'Existing Levels Drone Survey'!D54</f>
        <v>-8.0995000000029904E-2</v>
      </c>
      <c r="E54" s="191">
        <f>'Functional Levels Drone Survey'!E54-'Existing Levels Drone Survey'!E54</f>
        <v>2.7804999999943902E-2</v>
      </c>
      <c r="F54" s="279">
        <f>'Functional Levels Drone Survey'!F54-'Existing Levels Drone Survey'!F54</f>
        <v>0.26390499999996564</v>
      </c>
      <c r="G54" s="191">
        <f>'Functional Levels Drone Survey'!G54-'Existing Levels Drone Survey'!G54</f>
        <v>0.36790500000000748</v>
      </c>
      <c r="H54" s="191">
        <f>'Functional Levels Drone Survey'!H54-'Existing Levels Drone Survey'!H54</f>
        <v>0.42690499999997655</v>
      </c>
      <c r="I54" s="191">
        <f>'Functional Levels Drone Survey'!I54-'Existing Levels Drone Survey'!I54</f>
        <v>0.39720499999998538</v>
      </c>
      <c r="J54" s="191">
        <f>'Functional Levels Drone Survey'!J54-'Existing Levels Drone Survey'!J54</f>
        <v>0.40170499999999265</v>
      </c>
      <c r="K54" s="191">
        <f>'Functional Levels Drone Survey'!K54-'Existing Levels Drone Survey'!K54</f>
        <v>0.41100499999998874</v>
      </c>
      <c r="L54" s="191">
        <f>'Functional Levels Drone Survey'!L54-'Existing Levels Drone Survey'!L54</f>
        <v>0.37700499999999693</v>
      </c>
      <c r="M54" s="191">
        <f>'Functional Levels Drone Survey'!M54-'Existing Levels Drone Survey'!M54</f>
        <v>0.38720499999999447</v>
      </c>
      <c r="N54" s="191">
        <f>'Functional Levels Drone Survey'!N54-'Existing Levels Drone Survey'!N54</f>
        <v>0.41050500000000056</v>
      </c>
      <c r="O54" s="191">
        <f>'Functional Levels Drone Survey'!O54-'Existing Levels Drone Survey'!O54</f>
        <v>0.45750499999996919</v>
      </c>
      <c r="P54" s="191">
        <f>'Functional Levels Drone Survey'!P54-'Existing Levels Drone Survey'!P54</f>
        <v>0.45090499999997746</v>
      </c>
      <c r="Q54" s="191">
        <f>'Functional Levels Drone Survey'!Q54-'Existing Levels Drone Survey'!Q54</f>
        <v>0.44500499999998056</v>
      </c>
      <c r="R54" s="191">
        <f>'Functional Levels Drone Survey'!R54-'Existing Levels Drone Survey'!R54</f>
        <v>0.45000499999997601</v>
      </c>
      <c r="S54" s="191">
        <f>'Functional Levels Drone Survey'!S54-'Existing Levels Drone Survey'!S54</f>
        <v>0.44690500000001521</v>
      </c>
      <c r="T54" s="191">
        <f>'Functional Levels Drone Survey'!T54-'Existing Levels Drone Survey'!T54</f>
        <v>0.43910499999998365</v>
      </c>
      <c r="U54" s="191">
        <f>'Functional Levels Drone Survey'!U54-'Existing Levels Drone Survey'!U54</f>
        <v>0.44050499999997328</v>
      </c>
      <c r="V54" s="191">
        <f>'Functional Levels Drone Survey'!V54-'Existing Levels Drone Survey'!V54</f>
        <v>0.43070499999998901</v>
      </c>
      <c r="W54" s="191">
        <f>'Functional Levels Drone Survey'!W54-'Existing Levels Drone Survey'!W54</f>
        <v>0.41000500000001239</v>
      </c>
      <c r="X54" s="191">
        <f>'Functional Levels Drone Survey'!X54-'Existing Levels Drone Survey'!X54</f>
        <v>0.38810499999999593</v>
      </c>
      <c r="Y54" s="279">
        <f>'Functional Levels Drone Survey'!Y54-'Existing Levels Drone Survey'!Y54</f>
        <v>0.34000500000001921</v>
      </c>
      <c r="Z54" s="191">
        <f>'Functional Levels Drone Survey'!Z54-'Existing Levels Drone Survey'!Z54</f>
        <v>7.5604999999995925E-2</v>
      </c>
      <c r="AA54" s="191">
        <f>'Functional Levels Drone Survey'!AA54-'Existing Levels Drone Survey'!AA54</f>
        <v>0.10060500000003003</v>
      </c>
      <c r="AB54" s="278">
        <f>'Functional Levels Drone Survey'!AB54-'Existing Levels Drone Survey'!AB54</f>
        <v>8.5205000000030395E-2</v>
      </c>
      <c r="AC54" s="191">
        <f>'Functional Levels Drone Survey'!AC54-'Existing Levels Drone Survey'!AC54</f>
        <v>263.69484285714265</v>
      </c>
      <c r="AD54" s="191">
        <f>'Functional Levels Drone Survey'!AD54-'Existing Levels Drone Survey'!AD54</f>
        <v>0</v>
      </c>
      <c r="AE54" s="191">
        <f>'Functional Levels Drone Survey'!AE54-'Existing Levels Drone Survey'!AE54</f>
        <v>0</v>
      </c>
      <c r="AF54" s="191">
        <f>'Functional Levels Drone Survey'!AF54-'Existing Levels Drone Survey'!AF54</f>
        <v>0</v>
      </c>
      <c r="AG54" s="191">
        <f>'Functional Levels Drone Survey'!AG54-'Existing Levels Drone Survey'!AG54</f>
        <v>0</v>
      </c>
      <c r="AH54" s="191">
        <f>'Functional Levels Drone Survey'!AH54-'Existing Levels Drone Survey'!AH54</f>
        <v>0</v>
      </c>
      <c r="AI54" s="191">
        <f>'Functional Levels Drone Survey'!AI54-'Existing Levels Drone Survey'!AI54</f>
        <v>0</v>
      </c>
      <c r="AJ54" s="191">
        <f>'Functional Levels Drone Survey'!AJ54-'Existing Levels Drone Survey'!AJ54</f>
        <v>0</v>
      </c>
      <c r="AK54" s="191">
        <f>'Functional Levels Drone Survey'!AK54-'Existing Levels Drone Survey'!AK54</f>
        <v>0</v>
      </c>
      <c r="AL54" s="191">
        <f>'Functional Levels Drone Survey'!AL54-'Existing Levels Drone Survey'!AL54</f>
        <v>0</v>
      </c>
      <c r="AM54" s="191">
        <f>'Functional Levels Drone Survey'!AM54-'Existing Levels Drone Survey'!AM54</f>
        <v>0</v>
      </c>
      <c r="AN54" s="191">
        <f>'Functional Levels Drone Survey'!AN54-'Existing Levels Drone Survey'!AN54</f>
        <v>0</v>
      </c>
      <c r="AO54" s="191">
        <f>'Functional Levels Drone Survey'!AO54-'Existing Levels Drone Survey'!AO54</f>
        <v>0</v>
      </c>
      <c r="AP54" s="191">
        <f>'Functional Levels Drone Survey'!AP54-'Existing Levels Drone Survey'!AP54</f>
        <v>0</v>
      </c>
      <c r="AQ54" s="191">
        <f>'Functional Levels Drone Survey'!AQ54-'Existing Levels Drone Survey'!AQ54</f>
        <v>0</v>
      </c>
      <c r="AR54" s="191">
        <f>'Functional Levels Drone Survey'!AR54-'Existing Levels Drone Survey'!AR54</f>
        <v>0</v>
      </c>
      <c r="AS54" s="191">
        <f>'Functional Levels Drone Survey'!AS54-'Existing Levels Drone Survey'!AS54</f>
        <v>0</v>
      </c>
      <c r="AT54" s="191">
        <f>'Functional Levels Drone Survey'!AT54-'Existing Levels Drone Survey'!AT54</f>
        <v>0</v>
      </c>
      <c r="AU54" s="191">
        <f>'Functional Levels Drone Survey'!AU54-'Existing Levels Drone Survey'!AU54</f>
        <v>0</v>
      </c>
      <c r="AV54" s="191">
        <f>'Functional Levels Drone Survey'!AV54-'Existing Levels Drone Survey'!AV54</f>
        <v>0</v>
      </c>
      <c r="AW54" s="191">
        <f>'Functional Levels Drone Survey'!AW54-'Existing Levels Drone Survey'!AW54</f>
        <v>0</v>
      </c>
      <c r="AX54" s="191">
        <f>'Functional Levels Drone Survey'!AX54-'Existing Levels Drone Survey'!AX54</f>
        <v>0</v>
      </c>
      <c r="AY54" s="191">
        <f>'Functional Levels Drone Survey'!AY54-'Existing Levels Drone Survey'!AY54</f>
        <v>0</v>
      </c>
      <c r="AZ54" s="191">
        <f>'Functional Levels Drone Survey'!AZ54-'Existing Levels Drone Survey'!AZ54</f>
        <v>0</v>
      </c>
      <c r="BA54" s="191">
        <f>'Functional Levels Drone Survey'!BA54-'Existing Levels Drone Survey'!BA54</f>
        <v>0</v>
      </c>
      <c r="BB54" s="191">
        <f>'Functional Levels Drone Survey'!BB54-'Existing Levels Drone Survey'!BB54</f>
        <v>0</v>
      </c>
      <c r="BC54" s="191">
        <f>'Functional Levels Drone Survey'!BC54-'Existing Levels Drone Survey'!BC54</f>
        <v>0</v>
      </c>
      <c r="BD54" s="278">
        <f>'Functional Levels Drone Survey'!BD54-'Existing Levels Drone Survey'!BD54</f>
        <v>0.17263809523797136</v>
      </c>
      <c r="BE54" s="191">
        <f>'Functional Levels Drone Survey'!BE54-'Existing Levels Drone Survey'!BE54</f>
        <v>-0.12086190476202319</v>
      </c>
      <c r="BF54" s="279">
        <f>'Functional Levels Drone Survey'!BF54-'Existing Levels Drone Survey'!BF54</f>
        <v>9.7738095238014466E-2</v>
      </c>
      <c r="BG54" s="191">
        <f>'Functional Levels Drone Survey'!BG54-'Existing Levels Drone Survey'!BG54</f>
        <v>8.0738095238018559E-2</v>
      </c>
      <c r="BH54" s="191">
        <f>'Functional Levels Drone Survey'!BH54-'Existing Levels Drone Survey'!BH54</f>
        <v>0.22833809523797299</v>
      </c>
      <c r="BI54" s="191">
        <f>'Functional Levels Drone Survey'!BI54-'Existing Levels Drone Survey'!BI54</f>
        <v>0.24623809523797036</v>
      </c>
      <c r="BJ54" s="191">
        <f>'Functional Levels Drone Survey'!BJ54-'Existing Levels Drone Survey'!BJ54</f>
        <v>0.23893809523798382</v>
      </c>
      <c r="BK54" s="191">
        <f>'Functional Levels Drone Survey'!BK54-'Existing Levels Drone Survey'!BK54</f>
        <v>0.26483809523801938</v>
      </c>
      <c r="BL54" s="191">
        <f>'Functional Levels Drone Survey'!BL54-'Existing Levels Drone Survey'!BL54</f>
        <v>0.28313809523797318</v>
      </c>
      <c r="BM54" s="191">
        <f>'Functional Levels Drone Survey'!BM54-'Existing Levels Drone Survey'!BM54</f>
        <v>0.28463809523799455</v>
      </c>
      <c r="BN54" s="191">
        <f>'Functional Levels Drone Survey'!BN54-'Existing Levels Drone Survey'!BN54</f>
        <v>0.28583809523797754</v>
      </c>
      <c r="BO54" s="191">
        <f>'Functional Levels Drone Survey'!BO54-'Existing Levels Drone Survey'!BO54</f>
        <v>0.27873809523799764</v>
      </c>
      <c r="BP54" s="191">
        <f>'Functional Levels Drone Survey'!BP54-'Existing Levels Drone Survey'!BP54</f>
        <v>0.25843809523797745</v>
      </c>
      <c r="BQ54" s="191">
        <f>'Functional Levels Drone Survey'!BQ54-'Existing Levels Drone Survey'!BQ54</f>
        <v>0.2492380952380131</v>
      </c>
      <c r="BR54" s="191">
        <f>'Functional Levels Drone Survey'!BR54-'Existing Levels Drone Survey'!BR54</f>
        <v>0.49813809523800501</v>
      </c>
      <c r="BS54" s="191">
        <f>'Functional Levels Drone Survey'!BS54-'Existing Levels Drone Survey'!BS54</f>
        <v>0.28923809523797672</v>
      </c>
      <c r="BT54" s="191">
        <f>'Functional Levels Drone Survey'!BT54-'Existing Levels Drone Survey'!BT54</f>
        <v>0.29043809523801656</v>
      </c>
      <c r="BU54" s="191">
        <f>'Functional Levels Drone Survey'!BU54-'Existing Levels Drone Survey'!BU54</f>
        <v>0.43043809523800292</v>
      </c>
      <c r="BV54" s="191">
        <f>'Functional Levels Drone Survey'!BV54-'Existing Levels Drone Survey'!BV54</f>
        <v>0.43933809523798573</v>
      </c>
      <c r="BW54" s="191">
        <f>'Functional Levels Drone Survey'!BW54-'Existing Levels Drone Survey'!BW54</f>
        <v>0.44553809523802101</v>
      </c>
      <c r="BX54" s="191">
        <f>'Functional Levels Drone Survey'!BX54-'Existing Levels Drone Survey'!BX54</f>
        <v>0.42803809523798009</v>
      </c>
      <c r="BY54" s="191">
        <f>'Functional Levels Drone Survey'!BY54-'Existing Levels Drone Survey'!BY54</f>
        <v>0.41623809523798627</v>
      </c>
      <c r="BZ54" s="279">
        <f>'Functional Levels Drone Survey'!BZ54-'Existing Levels Drone Survey'!BZ54</f>
        <v>0.43873809523802265</v>
      </c>
      <c r="CA54" s="191">
        <f>'Functional Levels Drone Survey'!CA54-'Existing Levels Drone Survey'!CA54</f>
        <v>0.3839047619047733</v>
      </c>
      <c r="CB54" s="191">
        <f>'Functional Levels Drone Survey'!CB54-'Existing Levels Drone Survey'!CB54</f>
        <v>0.39440476190475238</v>
      </c>
      <c r="CC54" s="279">
        <f>'Functional Levels Drone Survey'!CC54-'Existing Levels Drone Survey'!CC54</f>
        <v>0.47680476190475929</v>
      </c>
      <c r="CD54" s="191">
        <f>'Functional Levels Drone Survey'!CD54-'Existing Levels Drone Survey'!CD54</f>
        <v>0.49580476190476475</v>
      </c>
      <c r="CE54" s="191">
        <f>'Functional Levels Drone Survey'!CE54-'Existing Levels Drone Survey'!CE54</f>
        <v>0.51130476190479612</v>
      </c>
      <c r="CF54" s="191">
        <f>'Functional Levels Drone Survey'!CF54-'Existing Levels Drone Survey'!CF54</f>
        <v>0.52830476190479203</v>
      </c>
      <c r="CG54" s="191">
        <f>'Functional Levels Drone Survey'!CG54-'Existing Levels Drone Survey'!CG54</f>
        <v>0.56350476190476684</v>
      </c>
      <c r="CH54" s="191">
        <f>'Functional Levels Drone Survey'!CH54-'Existing Levels Drone Survey'!CH54</f>
        <v>0.56540476190480149</v>
      </c>
      <c r="CI54" s="191">
        <f>'Functional Levels Drone Survey'!CI54-'Existing Levels Drone Survey'!CI54</f>
        <v>0.58060476190479449</v>
      </c>
      <c r="CJ54" s="191">
        <f>'Functional Levels Drone Survey'!CJ54-'Existing Levels Drone Survey'!CJ54</f>
        <v>0.57980476190476793</v>
      </c>
      <c r="CK54" s="191">
        <f>'Functional Levels Drone Survey'!CK54-'Existing Levels Drone Survey'!CK54</f>
        <v>0.57220476190479985</v>
      </c>
      <c r="CL54" s="191">
        <f>'Functional Levels Drone Survey'!CL54-'Existing Levels Drone Survey'!CL54</f>
        <v>0.57040476190479694</v>
      </c>
      <c r="CM54" s="191">
        <f>'Functional Levels Drone Survey'!CM54-'Existing Levels Drone Survey'!CM54</f>
        <v>0.5854047619047833</v>
      </c>
      <c r="CN54" s="191">
        <f>'Functional Levels Drone Survey'!CN54-'Existing Levels Drone Survey'!CN54</f>
        <v>0.56970476190480213</v>
      </c>
      <c r="CO54" s="191">
        <f>'Functional Levels Drone Survey'!CO54-'Existing Levels Drone Survey'!CO54</f>
        <v>0.5884047619047692</v>
      </c>
      <c r="CP54" s="191">
        <f>'Functional Levels Drone Survey'!CP54-'Existing Levels Drone Survey'!CP54</f>
        <v>0.61990476190476329</v>
      </c>
      <c r="CQ54" s="191">
        <f>'Functional Levels Drone Survey'!CQ54-'Existing Levels Drone Survey'!CQ54</f>
        <v>0.64860476190477812</v>
      </c>
      <c r="CR54" s="191">
        <f>'Functional Levels Drone Survey'!CR54-'Existing Levels Drone Survey'!CR54</f>
        <v>0.43540476190480604</v>
      </c>
      <c r="CS54" s="191">
        <f>'Functional Levels Drone Survey'!CS54-'Existing Levels Drone Survey'!CS54</f>
        <v>0.50190476190476829</v>
      </c>
      <c r="CT54" s="191">
        <f>'Functional Levels Drone Survey'!CT54-'Existing Levels Drone Survey'!CT54</f>
        <v>0.64420476190480258</v>
      </c>
      <c r="CU54" s="191">
        <f>'Functional Levels Drone Survey'!CU54-'Existing Levels Drone Survey'!CU54</f>
        <v>0.65590476190476465</v>
      </c>
      <c r="CV54" s="191">
        <f>'Functional Levels Drone Survey'!CV54-'Existing Levels Drone Survey'!CV54</f>
        <v>0.69580476190481022</v>
      </c>
      <c r="CW54" s="279">
        <f>'Functional Levels Drone Survey'!CW54-'Existing Levels Drone Survey'!CW54</f>
        <v>0.66460476190479767</v>
      </c>
      <c r="CX54" s="191">
        <f>'Functional Levels Drone Survey'!CX54-'Existing Levels Drone Survey'!CX54</f>
        <v>0.45296666666661167</v>
      </c>
      <c r="CY54" s="279">
        <f>'Functional Levels Drone Survey'!CY54-'Existing Levels Drone Survey'!CY54</f>
        <v>0.37036666666665496</v>
      </c>
      <c r="CZ54" s="191">
        <f>'Functional Levels Drone Survey'!CZ54-'Existing Levels Drone Survey'!CZ54</f>
        <v>0.31366666666662013</v>
      </c>
      <c r="DA54" s="191">
        <f>'Functional Levels Drone Survey'!DA54-'Existing Levels Drone Survey'!DA54</f>
        <v>0.33566666666661149</v>
      </c>
      <c r="DB54" s="191">
        <f>'Functional Levels Drone Survey'!DB54-'Existing Levels Drone Survey'!DB54</f>
        <v>0.33186666666665587</v>
      </c>
      <c r="DC54" s="191">
        <f>'Functional Levels Drone Survey'!DC54-'Existing Levels Drone Survey'!DC54</f>
        <v>0.45346666666665669</v>
      </c>
      <c r="DD54" s="191">
        <f>'Functional Levels Drone Survey'!DD54-'Existing Levels Drone Survey'!DD54</f>
        <v>0.51066666666662286</v>
      </c>
      <c r="DE54" s="191">
        <f>'Functional Levels Drone Survey'!DE54-'Existing Levels Drone Survey'!DE54</f>
        <v>0.54566666666664787</v>
      </c>
      <c r="DF54" s="191">
        <f>'Functional Levels Drone Survey'!DF54-'Existing Levels Drone Survey'!DF54</f>
        <v>0.38506666666660294</v>
      </c>
      <c r="DG54" s="191">
        <f>'Functional Levels Drone Survey'!DG54-'Existing Levels Drone Survey'!DG54</f>
        <v>0.48696666666660349</v>
      </c>
      <c r="DH54" s="191">
        <f>'Functional Levels Drone Survey'!DH54-'Existing Levels Drone Survey'!DH54</f>
        <v>0.54916666666662195</v>
      </c>
      <c r="DI54" s="191">
        <f>'Functional Levels Drone Survey'!DI54-'Existing Levels Drone Survey'!DI54</f>
        <v>0.5259666666666476</v>
      </c>
      <c r="DJ54" s="191">
        <f>'Functional Levels Drone Survey'!DJ54-'Existing Levels Drone Survey'!DJ54</f>
        <v>0.52356666666662477</v>
      </c>
      <c r="DK54" s="191">
        <f>'Functional Levels Drone Survey'!DK54-'Existing Levels Drone Survey'!DK54</f>
        <v>0.75636666666662222</v>
      </c>
      <c r="DL54" s="191">
        <f>'Functional Levels Drone Survey'!DL54-'Existing Levels Drone Survey'!DL54</f>
        <v>0.67746666666664623</v>
      </c>
      <c r="DM54" s="191">
        <f>'Functional Levels Drone Survey'!DM54-'Existing Levels Drone Survey'!DM54</f>
        <v>0.49296666666663214</v>
      </c>
      <c r="DN54" s="191">
        <f>'Functional Levels Drone Survey'!DN54-'Existing Levels Drone Survey'!DN54</f>
        <v>0.49366666666662695</v>
      </c>
      <c r="DO54" s="191">
        <f>'Functional Levels Drone Survey'!DO54-'Existing Levels Drone Survey'!DO54</f>
        <v>0.59616666666664742</v>
      </c>
      <c r="DP54" s="191">
        <f>'Functional Levels Drone Survey'!DP54-'Existing Levels Drone Survey'!DP54</f>
        <v>0.52156666666661522</v>
      </c>
      <c r="DQ54" s="191">
        <f>'Functional Levels Drone Survey'!DQ54-'Existing Levels Drone Survey'!DQ54</f>
        <v>0.53586666666660676</v>
      </c>
      <c r="DR54" s="191">
        <f>'Functional Levels Drone Survey'!DR54-'Existing Levels Drone Survey'!DR54</f>
        <v>0.37926666666663778</v>
      </c>
      <c r="DS54" s="279">
        <f>'Functional Levels Drone Survey'!DS54-'Existing Levels Drone Survey'!DS54</f>
        <v>0.2315666666666516</v>
      </c>
      <c r="DT54" s="191">
        <f>'Functional Levels Drone Survey'!DT54-'Existing Levels Drone Survey'!DT54</f>
        <v>0.5885666666666225</v>
      </c>
      <c r="DU54" s="191">
        <f>'Functional Levels Drone Survey'!DU54-'Existing Levels Drone Survey'!DU54</f>
        <v>0.31856666666658384</v>
      </c>
      <c r="DV54" s="279">
        <f>'Functional Levels Drone Survey'!DV54-'Existing Levels Drone Survey'!DV54</f>
        <v>0.75739375000006248</v>
      </c>
      <c r="DW54" s="191">
        <f>'Functional Levels Drone Survey'!DW54-'Existing Levels Drone Survey'!DW54</f>
        <v>0.79949375000006739</v>
      </c>
      <c r="DX54" s="191">
        <f>'Functional Levels Drone Survey'!DX54-'Existing Levels Drone Survey'!DX54</f>
        <v>0.75459375000008322</v>
      </c>
      <c r="DY54" s="191">
        <f>'Functional Levels Drone Survey'!DY54-'Existing Levels Drone Survey'!DY54</f>
        <v>0.83879375000009304</v>
      </c>
      <c r="DZ54" s="191">
        <f>'Functional Levels Drone Survey'!DZ54-'Existing Levels Drone Survey'!DZ54</f>
        <v>0.7831937500000663</v>
      </c>
      <c r="EA54" s="191">
        <f>'Functional Levels Drone Survey'!EA54-'Existing Levels Drone Survey'!EA54</f>
        <v>0.80549375000009604</v>
      </c>
      <c r="EB54" s="191">
        <f>'Functional Levels Drone Survey'!EB54-'Existing Levels Drone Survey'!EB54</f>
        <v>0.90799375000005966</v>
      </c>
      <c r="EC54" s="191">
        <f>'Functional Levels Drone Survey'!EC54-'Existing Levels Drone Survey'!EC54</f>
        <v>0.81659375000009504</v>
      </c>
      <c r="ED54" s="191">
        <f>'Functional Levels Drone Survey'!ED54-'Existing Levels Drone Survey'!ED54</f>
        <v>0.84819375000006403</v>
      </c>
      <c r="EE54" s="191">
        <f>'Functional Levels Drone Survey'!EE54-'Existing Levels Drone Survey'!EE54</f>
        <v>0.84739375000009431</v>
      </c>
      <c r="EF54" s="191">
        <f>'Functional Levels Drone Survey'!EF54-'Existing Levels Drone Survey'!EF54</f>
        <v>0.8134937500000774</v>
      </c>
      <c r="EG54" s="191">
        <f>'Functional Levels Drone Survey'!EG54-'Existing Levels Drone Survey'!EG54</f>
        <v>0.83049375000007331</v>
      </c>
      <c r="EH54" s="191">
        <f>'Functional Levels Drone Survey'!EH54-'Existing Levels Drone Survey'!EH54</f>
        <v>0.84539375000008476</v>
      </c>
      <c r="EI54" s="191">
        <f>'Functional Levels Drone Survey'!EI54-'Existing Levels Drone Survey'!EI54</f>
        <v>0.86369375000009541</v>
      </c>
      <c r="EJ54" s="191">
        <f>'Functional Levels Drone Survey'!EJ54-'Existing Levels Drone Survey'!EJ54</f>
        <v>0.86659375000010641</v>
      </c>
      <c r="EK54" s="279">
        <f>'Functional Levels Drone Survey'!EK54-'Existing Levels Drone Survey'!EK54</f>
        <v>0.62779375000008031</v>
      </c>
      <c r="EL54" s="191">
        <f>'Functional Levels Drone Survey'!EL54-'Existing Levels Drone Survey'!EL54</f>
        <v>0.40909375000001091</v>
      </c>
      <c r="EM54" s="191">
        <f>'Functional Levels Drone Survey'!EM54-'Existing Levels Drone Survey'!EM54</f>
        <v>0.40789375000002792</v>
      </c>
      <c r="EN54" s="278">
        <f>'Functional Levels Drone Survey'!EN54-'Existing Levels Drone Survey'!EN54</f>
        <v>0.39129375000004529</v>
      </c>
      <c r="EO54" s="191">
        <f>'Functional Levels Drone Survey'!EO54-'Existing Levels Drone Survey'!EO54</f>
        <v>0</v>
      </c>
      <c r="EP54" s="191">
        <f>'Functional Levels Drone Survey'!EP54-'Existing Levels Drone Survey'!EP54</f>
        <v>0</v>
      </c>
      <c r="EQ54" s="191">
        <f>'Functional Levels Drone Survey'!EQ54-'Existing Levels Drone Survey'!EQ54</f>
        <v>0</v>
      </c>
      <c r="ER54" s="191">
        <f>'Functional Levels Drone Survey'!ER54-'Existing Levels Drone Survey'!ER54</f>
        <v>0</v>
      </c>
      <c r="ES54" s="191">
        <f>'Functional Levels Drone Survey'!ES54-'Existing Levels Drone Survey'!ES54</f>
        <v>0</v>
      </c>
      <c r="ET54" s="191">
        <f>'Functional Levels Drone Survey'!ET54-'Existing Levels Drone Survey'!ET54</f>
        <v>0</v>
      </c>
      <c r="EU54" s="191">
        <f>'Functional Levels Drone Survey'!EU54-'Existing Levels Drone Survey'!EU54</f>
        <v>0</v>
      </c>
      <c r="EV54" s="191">
        <f>'Functional Levels Drone Survey'!EV54-'Existing Levels Drone Survey'!EV54</f>
        <v>0</v>
      </c>
      <c r="EW54" s="191">
        <f>'Functional Levels Drone Survey'!EW54-'Existing Levels Drone Survey'!EW54</f>
        <v>0</v>
      </c>
      <c r="EX54" s="191">
        <f>'Functional Levels Drone Survey'!EX54-'Existing Levels Drone Survey'!EX54</f>
        <v>0</v>
      </c>
      <c r="EY54" s="191">
        <f>'Functional Levels Drone Survey'!EY54-'Existing Levels Drone Survey'!EY54</f>
        <v>0</v>
      </c>
    </row>
    <row r="55" spans="1:155" ht="45" customHeight="1" x14ac:dyDescent="0.45">
      <c r="A55" s="277">
        <v>270</v>
      </c>
      <c r="B55" s="191">
        <f>'Functional Levels Drone Survey'!B55-'Existing Levels Drone Survey'!B55</f>
        <v>0</v>
      </c>
      <c r="C55" s="191">
        <f>'Functional Levels Drone Survey'!C55-'Existing Levels Drone Survey'!C55</f>
        <v>0</v>
      </c>
      <c r="D55" s="278">
        <f>'Functional Levels Drone Survey'!D55-'Existing Levels Drone Survey'!D55</f>
        <v>5.5004999999937354E-2</v>
      </c>
      <c r="E55" s="191">
        <f>'Functional Levels Drone Survey'!E55-'Existing Levels Drone Survey'!E55</f>
        <v>0.19190499999996291</v>
      </c>
      <c r="F55" s="279">
        <f>'Functional Levels Drone Survey'!F55-'Existing Levels Drone Survey'!F55</f>
        <v>0.32770499999998037</v>
      </c>
      <c r="G55" s="191">
        <f>'Functional Levels Drone Survey'!G55-'Existing Levels Drone Survey'!G55</f>
        <v>0.34870499999999538</v>
      </c>
      <c r="H55" s="191">
        <f>'Functional Levels Drone Survey'!H55-'Existing Levels Drone Survey'!H55</f>
        <v>0.36830499999996391</v>
      </c>
      <c r="I55" s="191">
        <f>'Functional Levels Drone Survey'!I55-'Existing Levels Drone Survey'!I55</f>
        <v>0.37150499999995645</v>
      </c>
      <c r="J55" s="191">
        <f>'Functional Levels Drone Survey'!J55-'Existing Levels Drone Survey'!J55</f>
        <v>0.3786049999999932</v>
      </c>
      <c r="K55" s="191">
        <f>'Functional Levels Drone Survey'!K55-'Existing Levels Drone Survey'!K55</f>
        <v>0.38050499999997101</v>
      </c>
      <c r="L55" s="191">
        <f>'Functional Levels Drone Survey'!L55-'Existing Levels Drone Survey'!L55</f>
        <v>0.36900499999995873</v>
      </c>
      <c r="M55" s="191">
        <f>'Functional Levels Drone Survey'!M55-'Existing Levels Drone Survey'!M55</f>
        <v>0.35220499999996946</v>
      </c>
      <c r="N55" s="191">
        <f>'Functional Levels Drone Survey'!N55-'Existing Levels Drone Survey'!N55</f>
        <v>0.3454049999999711</v>
      </c>
      <c r="O55" s="191">
        <f>'Functional Levels Drone Survey'!O55-'Existing Levels Drone Survey'!O55</f>
        <v>0.35160500000000638</v>
      </c>
      <c r="P55" s="191">
        <f>'Functional Levels Drone Survey'!P55-'Existing Levels Drone Survey'!P55</f>
        <v>0.42830499999996618</v>
      </c>
      <c r="Q55" s="191">
        <f>'Functional Levels Drone Survey'!Q55-'Existing Levels Drone Survey'!Q55</f>
        <v>0.41430499999995618</v>
      </c>
      <c r="R55" s="191">
        <f>'Functional Levels Drone Survey'!R55-'Existing Levels Drone Survey'!R55</f>
        <v>0.40590499999996155</v>
      </c>
      <c r="S55" s="191">
        <f>'Functional Levels Drone Survey'!S55-'Existing Levels Drone Survey'!S55</f>
        <v>0.39210499999995818</v>
      </c>
      <c r="T55" s="191">
        <f>'Functional Levels Drone Survey'!T55-'Existing Levels Drone Survey'!T55</f>
        <v>0.40810499999997774</v>
      </c>
      <c r="U55" s="191">
        <f>'Functional Levels Drone Survey'!U55-'Existing Levels Drone Survey'!U55</f>
        <v>0.38620499999996127</v>
      </c>
      <c r="V55" s="191">
        <f>'Functional Levels Drone Survey'!V55-'Existing Levels Drone Survey'!V55</f>
        <v>0.39410499999996773</v>
      </c>
      <c r="W55" s="191">
        <f>'Functional Levels Drone Survey'!W55-'Existing Levels Drone Survey'!W55</f>
        <v>0.3786049999999932</v>
      </c>
      <c r="X55" s="191">
        <f>'Functional Levels Drone Survey'!X55-'Existing Levels Drone Survey'!X55</f>
        <v>0.34780499999999392</v>
      </c>
      <c r="Y55" s="279">
        <f>'Functional Levels Drone Survey'!Y55-'Existing Levels Drone Survey'!Y55</f>
        <v>0.32860499999998183</v>
      </c>
      <c r="Z55" s="191">
        <f>'Functional Levels Drone Survey'!Z55-'Existing Levels Drone Survey'!Z55</f>
        <v>2.2604999999998654E-2</v>
      </c>
      <c r="AA55" s="191">
        <f>'Functional Levels Drone Survey'!AA55-'Existing Levels Drone Survey'!AA55</f>
        <v>3.9305000000013024E-2</v>
      </c>
      <c r="AB55" s="191">
        <f>'Functional Levels Drone Survey'!AB55-'Existing Levels Drone Survey'!AB55</f>
        <v>2.8049999999666397E-3</v>
      </c>
      <c r="AC55" s="278">
        <f>'Functional Levels Drone Survey'!AC55-'Existing Levels Drone Survey'!AC55</f>
        <v>-0.42965714285736567</v>
      </c>
      <c r="AD55" s="191">
        <f>'Functional Levels Drone Survey'!AD55-'Existing Levels Drone Survey'!AD55</f>
        <v>0</v>
      </c>
      <c r="AE55" s="191">
        <f>'Functional Levels Drone Survey'!AE55-'Existing Levels Drone Survey'!AE55</f>
        <v>0</v>
      </c>
      <c r="AF55" s="191">
        <f>'Functional Levels Drone Survey'!AF55-'Existing Levels Drone Survey'!AF55</f>
        <v>0</v>
      </c>
      <c r="AG55" s="191">
        <f>'Functional Levels Drone Survey'!AG55-'Existing Levels Drone Survey'!AG55</f>
        <v>0</v>
      </c>
      <c r="AH55" s="191">
        <f>'Functional Levels Drone Survey'!AH55-'Existing Levels Drone Survey'!AH55</f>
        <v>0</v>
      </c>
      <c r="AI55" s="191">
        <f>'Functional Levels Drone Survey'!AI55-'Existing Levels Drone Survey'!AI55</f>
        <v>0</v>
      </c>
      <c r="AJ55" s="191">
        <f>'Functional Levels Drone Survey'!AJ55-'Existing Levels Drone Survey'!AJ55</f>
        <v>0</v>
      </c>
      <c r="AK55" s="191">
        <f>'Functional Levels Drone Survey'!AK55-'Existing Levels Drone Survey'!AK55</f>
        <v>0</v>
      </c>
      <c r="AL55" s="191">
        <f>'Functional Levels Drone Survey'!AL55-'Existing Levels Drone Survey'!AL55</f>
        <v>0</v>
      </c>
      <c r="AM55" s="191">
        <f>'Functional Levels Drone Survey'!AM55-'Existing Levels Drone Survey'!AM55</f>
        <v>0</v>
      </c>
      <c r="AN55" s="191">
        <f>'Functional Levels Drone Survey'!AN55-'Existing Levels Drone Survey'!AN55</f>
        <v>0</v>
      </c>
      <c r="AO55" s="191">
        <f>'Functional Levels Drone Survey'!AO55-'Existing Levels Drone Survey'!AO55</f>
        <v>0</v>
      </c>
      <c r="AP55" s="191">
        <f>'Functional Levels Drone Survey'!AP55-'Existing Levels Drone Survey'!AP55</f>
        <v>0</v>
      </c>
      <c r="AQ55" s="191">
        <f>'Functional Levels Drone Survey'!AQ55-'Existing Levels Drone Survey'!AQ55</f>
        <v>0</v>
      </c>
      <c r="AR55" s="191">
        <f>'Functional Levels Drone Survey'!AR55-'Existing Levels Drone Survey'!AR55</f>
        <v>0</v>
      </c>
      <c r="AS55" s="191">
        <f>'Functional Levels Drone Survey'!AS55-'Existing Levels Drone Survey'!AS55</f>
        <v>0</v>
      </c>
      <c r="AT55" s="191">
        <f>'Functional Levels Drone Survey'!AT55-'Existing Levels Drone Survey'!AT55</f>
        <v>0</v>
      </c>
      <c r="AU55" s="191">
        <f>'Functional Levels Drone Survey'!AU55-'Existing Levels Drone Survey'!AU55</f>
        <v>0</v>
      </c>
      <c r="AV55" s="191">
        <f>'Functional Levels Drone Survey'!AV55-'Existing Levels Drone Survey'!AV55</f>
        <v>0</v>
      </c>
      <c r="AW55" s="191">
        <f>'Functional Levels Drone Survey'!AW55-'Existing Levels Drone Survey'!AW55</f>
        <v>0</v>
      </c>
      <c r="AX55" s="191">
        <f>'Functional Levels Drone Survey'!AX55-'Existing Levels Drone Survey'!AX55</f>
        <v>0</v>
      </c>
      <c r="AY55" s="191">
        <f>'Functional Levels Drone Survey'!AY55-'Existing Levels Drone Survey'!AY55</f>
        <v>0</v>
      </c>
      <c r="AZ55" s="191">
        <f>'Functional Levels Drone Survey'!AZ55-'Existing Levels Drone Survey'!AZ55</f>
        <v>0</v>
      </c>
      <c r="BA55" s="191">
        <f>'Functional Levels Drone Survey'!BA55-'Existing Levels Drone Survey'!BA55</f>
        <v>0</v>
      </c>
      <c r="BB55" s="191">
        <f>'Functional Levels Drone Survey'!BB55-'Existing Levels Drone Survey'!BB55</f>
        <v>0</v>
      </c>
      <c r="BC55" s="191">
        <f>'Functional Levels Drone Survey'!BC55-'Existing Levels Drone Survey'!BC55</f>
        <v>0</v>
      </c>
      <c r="BD55" s="278">
        <f>'Functional Levels Drone Survey'!BD55-'Existing Levels Drone Survey'!BD55</f>
        <v>6.6380952379745395E-3</v>
      </c>
      <c r="BE55" s="191">
        <f>'Functional Levels Drone Survey'!BE55-'Existing Levels Drone Survey'!BE55</f>
        <v>-7.1761904762013273E-2</v>
      </c>
      <c r="BF55" s="279">
        <f>'Functional Levels Drone Survey'!BF55-'Existing Levels Drone Survey'!BF55</f>
        <v>1.9738095237983089E-2</v>
      </c>
      <c r="BG55" s="191">
        <f>'Functional Levels Drone Survey'!BG55-'Existing Levels Drone Survey'!BG55</f>
        <v>0.19653809523799737</v>
      </c>
      <c r="BH55" s="191">
        <f>'Functional Levels Drone Survey'!BH55-'Existing Levels Drone Survey'!BH55</f>
        <v>0.1435380952380001</v>
      </c>
      <c r="BI55" s="191">
        <f>'Functional Levels Drone Survey'!BI55-'Existing Levels Drone Survey'!BI55</f>
        <v>0.16973809523796035</v>
      </c>
      <c r="BJ55" s="191">
        <f>'Functional Levels Drone Survey'!BJ55-'Existing Levels Drone Survey'!BJ55</f>
        <v>0.17863809523800001</v>
      </c>
      <c r="BK55" s="191">
        <f>'Functional Levels Drone Survey'!BK55-'Existing Levels Drone Survey'!BK55</f>
        <v>0.20183809523797436</v>
      </c>
      <c r="BL55" s="191">
        <f>'Functional Levels Drone Survey'!BL55-'Existing Levels Drone Survey'!BL55</f>
        <v>0.24793809523799837</v>
      </c>
      <c r="BM55" s="191">
        <f>'Functional Levels Drone Survey'!BM55-'Existing Levels Drone Survey'!BM55</f>
        <v>0.25203809523799237</v>
      </c>
      <c r="BN55" s="191">
        <f>'Functional Levels Drone Survey'!BN55-'Existing Levels Drone Survey'!BN55</f>
        <v>0.25523809523798491</v>
      </c>
      <c r="BO55" s="191">
        <f>'Functional Levels Drone Survey'!BO55-'Existing Levels Drone Survey'!BO55</f>
        <v>0.24403809523801101</v>
      </c>
      <c r="BP55" s="191">
        <f>'Functional Levels Drone Survey'!BP55-'Existing Levels Drone Survey'!BP55</f>
        <v>0.23273809523800537</v>
      </c>
      <c r="BQ55" s="191">
        <f>'Functional Levels Drone Survey'!BQ55-'Existing Levels Drone Survey'!BQ55</f>
        <v>0.22213809523799455</v>
      </c>
      <c r="BR55" s="191">
        <f>'Functional Levels Drone Survey'!BR55-'Existing Levels Drone Survey'!BR55</f>
        <v>0.24673809523795853</v>
      </c>
      <c r="BS55" s="191">
        <f>'Functional Levels Drone Survey'!BS55-'Existing Levels Drone Survey'!BS55</f>
        <v>0.19173809523800855</v>
      </c>
      <c r="BT55" s="191">
        <f>'Functional Levels Drone Survey'!BT55-'Existing Levels Drone Survey'!BT55</f>
        <v>0.23203809523801056</v>
      </c>
      <c r="BU55" s="191">
        <f>'Functional Levels Drone Survey'!BU55-'Existing Levels Drone Survey'!BU55</f>
        <v>0.34703809523796281</v>
      </c>
      <c r="BV55" s="191">
        <f>'Functional Levels Drone Survey'!BV55-'Existing Levels Drone Survey'!BV55</f>
        <v>0.37353809523796144</v>
      </c>
      <c r="BW55" s="191">
        <f>'Functional Levels Drone Survey'!BW55-'Existing Levels Drone Survey'!BW55</f>
        <v>0.38903809523799282</v>
      </c>
      <c r="BX55" s="191">
        <f>'Functional Levels Drone Survey'!BX55-'Existing Levels Drone Survey'!BX55</f>
        <v>0.37103809523796372</v>
      </c>
      <c r="BY55" s="191">
        <f>'Functional Levels Drone Survey'!BY55-'Existing Levels Drone Survey'!BY55</f>
        <v>0.37893809523797017</v>
      </c>
      <c r="BZ55" s="279">
        <f>'Functional Levels Drone Survey'!BZ55-'Existing Levels Drone Survey'!BZ55</f>
        <v>0.39103809523800237</v>
      </c>
      <c r="CA55" s="191">
        <f>'Functional Levels Drone Survey'!CA55-'Existing Levels Drone Survey'!CA55</f>
        <v>0.31670476190475938</v>
      </c>
      <c r="CB55" s="191">
        <f>'Functional Levels Drone Survey'!CB55-'Existing Levels Drone Survey'!CB55</f>
        <v>0.33480476190476338</v>
      </c>
      <c r="CC55" s="279">
        <f>'Functional Levels Drone Survey'!CC55-'Existing Levels Drone Survey'!CC55</f>
        <v>0.43750476190479048</v>
      </c>
      <c r="CD55" s="191">
        <f>'Functional Levels Drone Survey'!CD55-'Existing Levels Drone Survey'!CD55</f>
        <v>0.45850476190474865</v>
      </c>
      <c r="CE55" s="191">
        <f>'Functional Levels Drone Survey'!CE55-'Existing Levels Drone Survey'!CE55</f>
        <v>0.42670476190477302</v>
      </c>
      <c r="CF55" s="191">
        <f>'Functional Levels Drone Survey'!CF55-'Existing Levels Drone Survey'!CF55</f>
        <v>0.49470476190475665</v>
      </c>
      <c r="CG55" s="191">
        <f>'Functional Levels Drone Survey'!CG55-'Existing Levels Drone Survey'!CG55</f>
        <v>0.50470476190474756</v>
      </c>
      <c r="CH55" s="191">
        <f>'Functional Levels Drone Survey'!CH55-'Existing Levels Drone Survey'!CH55</f>
        <v>0.51000476190478139</v>
      </c>
      <c r="CI55" s="191">
        <f>'Functional Levels Drone Survey'!CI55-'Existing Levels Drone Survey'!CI55</f>
        <v>0.55560476190476038</v>
      </c>
      <c r="CJ55" s="191">
        <f>'Functional Levels Drone Survey'!CJ55-'Existing Levels Drone Survey'!CJ55</f>
        <v>0.52800476190475365</v>
      </c>
      <c r="CK55" s="191">
        <f>'Functional Levels Drone Survey'!CK55-'Existing Levels Drone Survey'!CK55</f>
        <v>0.50560476190474901</v>
      </c>
      <c r="CL55" s="191">
        <f>'Functional Levels Drone Survey'!CL55-'Existing Levels Drone Survey'!CL55</f>
        <v>0.50160476190478676</v>
      </c>
      <c r="CM55" s="191">
        <f>'Functional Levels Drone Survey'!CM55-'Existing Levels Drone Survey'!CM55</f>
        <v>0.54480476190479976</v>
      </c>
      <c r="CN55" s="191">
        <f>'Functional Levels Drone Survey'!CN55-'Existing Levels Drone Survey'!CN55</f>
        <v>0.51210476190476584</v>
      </c>
      <c r="CO55" s="191">
        <f>'Functional Levels Drone Survey'!CO55-'Existing Levels Drone Survey'!CO55</f>
        <v>0.50120476190477348</v>
      </c>
      <c r="CP55" s="191">
        <f>'Functional Levels Drone Survey'!CP55-'Existing Levels Drone Survey'!CP55</f>
        <v>0.55000476190474501</v>
      </c>
      <c r="CQ55" s="191">
        <f>'Functional Levels Drone Survey'!CQ55-'Existing Levels Drone Survey'!CQ55</f>
        <v>0.56990476190475192</v>
      </c>
      <c r="CR55" s="191">
        <f>'Functional Levels Drone Survey'!CR55-'Existing Levels Drone Survey'!CR55</f>
        <v>0.4301047619047722</v>
      </c>
      <c r="CS55" s="191">
        <f>'Functional Levels Drone Survey'!CS55-'Existing Levels Drone Survey'!CS55</f>
        <v>0.47490476190478148</v>
      </c>
      <c r="CT55" s="191">
        <f>'Functional Levels Drone Survey'!CT55-'Existing Levels Drone Survey'!CT55</f>
        <v>0.4383047619047602</v>
      </c>
      <c r="CU55" s="191">
        <f>'Functional Levels Drone Survey'!CU55-'Existing Levels Drone Survey'!CU55</f>
        <v>0.55160476190479812</v>
      </c>
      <c r="CV55" s="191">
        <f>'Functional Levels Drone Survey'!CV55-'Existing Levels Drone Survey'!CV55</f>
        <v>0.5744047619047592</v>
      </c>
      <c r="CW55" s="279">
        <f>'Functional Levels Drone Survey'!CW55-'Existing Levels Drone Survey'!CW55</f>
        <v>0.56010476190476766</v>
      </c>
      <c r="CX55" s="191">
        <f>'Functional Levels Drone Survey'!CX55-'Existing Levels Drone Survey'!CX55</f>
        <v>0.29056666666662068</v>
      </c>
      <c r="CY55" s="279">
        <f>'Functional Levels Drone Survey'!CY55-'Existing Levels Drone Survey'!CY55</f>
        <v>0.34256666666664159</v>
      </c>
      <c r="CZ55" s="191">
        <f>'Functional Levels Drone Survey'!CZ55-'Existing Levels Drone Survey'!CZ55</f>
        <v>0.29976666666664187</v>
      </c>
      <c r="DA55" s="191">
        <f>'Functional Levels Drone Survey'!DA55-'Existing Levels Drone Survey'!DA55</f>
        <v>0.35236666666662586</v>
      </c>
      <c r="DB55" s="191">
        <f>'Functional Levels Drone Survey'!DB55-'Existing Levels Drone Survey'!DB55</f>
        <v>0.40196666666662395</v>
      </c>
      <c r="DC55" s="191">
        <f>'Functional Levels Drone Survey'!DC55-'Existing Levels Drone Survey'!DC55</f>
        <v>0.41666666666662877</v>
      </c>
      <c r="DD55" s="191">
        <f>'Functional Levels Drone Survey'!DD55-'Existing Levels Drone Survey'!DD55</f>
        <v>0.40926666666661049</v>
      </c>
      <c r="DE55" s="191">
        <f>'Functional Levels Drone Survey'!DE55-'Existing Levels Drone Survey'!DE55</f>
        <v>0.39046666666661167</v>
      </c>
      <c r="DF55" s="191">
        <f>'Functional Levels Drone Survey'!DF55-'Existing Levels Drone Survey'!DF55</f>
        <v>0.31146666666660394</v>
      </c>
      <c r="DG55" s="191">
        <f>'Functional Levels Drone Survey'!DG55-'Existing Levels Drone Survey'!DG55</f>
        <v>0.40846666666664078</v>
      </c>
      <c r="DH55" s="191">
        <f>'Functional Levels Drone Survey'!DH55-'Existing Levels Drone Survey'!DH55</f>
        <v>0.4705666666666275</v>
      </c>
      <c r="DI55" s="191">
        <f>'Functional Levels Drone Survey'!DI55-'Existing Levels Drone Survey'!DI55</f>
        <v>0.67276666666663232</v>
      </c>
      <c r="DJ55" s="191">
        <f>'Functional Levels Drone Survey'!DJ55-'Existing Levels Drone Survey'!DJ55</f>
        <v>0.67846666666662259</v>
      </c>
      <c r="DK55" s="191">
        <f>'Functional Levels Drone Survey'!DK55-'Existing Levels Drone Survey'!DK55</f>
        <v>0.54476666666664642</v>
      </c>
      <c r="DL55" s="191">
        <f>'Functional Levels Drone Survey'!DL55-'Existing Levels Drone Survey'!DL55</f>
        <v>0.52956666666659657</v>
      </c>
      <c r="DM55" s="191">
        <f>'Functional Levels Drone Survey'!DM55-'Existing Levels Drone Survey'!DM55</f>
        <v>0.40346666666664532</v>
      </c>
      <c r="DN55" s="191">
        <f>'Functional Levels Drone Survey'!DN55-'Existing Levels Drone Survey'!DN55</f>
        <v>0.46346666666659075</v>
      </c>
      <c r="DO55" s="191">
        <f>'Functional Levels Drone Survey'!DO55-'Existing Levels Drone Survey'!DO55</f>
        <v>0.49296666666663214</v>
      </c>
      <c r="DP55" s="191">
        <f>'Functional Levels Drone Survey'!DP55-'Existing Levels Drone Survey'!DP55</f>
        <v>0.46616666666659512</v>
      </c>
      <c r="DQ55" s="191">
        <f>'Functional Levels Drone Survey'!DQ55-'Existing Levels Drone Survey'!DQ55</f>
        <v>0.54036666666661404</v>
      </c>
      <c r="DR55" s="191">
        <f>'Functional Levels Drone Survey'!DR55-'Existing Levels Drone Survey'!DR55</f>
        <v>0.40856666666661567</v>
      </c>
      <c r="DS55" s="279">
        <f>'Functional Levels Drone Survey'!DS55-'Existing Levels Drone Survey'!DS55</f>
        <v>0.25116666666662013</v>
      </c>
      <c r="DT55" s="191">
        <f>'Functional Levels Drone Survey'!DT55-'Existing Levels Drone Survey'!DT55</f>
        <v>0.52456666666660112</v>
      </c>
      <c r="DU55" s="191">
        <f>'Functional Levels Drone Survey'!DU55-'Existing Levels Drone Survey'!DU55</f>
        <v>0.42296666666658211</v>
      </c>
      <c r="DV55" s="279">
        <f>'Functional Levels Drone Survey'!DV55-'Existing Levels Drone Survey'!DV55</f>
        <v>0.72489375000009204</v>
      </c>
      <c r="DW55" s="279">
        <f>'Functional Levels Drone Survey'!DW55-'Existing Levels Drone Survey'!DW55</f>
        <v>0.8758937500001025</v>
      </c>
      <c r="DX55" s="279">
        <f>'Functional Levels Drone Survey'!DX55-'Existing Levels Drone Survey'!DX55</f>
        <v>0.80249375000011014</v>
      </c>
      <c r="DY55" s="279">
        <f>'Functional Levels Drone Survey'!DY55-'Existing Levels Drone Survey'!DY55</f>
        <v>0.83209375000006958</v>
      </c>
      <c r="DZ55" s="279">
        <f>'Functional Levels Drone Survey'!DZ55-'Existing Levels Drone Survey'!DZ55</f>
        <v>0.8395937500001196</v>
      </c>
      <c r="EA55" s="279">
        <f>'Functional Levels Drone Survey'!EA55-'Existing Levels Drone Survey'!EA55</f>
        <v>0.84619375000011132</v>
      </c>
      <c r="EB55" s="279">
        <f>'Functional Levels Drone Survey'!EB55-'Existing Levels Drone Survey'!EB55</f>
        <v>0.86639375000009977</v>
      </c>
      <c r="EC55" s="279">
        <f>'Functional Levels Drone Survey'!EC55-'Existing Levels Drone Survey'!EC55</f>
        <v>0.88339375000009568</v>
      </c>
      <c r="ED55" s="279">
        <f>'Functional Levels Drone Survey'!ED55-'Existing Levels Drone Survey'!ED55</f>
        <v>0.83319375000007767</v>
      </c>
      <c r="EE55" s="279">
        <f>'Functional Levels Drone Survey'!EE55-'Existing Levels Drone Survey'!EE55</f>
        <v>0.86339375000011387</v>
      </c>
      <c r="EF55" s="279">
        <f>'Functional Levels Drone Survey'!EF55-'Existing Levels Drone Survey'!EF55</f>
        <v>0.9353937500001166</v>
      </c>
      <c r="EG55" s="279">
        <f>'Functional Levels Drone Survey'!EG55-'Existing Levels Drone Survey'!EG55</f>
        <v>0.9162937500000794</v>
      </c>
      <c r="EH55" s="279">
        <f>'Functional Levels Drone Survey'!EH55-'Existing Levels Drone Survey'!EH55</f>
        <v>0.91589375000006612</v>
      </c>
      <c r="EI55" s="279">
        <f>'Functional Levels Drone Survey'!EI55-'Existing Levels Drone Survey'!EI55</f>
        <v>0.9534937500001206</v>
      </c>
      <c r="EJ55" s="279">
        <f>'Functional Levels Drone Survey'!EJ55-'Existing Levels Drone Survey'!EJ55</f>
        <v>0.76309375000010959</v>
      </c>
      <c r="EK55" s="279">
        <f>'Functional Levels Drone Survey'!EK55-'Existing Levels Drone Survey'!EK55</f>
        <v>0.66669375000009268</v>
      </c>
      <c r="EL55" s="191">
        <f>'Functional Levels Drone Survey'!EL55-'Existing Levels Drone Survey'!EL55</f>
        <v>0.51429375000003574</v>
      </c>
      <c r="EM55" s="278">
        <f>'Functional Levels Drone Survey'!EM55-'Existing Levels Drone Survey'!EM55</f>
        <v>0.41149375000003374</v>
      </c>
      <c r="EN55" s="191">
        <f>'Functional Levels Drone Survey'!EN55-'Existing Levels Drone Survey'!EN55</f>
        <v>0</v>
      </c>
      <c r="EO55" s="191">
        <f>'Functional Levels Drone Survey'!EO55-'Existing Levels Drone Survey'!EO55</f>
        <v>0</v>
      </c>
      <c r="EP55" s="191">
        <f>'Functional Levels Drone Survey'!EP55-'Existing Levels Drone Survey'!EP55</f>
        <v>0</v>
      </c>
      <c r="EQ55" s="191">
        <f>'Functional Levels Drone Survey'!EQ55-'Existing Levels Drone Survey'!EQ55</f>
        <v>0</v>
      </c>
      <c r="ER55" s="191">
        <f>'Functional Levels Drone Survey'!ER55-'Existing Levels Drone Survey'!ER55</f>
        <v>0</v>
      </c>
      <c r="ES55" s="191">
        <f>'Functional Levels Drone Survey'!ES55-'Existing Levels Drone Survey'!ES55</f>
        <v>0</v>
      </c>
      <c r="ET55" s="191">
        <f>'Functional Levels Drone Survey'!ET55-'Existing Levels Drone Survey'!ET55</f>
        <v>0</v>
      </c>
      <c r="EU55" s="191">
        <f>'Functional Levels Drone Survey'!EU55-'Existing Levels Drone Survey'!EU55</f>
        <v>0</v>
      </c>
      <c r="EV55" s="191">
        <f>'Functional Levels Drone Survey'!EV55-'Existing Levels Drone Survey'!EV55</f>
        <v>0</v>
      </c>
      <c r="EW55" s="191">
        <f>'Functional Levels Drone Survey'!EW55-'Existing Levels Drone Survey'!EW55</f>
        <v>0</v>
      </c>
      <c r="EX55" s="191">
        <f>'Functional Levels Drone Survey'!EX55-'Existing Levels Drone Survey'!EX55</f>
        <v>0</v>
      </c>
      <c r="EY55" s="191">
        <f>'Functional Levels Drone Survey'!EY55-'Existing Levels Drone Survey'!EY55</f>
        <v>0</v>
      </c>
    </row>
    <row r="56" spans="1:155" ht="45" customHeight="1" x14ac:dyDescent="0.45">
      <c r="A56" s="277">
        <v>275</v>
      </c>
      <c r="B56" s="191">
        <f>'Functional Levels Drone Survey'!B56-'Existing Levels Drone Survey'!B56</f>
        <v>0</v>
      </c>
      <c r="C56" s="191">
        <f>'Functional Levels Drone Survey'!C56-'Existing Levels Drone Survey'!C56</f>
        <v>0</v>
      </c>
      <c r="D56" s="278">
        <f>'Functional Levels Drone Survey'!D56-'Existing Levels Drone Survey'!D56</f>
        <v>-8.2595000000026175E-2</v>
      </c>
      <c r="E56" s="191">
        <f>'Functional Levels Drone Survey'!E56-'Existing Levels Drone Survey'!E56</f>
        <v>0.19150499999994963</v>
      </c>
      <c r="F56" s="279">
        <f>'Functional Levels Drone Survey'!F56-'Existing Levels Drone Survey'!F56</f>
        <v>0.29310499999996864</v>
      </c>
      <c r="G56" s="191">
        <f>'Functional Levels Drone Survey'!G56-'Existing Levels Drone Survey'!G56</f>
        <v>0.30200499999995145</v>
      </c>
      <c r="H56" s="191">
        <f>'Functional Levels Drone Survey'!H56-'Existing Levels Drone Survey'!H56</f>
        <v>0.32800499999996191</v>
      </c>
      <c r="I56" s="191">
        <f>'Functional Levels Drone Survey'!I56-'Existing Levels Drone Survey'!I56</f>
        <v>0.33260499999994408</v>
      </c>
      <c r="J56" s="191">
        <f>'Functional Levels Drone Survey'!J56-'Existing Levels Drone Survey'!J56</f>
        <v>0.3050049999999942</v>
      </c>
      <c r="K56" s="191">
        <f>'Functional Levels Drone Survey'!K56-'Existing Levels Drone Survey'!K56</f>
        <v>0.29610499999995454</v>
      </c>
      <c r="L56" s="191">
        <f>'Functional Levels Drone Survey'!L56-'Existing Levels Drone Survey'!L56</f>
        <v>0.29430499999995163</v>
      </c>
      <c r="M56" s="191">
        <f>'Functional Levels Drone Survey'!M56-'Existing Levels Drone Survey'!M56</f>
        <v>0.29600499999997965</v>
      </c>
      <c r="N56" s="191">
        <f>'Functional Levels Drone Survey'!N56-'Existing Levels Drone Survey'!N56</f>
        <v>0.31590499999998656</v>
      </c>
      <c r="O56" s="191">
        <f>'Functional Levels Drone Survey'!O56-'Existing Levels Drone Survey'!O56</f>
        <v>0.25450499999999465</v>
      </c>
      <c r="P56" s="191">
        <f>'Functional Levels Drone Survey'!P56-'Existing Levels Drone Survey'!P56</f>
        <v>0.34490499999998292</v>
      </c>
      <c r="Q56" s="191">
        <f>'Functional Levels Drone Survey'!Q56-'Existing Levels Drone Survey'!Q56</f>
        <v>0.34490499999998292</v>
      </c>
      <c r="R56" s="191">
        <f>'Functional Levels Drone Survey'!R56-'Existing Levels Drone Survey'!R56</f>
        <v>0.322104999999965</v>
      </c>
      <c r="S56" s="191">
        <f>'Functional Levels Drone Survey'!S56-'Existing Levels Drone Survey'!S56</f>
        <v>0.33860499999997273</v>
      </c>
      <c r="T56" s="191">
        <f>'Functional Levels Drone Survey'!T56-'Existing Levels Drone Survey'!T56</f>
        <v>0.33180499999997437</v>
      </c>
      <c r="U56" s="191">
        <f>'Functional Levels Drone Survey'!U56-'Existing Levels Drone Survey'!U56</f>
        <v>0.31450499999999693</v>
      </c>
      <c r="V56" s="191">
        <f>'Functional Levels Drone Survey'!V56-'Existing Levels Drone Survey'!V56</f>
        <v>0.29180499999995391</v>
      </c>
      <c r="W56" s="191">
        <f>'Functional Levels Drone Survey'!W56-'Existing Levels Drone Survey'!W56</f>
        <v>0.31480499999997846</v>
      </c>
      <c r="X56" s="191">
        <f>'Functional Levels Drone Survey'!X56-'Existing Levels Drone Survey'!X56</f>
        <v>0.28210499999994454</v>
      </c>
      <c r="Y56" s="279">
        <f>'Functional Levels Drone Survey'!Y56-'Existing Levels Drone Survey'!Y56</f>
        <v>0.29530499999998483</v>
      </c>
      <c r="Z56" s="191">
        <f>'Functional Levels Drone Survey'!Z56-'Existing Levels Drone Survey'!Z56</f>
        <v>-1.8895000000043183E-2</v>
      </c>
      <c r="AA56" s="191">
        <f>'Functional Levels Drone Survey'!AA56-'Existing Levels Drone Survey'!AA56</f>
        <v>-9.195000000033815E-3</v>
      </c>
      <c r="AB56" s="191">
        <f>'Functional Levels Drone Survey'!AB56-'Existing Levels Drone Survey'!AB56</f>
        <v>-4.9795000000017353E-2</v>
      </c>
      <c r="AC56" s="278">
        <f>'Functional Levels Drone Survey'!AC56-'Existing Levels Drone Survey'!AC56</f>
        <v>-0.27475714285731101</v>
      </c>
      <c r="AD56" s="191">
        <f>'Functional Levels Drone Survey'!AD56-'Existing Levels Drone Survey'!AD56</f>
        <v>0</v>
      </c>
      <c r="AE56" s="191">
        <f>'Functional Levels Drone Survey'!AE56-'Existing Levels Drone Survey'!AE56</f>
        <v>0</v>
      </c>
      <c r="AF56" s="191">
        <f>'Functional Levels Drone Survey'!AF56-'Existing Levels Drone Survey'!AF56</f>
        <v>0</v>
      </c>
      <c r="AG56" s="191">
        <f>'Functional Levels Drone Survey'!AG56-'Existing Levels Drone Survey'!AG56</f>
        <v>0</v>
      </c>
      <c r="AH56" s="191">
        <f>'Functional Levels Drone Survey'!AH56-'Existing Levels Drone Survey'!AH56</f>
        <v>0</v>
      </c>
      <c r="AI56" s="191">
        <f>'Functional Levels Drone Survey'!AI56-'Existing Levels Drone Survey'!AI56</f>
        <v>0</v>
      </c>
      <c r="AJ56" s="191">
        <f>'Functional Levels Drone Survey'!AJ56-'Existing Levels Drone Survey'!AJ56</f>
        <v>0</v>
      </c>
      <c r="AK56" s="191">
        <f>'Functional Levels Drone Survey'!AK56-'Existing Levels Drone Survey'!AK56</f>
        <v>0</v>
      </c>
      <c r="AL56" s="191">
        <f>'Functional Levels Drone Survey'!AL56-'Existing Levels Drone Survey'!AL56</f>
        <v>0</v>
      </c>
      <c r="AM56" s="191">
        <f>'Functional Levels Drone Survey'!AM56-'Existing Levels Drone Survey'!AM56</f>
        <v>0</v>
      </c>
      <c r="AN56" s="191">
        <f>'Functional Levels Drone Survey'!AN56-'Existing Levels Drone Survey'!AN56</f>
        <v>0</v>
      </c>
      <c r="AO56" s="191">
        <f>'Functional Levels Drone Survey'!AO56-'Existing Levels Drone Survey'!AO56</f>
        <v>0</v>
      </c>
      <c r="AP56" s="191">
        <f>'Functional Levels Drone Survey'!AP56-'Existing Levels Drone Survey'!AP56</f>
        <v>0</v>
      </c>
      <c r="AQ56" s="191">
        <f>'Functional Levels Drone Survey'!AQ56-'Existing Levels Drone Survey'!AQ56</f>
        <v>0</v>
      </c>
      <c r="AR56" s="191">
        <f>'Functional Levels Drone Survey'!AR56-'Existing Levels Drone Survey'!AR56</f>
        <v>0</v>
      </c>
      <c r="AS56" s="191">
        <f>'Functional Levels Drone Survey'!AS56-'Existing Levels Drone Survey'!AS56</f>
        <v>0</v>
      </c>
      <c r="AT56" s="191">
        <f>'Functional Levels Drone Survey'!AT56-'Existing Levels Drone Survey'!AT56</f>
        <v>0</v>
      </c>
      <c r="AU56" s="191">
        <f>'Functional Levels Drone Survey'!AU56-'Existing Levels Drone Survey'!AU56</f>
        <v>0</v>
      </c>
      <c r="AV56" s="191">
        <f>'Functional Levels Drone Survey'!AV56-'Existing Levels Drone Survey'!AV56</f>
        <v>0</v>
      </c>
      <c r="AW56" s="191">
        <f>'Functional Levels Drone Survey'!AW56-'Existing Levels Drone Survey'!AW56</f>
        <v>0</v>
      </c>
      <c r="AX56" s="191">
        <f>'Functional Levels Drone Survey'!AX56-'Existing Levels Drone Survey'!AX56</f>
        <v>0</v>
      </c>
      <c r="AY56" s="191">
        <f>'Functional Levels Drone Survey'!AY56-'Existing Levels Drone Survey'!AY56</f>
        <v>0</v>
      </c>
      <c r="AZ56" s="191">
        <f>'Functional Levels Drone Survey'!AZ56-'Existing Levels Drone Survey'!AZ56</f>
        <v>0</v>
      </c>
      <c r="BA56" s="191">
        <f>'Functional Levels Drone Survey'!BA56-'Existing Levels Drone Survey'!BA56</f>
        <v>0</v>
      </c>
      <c r="BB56" s="191">
        <f>'Functional Levels Drone Survey'!BB56-'Existing Levels Drone Survey'!BB56</f>
        <v>0</v>
      </c>
      <c r="BC56" s="191">
        <f>'Functional Levels Drone Survey'!BC56-'Existing Levels Drone Survey'!BC56</f>
        <v>0</v>
      </c>
      <c r="BD56" s="278">
        <f>'Functional Levels Drone Survey'!BD56-'Existing Levels Drone Survey'!BD56</f>
        <v>-0.16036190476205547</v>
      </c>
      <c r="BE56" s="191">
        <f>'Functional Levels Drone Survey'!BE56-'Existing Levels Drone Survey'!BE56</f>
        <v>-0.16036190476205547</v>
      </c>
      <c r="BF56" s="279">
        <f>'Functional Levels Drone Survey'!BF56-'Existing Levels Drone Survey'!BF56</f>
        <v>2.9838095237948892E-2</v>
      </c>
      <c r="BG56" s="191">
        <f>'Functional Levels Drone Survey'!BG56-'Existing Levels Drone Survey'!BG56</f>
        <v>7.9738095237985362E-2</v>
      </c>
      <c r="BH56" s="191">
        <f>'Functional Levels Drone Survey'!BH56-'Existing Levels Drone Survey'!BH56</f>
        <v>9.9938095237973812E-2</v>
      </c>
      <c r="BI56" s="191">
        <f>'Functional Levels Drone Survey'!BI56-'Existing Levels Drone Survey'!BI56</f>
        <v>7.0238095237982634E-2</v>
      </c>
      <c r="BJ56" s="191">
        <f>'Functional Levels Drone Survey'!BJ56-'Existing Levels Drone Survey'!BJ56</f>
        <v>0.10363809523795453</v>
      </c>
      <c r="BK56" s="191">
        <f>'Functional Levels Drone Survey'!BK56-'Existing Levels Drone Survey'!BK56</f>
        <v>0.1355380952379619</v>
      </c>
      <c r="BL56" s="191">
        <f>'Functional Levels Drone Survey'!BL56-'Existing Levels Drone Survey'!BL56</f>
        <v>0.17213809523798318</v>
      </c>
      <c r="BM56" s="191">
        <f>'Functional Levels Drone Survey'!BM56-'Existing Levels Drone Survey'!BM56</f>
        <v>0.19533809523795753</v>
      </c>
      <c r="BN56" s="191">
        <f>'Functional Levels Drone Survey'!BN56-'Existing Levels Drone Survey'!BN56</f>
        <v>0.20013809523794635</v>
      </c>
      <c r="BO56" s="191">
        <f>'Functional Levels Drone Survey'!BO56-'Existing Levels Drone Survey'!BO56</f>
        <v>0.2161380952379659</v>
      </c>
      <c r="BP56" s="191">
        <f>'Functional Levels Drone Survey'!BP56-'Existing Levels Drone Survey'!BP56</f>
        <v>0.21173809523799036</v>
      </c>
      <c r="BQ56" s="191">
        <f>'Functional Levels Drone Survey'!BQ56-'Existing Levels Drone Survey'!BQ56</f>
        <v>0.20113809523797954</v>
      </c>
      <c r="BR56" s="191">
        <f>'Functional Levels Drone Survey'!BR56-'Existing Levels Drone Survey'!BR56</f>
        <v>0.29753809523799646</v>
      </c>
      <c r="BS56" s="191">
        <f>'Functional Levels Drone Survey'!BS56-'Existing Levels Drone Survey'!BS56</f>
        <v>0.28723809523796717</v>
      </c>
      <c r="BT56" s="191">
        <f>'Functional Levels Drone Survey'!BT56-'Existing Levels Drone Survey'!BT56</f>
        <v>0.32133809523799073</v>
      </c>
      <c r="BU56" s="191">
        <f>'Functional Levels Drone Survey'!BU56-'Existing Levels Drone Survey'!BU56</f>
        <v>0.25113809523799091</v>
      </c>
      <c r="BV56" s="191">
        <f>'Functional Levels Drone Survey'!BV56-'Existing Levels Drone Survey'!BV56</f>
        <v>0.26543809523798245</v>
      </c>
      <c r="BW56" s="191">
        <f>'Functional Levels Drone Survey'!BW56-'Existing Levels Drone Survey'!BW56</f>
        <v>0.32063809523799591</v>
      </c>
      <c r="BX56" s="191">
        <f>'Functional Levels Drone Survey'!BX56-'Existing Levels Drone Survey'!BX56</f>
        <v>0.32903809523799055</v>
      </c>
      <c r="BY56" s="191">
        <f>'Functional Levels Drone Survey'!BY56-'Existing Levels Drone Survey'!BY56</f>
        <v>0.31563809523800046</v>
      </c>
      <c r="BZ56" s="279">
        <f>'Functional Levels Drone Survey'!BZ56-'Existing Levels Drone Survey'!BZ56</f>
        <v>0.37263809523795999</v>
      </c>
      <c r="CA56" s="191">
        <f>'Functional Levels Drone Survey'!CA56-'Existing Levels Drone Survey'!CA56</f>
        <v>0.30380476190475747</v>
      </c>
      <c r="CB56" s="191">
        <f>'Functional Levels Drone Survey'!CB56-'Existing Levels Drone Survey'!CB56</f>
        <v>0.29380476190470972</v>
      </c>
      <c r="CC56" s="279">
        <f>'Functional Levels Drone Survey'!CC56-'Existing Levels Drone Survey'!CC56</f>
        <v>0.39450476190478412</v>
      </c>
      <c r="CD56" s="191">
        <f>'Functional Levels Drone Survey'!CD56-'Existing Levels Drone Survey'!CD56</f>
        <v>0.40140476190475738</v>
      </c>
      <c r="CE56" s="191">
        <f>'Functional Levels Drone Survey'!CE56-'Existing Levels Drone Survey'!CE56</f>
        <v>0.38950476190478867</v>
      </c>
      <c r="CF56" s="191">
        <f>'Functional Levels Drone Survey'!CF56-'Existing Levels Drone Survey'!CF56</f>
        <v>0.43110476190474856</v>
      </c>
      <c r="CG56" s="191">
        <f>'Functional Levels Drone Survey'!CG56-'Existing Levels Drone Survey'!CG56</f>
        <v>0.44770476190478803</v>
      </c>
      <c r="CH56" s="191">
        <f>'Functional Levels Drone Survey'!CH56-'Existing Levels Drone Survey'!CH56</f>
        <v>0.43610476190474401</v>
      </c>
      <c r="CI56" s="191">
        <f>'Functional Levels Drone Survey'!CI56-'Existing Levels Drone Survey'!CI56</f>
        <v>0.46790476190477648</v>
      </c>
      <c r="CJ56" s="191">
        <f>'Functional Levels Drone Survey'!CJ56-'Existing Levels Drone Survey'!CJ56</f>
        <v>0.47740476190477921</v>
      </c>
      <c r="CK56" s="191">
        <f>'Functional Levels Drone Survey'!CK56-'Existing Levels Drone Survey'!CK56</f>
        <v>0.4635047619047441</v>
      </c>
      <c r="CL56" s="191">
        <f>'Functional Levels Drone Survey'!CL56-'Existing Levels Drone Survey'!CL56</f>
        <v>0.46540476190477875</v>
      </c>
      <c r="CM56" s="191">
        <f>'Functional Levels Drone Survey'!CM56-'Existing Levels Drone Survey'!CM56</f>
        <v>0.4997047619047521</v>
      </c>
      <c r="CN56" s="191">
        <f>'Functional Levels Drone Survey'!CN56-'Existing Levels Drone Survey'!CN56</f>
        <v>0.50130476190474837</v>
      </c>
      <c r="CO56" s="191">
        <f>'Functional Levels Drone Survey'!CO56-'Existing Levels Drone Survey'!CO56</f>
        <v>0.47260476190473355</v>
      </c>
      <c r="CP56" s="191">
        <f>'Functional Levels Drone Survey'!CP56-'Existing Levels Drone Survey'!CP56</f>
        <v>0.47370476190474164</v>
      </c>
      <c r="CQ56" s="191">
        <f>'Functional Levels Drone Survey'!CQ56-'Existing Levels Drone Survey'!CQ56</f>
        <v>0.46110476190477812</v>
      </c>
      <c r="CR56" s="191">
        <f>'Functional Levels Drone Survey'!CR56-'Existing Levels Drone Survey'!CR56</f>
        <v>0.27570476190476256</v>
      </c>
      <c r="CS56" s="191">
        <f>'Functional Levels Drone Survey'!CS56-'Existing Levels Drone Survey'!CS56</f>
        <v>0.29280476190473337</v>
      </c>
      <c r="CT56" s="191">
        <f>'Functional Levels Drone Survey'!CT56-'Existing Levels Drone Survey'!CT56</f>
        <v>0.47590476190475783</v>
      </c>
      <c r="CU56" s="191">
        <f>'Functional Levels Drone Survey'!CU56-'Existing Levels Drone Survey'!CU56</f>
        <v>0.40730476190475429</v>
      </c>
      <c r="CV56" s="191">
        <f>'Functional Levels Drone Survey'!CV56-'Existing Levels Drone Survey'!CV56</f>
        <v>0.50240476190475647</v>
      </c>
      <c r="CW56" s="279">
        <f>'Functional Levels Drone Survey'!CW56-'Existing Levels Drone Survey'!CW56</f>
        <v>0.49890476190478239</v>
      </c>
      <c r="CX56" s="191">
        <f>'Functional Levels Drone Survey'!CX56-'Existing Levels Drone Survey'!CX56</f>
        <v>0.27166666666659012</v>
      </c>
      <c r="CY56" s="279">
        <f>'Functional Levels Drone Survey'!CY56-'Existing Levels Drone Survey'!CY56</f>
        <v>0.33536666666662995</v>
      </c>
      <c r="CZ56" s="191">
        <f>'Functional Levels Drone Survey'!CZ56-'Existing Levels Drone Survey'!CZ56</f>
        <v>0.30146666666661304</v>
      </c>
      <c r="DA56" s="191">
        <f>'Functional Levels Drone Survey'!DA56-'Existing Levels Drone Survey'!DA56</f>
        <v>0.3263666666666154</v>
      </c>
      <c r="DB56" s="191">
        <f>'Functional Levels Drone Survey'!DB56-'Existing Levels Drone Survey'!DB56</f>
        <v>0.29756666666662568</v>
      </c>
      <c r="DC56" s="191">
        <f>'Functional Levels Drone Survey'!DC56-'Existing Levels Drone Survey'!DC56</f>
        <v>0.36686666666662404</v>
      </c>
      <c r="DD56" s="191">
        <f>'Functional Levels Drone Survey'!DD56-'Existing Levels Drone Survey'!DD56</f>
        <v>0.36636666666657902</v>
      </c>
      <c r="DE56" s="191">
        <f>'Functional Levels Drone Survey'!DE56-'Existing Levels Drone Survey'!DE56</f>
        <v>0.32246666666662804</v>
      </c>
      <c r="DF56" s="191">
        <f>'Functional Levels Drone Survey'!DF56-'Existing Levels Drone Survey'!DF56</f>
        <v>0.51266666666663241</v>
      </c>
      <c r="DG56" s="191">
        <f>'Functional Levels Drone Survey'!DG56-'Existing Levels Drone Survey'!DG56</f>
        <v>0.57216666666658966</v>
      </c>
      <c r="DH56" s="191">
        <f>'Functional Levels Drone Survey'!DH56-'Existing Levels Drone Survey'!DH56</f>
        <v>0.57166666666660149</v>
      </c>
      <c r="DI56" s="191">
        <f>'Functional Levels Drone Survey'!DI56-'Existing Levels Drone Survey'!DI56</f>
        <v>0.47796666666658894</v>
      </c>
      <c r="DJ56" s="191">
        <f>'Functional Levels Drone Survey'!DJ56-'Existing Levels Drone Survey'!DJ56</f>
        <v>0.41946666666660803</v>
      </c>
      <c r="DK56" s="191">
        <f>'Functional Levels Drone Survey'!DK56-'Existing Levels Drone Survey'!DK56</f>
        <v>0.48406666666659248</v>
      </c>
      <c r="DL56" s="191">
        <f>'Functional Levels Drone Survey'!DL56-'Existing Levels Drone Survey'!DL56</f>
        <v>0.48276666666663459</v>
      </c>
      <c r="DM56" s="191">
        <f>'Functional Levels Drone Survey'!DM56-'Existing Levels Drone Survey'!DM56</f>
        <v>0.40266666666661877</v>
      </c>
      <c r="DN56" s="191">
        <f>'Functional Levels Drone Survey'!DN56-'Existing Levels Drone Survey'!DN56</f>
        <v>0.50436666666661267</v>
      </c>
      <c r="DO56" s="191">
        <f>'Functional Levels Drone Survey'!DO56-'Existing Levels Drone Survey'!DO56</f>
        <v>0.48566666666658875</v>
      </c>
      <c r="DP56" s="191">
        <f>'Functional Levels Drone Survey'!DP56-'Existing Levels Drone Survey'!DP56</f>
        <v>0.45616666666660421</v>
      </c>
      <c r="DQ56" s="191">
        <f>'Functional Levels Drone Survey'!DQ56-'Existing Levels Drone Survey'!DQ56</f>
        <v>0.4706666666666024</v>
      </c>
      <c r="DR56" s="191">
        <f>'Functional Levels Drone Survey'!DR56-'Existing Levels Drone Survey'!DR56</f>
        <v>0.40366666666659512</v>
      </c>
      <c r="DS56" s="279">
        <f>'Functional Levels Drone Survey'!DS56-'Existing Levels Drone Survey'!DS56</f>
        <v>0.28876666666661777</v>
      </c>
      <c r="DT56" s="191">
        <f>'Functional Levels Drone Survey'!DT56-'Existing Levels Drone Survey'!DT56</f>
        <v>0.12606666666658839</v>
      </c>
      <c r="DU56" s="191">
        <f>'Functional Levels Drone Survey'!DU56-'Existing Levels Drone Survey'!DU56</f>
        <v>0.56256666666661204</v>
      </c>
      <c r="DV56" s="191">
        <f>'Functional Levels Drone Survey'!DV56-'Existing Levels Drone Survey'!DV56</f>
        <v>0.59699375000008104</v>
      </c>
      <c r="DW56" s="191">
        <f>'Functional Levels Drone Survey'!DW56-'Existing Levels Drone Survey'!DW56</f>
        <v>0.67659375000010868</v>
      </c>
      <c r="DX56" s="191">
        <f>'Functional Levels Drone Survey'!DX56-'Existing Levels Drone Survey'!DX56</f>
        <v>0.57759375000011914</v>
      </c>
      <c r="DY56" s="191">
        <f>'Functional Levels Drone Survey'!DY56-'Existing Levels Drone Survey'!DY56</f>
        <v>0.58979375000012624</v>
      </c>
      <c r="DZ56" s="191">
        <f>'Functional Levels Drone Survey'!DZ56-'Existing Levels Drone Survey'!DZ56</f>
        <v>0.5371937500000854</v>
      </c>
      <c r="EA56" s="191">
        <f>'Functional Levels Drone Survey'!EA56-'Existing Levels Drone Survey'!EA56</f>
        <v>0.46799375000011878</v>
      </c>
      <c r="EB56" s="191">
        <f>'Functional Levels Drone Survey'!EB56-'Existing Levels Drone Survey'!EB56</f>
        <v>0.31409375000009732</v>
      </c>
      <c r="EC56" s="191">
        <f>'Functional Levels Drone Survey'!EC56-'Existing Levels Drone Survey'!EC56</f>
        <v>0.22649375000008831</v>
      </c>
      <c r="ED56" s="191">
        <f>'Functional Levels Drone Survey'!ED56-'Existing Levels Drone Survey'!ED56</f>
        <v>0.45979375000013079</v>
      </c>
      <c r="EE56" s="191">
        <f>'Functional Levels Drone Survey'!EE56-'Existing Levels Drone Survey'!EE56</f>
        <v>0.31799375000008467</v>
      </c>
      <c r="EF56" s="191">
        <f>'Functional Levels Drone Survey'!EF56-'Existing Levels Drone Survey'!EF56</f>
        <v>0.37489375000012615</v>
      </c>
      <c r="EG56" s="191">
        <f>'Functional Levels Drone Survey'!EG56-'Existing Levels Drone Survey'!EG56</f>
        <v>0.51049375000008013</v>
      </c>
      <c r="EH56" s="191">
        <f>'Functional Levels Drone Survey'!EH56-'Existing Levels Drone Survey'!EH56</f>
        <v>0.49979375000009441</v>
      </c>
      <c r="EI56" s="191">
        <f>'Functional Levels Drone Survey'!EI56-'Existing Levels Drone Survey'!EI56</f>
        <v>0.66049375000011423</v>
      </c>
      <c r="EJ56" s="191">
        <f>'Functional Levels Drone Survey'!EJ56-'Existing Levels Drone Survey'!EJ56</f>
        <v>0.46409375000013142</v>
      </c>
      <c r="EK56" s="191">
        <f>'Functional Levels Drone Survey'!EK56-'Existing Levels Drone Survey'!EK56</f>
        <v>0.38189375000013115</v>
      </c>
      <c r="EL56" s="191">
        <f>'Functional Levels Drone Survey'!EL56-'Existing Levels Drone Survey'!EL56</f>
        <v>0.4797937500001126</v>
      </c>
      <c r="EM56" s="278">
        <f>'Functional Levels Drone Survey'!EM56-'Existing Levels Drone Survey'!EM56</f>
        <v>0.29739375000008295</v>
      </c>
      <c r="EN56" s="191">
        <f>'Functional Levels Drone Survey'!EN56-'Existing Levels Drone Survey'!EN56</f>
        <v>0</v>
      </c>
      <c r="EO56" s="191">
        <f>'Functional Levels Drone Survey'!EO56-'Existing Levels Drone Survey'!EO56</f>
        <v>0</v>
      </c>
      <c r="EP56" s="191">
        <f>'Functional Levels Drone Survey'!EP56-'Existing Levels Drone Survey'!EP56</f>
        <v>0</v>
      </c>
      <c r="EQ56" s="191">
        <f>'Functional Levels Drone Survey'!EQ56-'Existing Levels Drone Survey'!EQ56</f>
        <v>0</v>
      </c>
      <c r="ER56" s="191">
        <f>'Functional Levels Drone Survey'!ER56-'Existing Levels Drone Survey'!ER56</f>
        <v>0</v>
      </c>
      <c r="ES56" s="191">
        <f>'Functional Levels Drone Survey'!ES56-'Existing Levels Drone Survey'!ES56</f>
        <v>0</v>
      </c>
      <c r="ET56" s="191">
        <f>'Functional Levels Drone Survey'!ET56-'Existing Levels Drone Survey'!ET56</f>
        <v>0</v>
      </c>
      <c r="EU56" s="191">
        <f>'Functional Levels Drone Survey'!EU56-'Existing Levels Drone Survey'!EU56</f>
        <v>0</v>
      </c>
      <c r="EV56" s="191">
        <f>'Functional Levels Drone Survey'!EV56-'Existing Levels Drone Survey'!EV56</f>
        <v>0</v>
      </c>
      <c r="EW56" s="191">
        <f>'Functional Levels Drone Survey'!EW56-'Existing Levels Drone Survey'!EW56</f>
        <v>0</v>
      </c>
      <c r="EX56" s="191">
        <f>'Functional Levels Drone Survey'!EX56-'Existing Levels Drone Survey'!EX56</f>
        <v>0</v>
      </c>
      <c r="EY56" s="191">
        <f>'Functional Levels Drone Survey'!EY56-'Existing Levels Drone Survey'!EY56</f>
        <v>0</v>
      </c>
    </row>
    <row r="57" spans="1:155" ht="45" customHeight="1" x14ac:dyDescent="0.45">
      <c r="A57" s="277">
        <v>280</v>
      </c>
      <c r="B57" s="191">
        <f>'Functional Levels Drone Survey'!B57-'Existing Levels Drone Survey'!B57</f>
        <v>0</v>
      </c>
      <c r="C57" s="191">
        <f>'Functional Levels Drone Survey'!C57-'Existing Levels Drone Survey'!C57</f>
        <v>0</v>
      </c>
      <c r="D57" s="278">
        <f>'Functional Levels Drone Survey'!D57-'Existing Levels Drone Survey'!D57</f>
        <v>-0.14539500000006456</v>
      </c>
      <c r="E57" s="191">
        <f>'Functional Levels Drone Survey'!E57-'Existing Levels Drone Survey'!E57</f>
        <v>0.16820499999994354</v>
      </c>
      <c r="F57" s="279">
        <f>'Functional Levels Drone Survey'!F57-'Existing Levels Drone Survey'!F57</f>
        <v>0.24440499999997201</v>
      </c>
      <c r="G57" s="191">
        <f>'Functional Levels Drone Survey'!G57-'Existing Levels Drone Survey'!G57</f>
        <v>0.24590499999993654</v>
      </c>
      <c r="H57" s="191">
        <f>'Functional Levels Drone Survey'!H57-'Existing Levels Drone Survey'!H57</f>
        <v>0.26220499999993763</v>
      </c>
      <c r="I57" s="191">
        <f>'Functional Levels Drone Survey'!I57-'Existing Levels Drone Survey'!I57</f>
        <v>0.27730499999995573</v>
      </c>
      <c r="J57" s="191">
        <f>'Functional Levels Drone Survey'!J57-'Existing Levels Drone Survey'!J57</f>
        <v>0.28210499999994454</v>
      </c>
      <c r="K57" s="191">
        <f>'Functional Levels Drone Survey'!K57-'Existing Levels Drone Survey'!K57</f>
        <v>0.24190499999997428</v>
      </c>
      <c r="L57" s="191">
        <f>'Functional Levels Drone Survey'!L57-'Existing Levels Drone Survey'!L57</f>
        <v>0.23890499999993153</v>
      </c>
      <c r="M57" s="191">
        <f>'Functional Levels Drone Survey'!M57-'Existing Levels Drone Survey'!M57</f>
        <v>0.26400499999994054</v>
      </c>
      <c r="N57" s="191">
        <f>'Functional Levels Drone Survey'!N57-'Existing Levels Drone Survey'!N57</f>
        <v>0.26590499999997519</v>
      </c>
      <c r="O57" s="191">
        <f>'Functional Levels Drone Survey'!O57-'Existing Levels Drone Survey'!O57</f>
        <v>0.18220499999995354</v>
      </c>
      <c r="P57" s="191">
        <f>'Functional Levels Drone Survey'!P57-'Existing Levels Drone Survey'!P57</f>
        <v>0.26850499999994781</v>
      </c>
      <c r="Q57" s="191">
        <f>'Functional Levels Drone Survey'!Q57-'Existing Levels Drone Survey'!Q57</f>
        <v>0.2597049999999399</v>
      </c>
      <c r="R57" s="191">
        <f>'Functional Levels Drone Survey'!R57-'Existing Levels Drone Survey'!R57</f>
        <v>0.24700499999994463</v>
      </c>
      <c r="S57" s="191">
        <f>'Functional Levels Drone Survey'!S57-'Existing Levels Drone Survey'!S57</f>
        <v>0.25940499999995836</v>
      </c>
      <c r="T57" s="191">
        <f>'Functional Levels Drone Survey'!T57-'Existing Levels Drone Survey'!T57</f>
        <v>0.25730499999997392</v>
      </c>
      <c r="U57" s="191">
        <f>'Functional Levels Drone Survey'!U57-'Existing Levels Drone Survey'!U57</f>
        <v>0.28550499999994372</v>
      </c>
      <c r="V57" s="191">
        <f>'Functional Levels Drone Survey'!V57-'Existing Levels Drone Survey'!V57</f>
        <v>0.25850499999995691</v>
      </c>
      <c r="W57" s="191">
        <f>'Functional Levels Drone Survey'!W57-'Existing Levels Drone Survey'!W57</f>
        <v>0.27790499999997564</v>
      </c>
      <c r="X57" s="191">
        <f>'Functional Levels Drone Survey'!X57-'Existing Levels Drone Survey'!X57</f>
        <v>0.23640499999993381</v>
      </c>
      <c r="Y57" s="279">
        <f>'Functional Levels Drone Survey'!Y57-'Existing Levels Drone Survey'!Y57</f>
        <v>0.25500499999998283</v>
      </c>
      <c r="Z57" s="191">
        <f>'Functional Levels Drone Survey'!Z57-'Existing Levels Drone Survey'!Z57</f>
        <v>-7.3695000000043365E-2</v>
      </c>
      <c r="AA57" s="191">
        <f>'Functional Levels Drone Survey'!AA57-'Existing Levels Drone Survey'!AA57</f>
        <v>-5.4595000000006166E-2</v>
      </c>
      <c r="AB57" s="191">
        <f>'Functional Levels Drone Survey'!AB57-'Existing Levels Drone Survey'!AB57</f>
        <v>-6.0795000000041455E-2</v>
      </c>
      <c r="AC57" s="278">
        <f>'Functional Levels Drone Survey'!AC57-'Existing Levels Drone Survey'!AC57</f>
        <v>-0.23865714285733475</v>
      </c>
      <c r="AD57" s="278">
        <f>'Functional Levels Drone Survey'!AD57-'Existing Levels Drone Survey'!AD57</f>
        <v>-0.49705714285732938</v>
      </c>
      <c r="AE57" s="278">
        <f>'Functional Levels Drone Survey'!AE57-'Existing Levels Drone Survey'!AE57</f>
        <v>-0.33145714285734584</v>
      </c>
      <c r="AF57" s="278">
        <f>'Functional Levels Drone Survey'!AF57-'Existing Levels Drone Survey'!AF57</f>
        <v>-0.1631571428573011</v>
      </c>
      <c r="AG57" s="278">
        <f>'Functional Levels Drone Survey'!AG57-'Existing Levels Drone Survey'!AG57</f>
        <v>-8.0857142857325925E-2</v>
      </c>
      <c r="AH57" s="278">
        <f>'Functional Levels Drone Survey'!AH57-'Existing Levels Drone Survey'!AH57</f>
        <v>-5.0657142857346571E-2</v>
      </c>
      <c r="AI57" s="191">
        <f>'Functional Levels Drone Survey'!AI57-'Existing Levels Drone Survey'!AI57</f>
        <v>0</v>
      </c>
      <c r="AJ57" s="191">
        <f>'Functional Levels Drone Survey'!AJ57-'Existing Levels Drone Survey'!AJ57</f>
        <v>0</v>
      </c>
      <c r="AK57" s="191">
        <f>'Functional Levels Drone Survey'!AK57-'Existing Levels Drone Survey'!AK57</f>
        <v>0</v>
      </c>
      <c r="AL57" s="191">
        <f>'Functional Levels Drone Survey'!AL57-'Existing Levels Drone Survey'!AL57</f>
        <v>0</v>
      </c>
      <c r="AM57" s="191">
        <f>'Functional Levels Drone Survey'!AM57-'Existing Levels Drone Survey'!AM57</f>
        <v>0</v>
      </c>
      <c r="AN57" s="191">
        <f>'Functional Levels Drone Survey'!AN57-'Existing Levels Drone Survey'!AN57</f>
        <v>0</v>
      </c>
      <c r="AO57" s="191">
        <f>'Functional Levels Drone Survey'!AO57-'Existing Levels Drone Survey'!AO57</f>
        <v>0</v>
      </c>
      <c r="AP57" s="191">
        <f>'Functional Levels Drone Survey'!AP57-'Existing Levels Drone Survey'!AP57</f>
        <v>0</v>
      </c>
      <c r="AQ57" s="191">
        <f>'Functional Levels Drone Survey'!AQ57-'Existing Levels Drone Survey'!AQ57</f>
        <v>0</v>
      </c>
      <c r="AR57" s="191">
        <f>'Functional Levels Drone Survey'!AR57-'Existing Levels Drone Survey'!AR57</f>
        <v>0</v>
      </c>
      <c r="AS57" s="191">
        <f>'Functional Levels Drone Survey'!AS57-'Existing Levels Drone Survey'!AS57</f>
        <v>0</v>
      </c>
      <c r="AT57" s="191">
        <f>'Functional Levels Drone Survey'!AT57-'Existing Levels Drone Survey'!AT57</f>
        <v>0</v>
      </c>
      <c r="AU57" s="191">
        <f>'Functional Levels Drone Survey'!AU57-'Existing Levels Drone Survey'!AU57</f>
        <v>0</v>
      </c>
      <c r="AV57" s="191">
        <f>'Functional Levels Drone Survey'!AV57-'Existing Levels Drone Survey'!AV57</f>
        <v>0</v>
      </c>
      <c r="AW57" s="191">
        <f>'Functional Levels Drone Survey'!AW57-'Existing Levels Drone Survey'!AW57</f>
        <v>0</v>
      </c>
      <c r="AX57" s="191">
        <f>'Functional Levels Drone Survey'!AX57-'Existing Levels Drone Survey'!AX57</f>
        <v>0</v>
      </c>
      <c r="AY57" s="191">
        <f>'Functional Levels Drone Survey'!AY57-'Existing Levels Drone Survey'!AY57</f>
        <v>0</v>
      </c>
      <c r="AZ57" s="191">
        <f>'Functional Levels Drone Survey'!AZ57-'Existing Levels Drone Survey'!AZ57</f>
        <v>0</v>
      </c>
      <c r="BA57" s="191">
        <f>'Functional Levels Drone Survey'!BA57-'Existing Levels Drone Survey'!BA57</f>
        <v>0</v>
      </c>
      <c r="BB57" s="191">
        <f>'Functional Levels Drone Survey'!BB57-'Existing Levels Drone Survey'!BB57</f>
        <v>0</v>
      </c>
      <c r="BC57" s="191">
        <f>'Functional Levels Drone Survey'!BC57-'Existing Levels Drone Survey'!BC57</f>
        <v>0</v>
      </c>
      <c r="BD57" s="278">
        <f>'Functional Levels Drone Survey'!BD57-'Existing Levels Drone Survey'!BD57</f>
        <v>-0.39506190476208758</v>
      </c>
      <c r="BE57" s="191">
        <f>'Functional Levels Drone Survey'!BE57-'Existing Levels Drone Survey'!BE57</f>
        <v>2.3438095237963807E-2</v>
      </c>
      <c r="BF57" s="279">
        <f>'Functional Levels Drone Survey'!BF57-'Existing Levels Drone Survey'!BF57</f>
        <v>8.4038095237985999E-2</v>
      </c>
      <c r="BG57" s="191">
        <f>'Functional Levels Drone Survey'!BG57-'Existing Levels Drone Survey'!BG57</f>
        <v>5.953809523794007E-2</v>
      </c>
      <c r="BH57" s="191">
        <f>'Functional Levels Drone Survey'!BH57-'Existing Levels Drone Survey'!BH57</f>
        <v>0.50673809523794944</v>
      </c>
      <c r="BI57" s="191">
        <f>'Functional Levels Drone Survey'!BI57-'Existing Levels Drone Survey'!BI57</f>
        <v>4.0738095237941252E-2</v>
      </c>
      <c r="BJ57" s="191">
        <f>'Functional Levels Drone Survey'!BJ57-'Existing Levels Drone Survey'!BJ57</f>
        <v>5.2038095237946891E-2</v>
      </c>
      <c r="BK57" s="191">
        <f>'Functional Levels Drone Survey'!BK57-'Existing Levels Drone Survey'!BK57</f>
        <v>7.1138095237984089E-2</v>
      </c>
      <c r="BL57" s="191">
        <f>'Functional Levels Drone Survey'!BL57-'Existing Levels Drone Survey'!BL57</f>
        <v>0.10803809523798691</v>
      </c>
      <c r="BM57" s="191">
        <f>'Functional Levels Drone Survey'!BM57-'Existing Levels Drone Survey'!BM57</f>
        <v>0.12483809523797618</v>
      </c>
      <c r="BN57" s="191">
        <f>'Functional Levels Drone Survey'!BN57-'Existing Levels Drone Survey'!BN57</f>
        <v>0.14883809523797709</v>
      </c>
      <c r="BO57" s="191">
        <f>'Functional Levels Drone Survey'!BO57-'Existing Levels Drone Survey'!BO57</f>
        <v>0.17823809523798673</v>
      </c>
      <c r="BP57" s="191">
        <f>'Functional Levels Drone Survey'!BP57-'Existing Levels Drone Survey'!BP57</f>
        <v>0.18083809523795935</v>
      </c>
      <c r="BQ57" s="191">
        <f>'Functional Levels Drone Survey'!BQ57-'Existing Levels Drone Survey'!BQ57</f>
        <v>0.14233809523796026</v>
      </c>
      <c r="BR57" s="191">
        <f>'Functional Levels Drone Survey'!BR57-'Existing Levels Drone Survey'!BR57</f>
        <v>0.18963809523796726</v>
      </c>
      <c r="BS57" s="191">
        <f>'Functional Levels Drone Survey'!BS57-'Existing Levels Drone Survey'!BS57</f>
        <v>0.11943809523796745</v>
      </c>
      <c r="BT57" s="191">
        <f>'Functional Levels Drone Survey'!BT57-'Existing Levels Drone Survey'!BT57</f>
        <v>8.7538095237960079E-2</v>
      </c>
      <c r="BU57" s="191">
        <f>'Functional Levels Drone Survey'!BU57-'Existing Levels Drone Survey'!BU57</f>
        <v>0.22653809523797008</v>
      </c>
      <c r="BV57" s="191">
        <f>'Functional Levels Drone Survey'!BV57-'Existing Levels Drone Survey'!BV57</f>
        <v>0.20283809523795071</v>
      </c>
      <c r="BW57" s="191">
        <f>'Functional Levels Drone Survey'!BW57-'Existing Levels Drone Survey'!BW57</f>
        <v>0.23553809523798463</v>
      </c>
      <c r="BX57" s="191">
        <f>'Functional Levels Drone Survey'!BX57-'Existing Levels Drone Survey'!BX57</f>
        <v>0.27083809523793434</v>
      </c>
      <c r="BY57" s="191">
        <f>'Functional Levels Drone Survey'!BY57-'Existing Levels Drone Survey'!BY57</f>
        <v>0.26893809523795653</v>
      </c>
      <c r="BZ57" s="279">
        <f>'Functional Levels Drone Survey'!BZ57-'Existing Levels Drone Survey'!BZ57</f>
        <v>0.30623809523797263</v>
      </c>
      <c r="CA57" s="191">
        <f>'Functional Levels Drone Survey'!CA57-'Existing Levels Drone Survey'!CA57</f>
        <v>0.25740476190475192</v>
      </c>
      <c r="CB57" s="191">
        <f>'Functional Levels Drone Survey'!CB57-'Existing Levels Drone Survey'!CB57</f>
        <v>0.25670476190470026</v>
      </c>
      <c r="CC57" s="279">
        <f>'Functional Levels Drone Survey'!CC57-'Existing Levels Drone Survey'!CC57</f>
        <v>0.35450476190476365</v>
      </c>
      <c r="CD57" s="191">
        <f>'Functional Levels Drone Survey'!CD57-'Existing Levels Drone Survey'!CD57</f>
        <v>0.34350476190473955</v>
      </c>
      <c r="CE57" s="191">
        <f>'Functional Levels Drone Survey'!CE57-'Existing Levels Drone Survey'!CE57</f>
        <v>0.34290476190477648</v>
      </c>
      <c r="CF57" s="191">
        <f>'Functional Levels Drone Survey'!CF57-'Existing Levels Drone Survey'!CF57</f>
        <v>0.40440476190474328</v>
      </c>
      <c r="CG57" s="191">
        <f>'Functional Levels Drone Survey'!CG57-'Existing Levels Drone Survey'!CG57</f>
        <v>0.42790476190475601</v>
      </c>
      <c r="CH57" s="191">
        <f>'Functional Levels Drone Survey'!CH57-'Existing Levels Drone Survey'!CH57</f>
        <v>0.42080476190477611</v>
      </c>
      <c r="CI57" s="191">
        <f>'Functional Levels Drone Survey'!CI57-'Existing Levels Drone Survey'!CI57</f>
        <v>0.39950476190472273</v>
      </c>
      <c r="CJ57" s="191">
        <f>'Functional Levels Drone Survey'!CJ57-'Existing Levels Drone Survey'!CJ57</f>
        <v>0.41220476190477484</v>
      </c>
      <c r="CK57" s="191">
        <f>'Functional Levels Drone Survey'!CK57-'Existing Levels Drone Survey'!CK57</f>
        <v>0.42840476190474419</v>
      </c>
      <c r="CL57" s="191">
        <f>'Functional Levels Drone Survey'!CL57-'Existing Levels Drone Survey'!CL57</f>
        <v>0.45860476190472355</v>
      </c>
      <c r="CM57" s="191">
        <f>'Functional Levels Drone Survey'!CM57-'Existing Levels Drone Survey'!CM57</f>
        <v>0.48260476190472446</v>
      </c>
      <c r="CN57" s="191">
        <f>'Functional Levels Drone Survey'!CN57-'Existing Levels Drone Survey'!CN57</f>
        <v>0.47680476190475929</v>
      </c>
      <c r="CO57" s="191">
        <f>'Functional Levels Drone Survey'!CO57-'Existing Levels Drone Survey'!CO57</f>
        <v>0.43660476190473219</v>
      </c>
      <c r="CP57" s="191">
        <f>'Functional Levels Drone Survey'!CP57-'Existing Levels Drone Survey'!CP57</f>
        <v>0.43230476190473155</v>
      </c>
      <c r="CQ57" s="191">
        <f>'Functional Levels Drone Survey'!CQ57-'Existing Levels Drone Survey'!CQ57</f>
        <v>0.39320476190476938</v>
      </c>
      <c r="CR57" s="191">
        <f>'Functional Levels Drone Survey'!CR57-'Existing Levels Drone Survey'!CR57</f>
        <v>0.25700476190473864</v>
      </c>
      <c r="CS57" s="191">
        <f>'Functional Levels Drone Survey'!CS57-'Existing Levels Drone Survey'!CS57</f>
        <v>0.31530476190476975</v>
      </c>
      <c r="CT57" s="191">
        <f>'Functional Levels Drone Survey'!CT57-'Existing Levels Drone Survey'!CT57</f>
        <v>0.3870047619047341</v>
      </c>
      <c r="CU57" s="191">
        <f>'Functional Levels Drone Survey'!CU57-'Existing Levels Drone Survey'!CU57</f>
        <v>0.44500476190472682</v>
      </c>
      <c r="CV57" s="191">
        <f>'Functional Levels Drone Survey'!CV57-'Existing Levels Drone Survey'!CV57</f>
        <v>0.47700476190476593</v>
      </c>
      <c r="CW57" s="279">
        <f>'Functional Levels Drone Survey'!CW57-'Existing Levels Drone Survey'!CW57</f>
        <v>0.45770476190472209</v>
      </c>
      <c r="CX57" s="191">
        <f>'Functional Levels Drone Survey'!CX57-'Existing Levels Drone Survey'!CX57</f>
        <v>0.2779666666666003</v>
      </c>
      <c r="CY57" s="279">
        <f>'Functional Levels Drone Survey'!CY57-'Existing Levels Drone Survey'!CY57</f>
        <v>0.24926666666658548</v>
      </c>
      <c r="CZ57" s="191">
        <f>'Functional Levels Drone Survey'!CZ57-'Existing Levels Drone Survey'!CZ57</f>
        <v>0.17776666666657093</v>
      </c>
      <c r="DA57" s="191">
        <f>'Functional Levels Drone Survey'!DA57-'Existing Levels Drone Survey'!DA57</f>
        <v>0.26636666666661313</v>
      </c>
      <c r="DB57" s="191">
        <f>'Functional Levels Drone Survey'!DB57-'Existing Levels Drone Survey'!DB57</f>
        <v>0.31326666666660685</v>
      </c>
      <c r="DC57" s="191">
        <f>'Functional Levels Drone Survey'!DC57-'Existing Levels Drone Survey'!DC57</f>
        <v>0.40796666666659576</v>
      </c>
      <c r="DD57" s="191">
        <f>'Functional Levels Drone Survey'!DD57-'Existing Levels Drone Survey'!DD57</f>
        <v>0.51196666666658075</v>
      </c>
      <c r="DE57" s="191">
        <f>'Functional Levels Drone Survey'!DE57-'Existing Levels Drone Survey'!DE57</f>
        <v>0.43236666666660994</v>
      </c>
      <c r="DF57" s="191">
        <f>'Functional Levels Drone Survey'!DF57-'Existing Levels Drone Survey'!DF57</f>
        <v>0.37006666666661658</v>
      </c>
      <c r="DG57" s="191">
        <f>'Functional Levels Drone Survey'!DG57-'Existing Levels Drone Survey'!DG57</f>
        <v>0.37856666666658612</v>
      </c>
      <c r="DH57" s="191">
        <f>'Functional Levels Drone Survey'!DH57-'Existing Levels Drone Survey'!DH57</f>
        <v>0.37646666666660167</v>
      </c>
      <c r="DI57" s="191">
        <f>'Functional Levels Drone Survey'!DI57-'Existing Levels Drone Survey'!DI57</f>
        <v>0.32466666666658739</v>
      </c>
      <c r="DJ57" s="191">
        <f>'Functional Levels Drone Survey'!DJ57-'Existing Levels Drone Survey'!DJ57</f>
        <v>0.31776666666661413</v>
      </c>
      <c r="DK57" s="191">
        <f>'Functional Levels Drone Survey'!DK57-'Existing Levels Drone Survey'!DK57</f>
        <v>0.39066666666661831</v>
      </c>
      <c r="DL57" s="191">
        <f>'Functional Levels Drone Survey'!DL57-'Existing Levels Drone Survey'!DL57</f>
        <v>0.37406666666657884</v>
      </c>
      <c r="DM57" s="191">
        <f>'Functional Levels Drone Survey'!DM57-'Existing Levels Drone Survey'!DM57</f>
        <v>0.37546666666656847</v>
      </c>
      <c r="DN57" s="191">
        <f>'Functional Levels Drone Survey'!DN57-'Existing Levels Drone Survey'!DN57</f>
        <v>0.36506666666662113</v>
      </c>
      <c r="DO57" s="191">
        <f>'Functional Levels Drone Survey'!DO57-'Existing Levels Drone Survey'!DO57</f>
        <v>0.4141666666665742</v>
      </c>
      <c r="DP57" s="191">
        <f>'Functional Levels Drone Survey'!DP57-'Existing Levels Drone Survey'!DP57</f>
        <v>0.37906666666657429</v>
      </c>
      <c r="DQ57" s="191">
        <f>'Functional Levels Drone Survey'!DQ57-'Existing Levels Drone Survey'!DQ57</f>
        <v>0.37966666666659421</v>
      </c>
      <c r="DR57" s="191">
        <f>'Functional Levels Drone Survey'!DR57-'Existing Levels Drone Survey'!DR57</f>
        <v>0.36226666666658502</v>
      </c>
      <c r="DS57" s="279">
        <f>'Functional Levels Drone Survey'!DS57-'Existing Levels Drone Survey'!DS57</f>
        <v>0.31976666666662368</v>
      </c>
      <c r="DT57" s="191">
        <f>'Functional Levels Drone Survey'!DT57-'Existing Levels Drone Survey'!DT57</f>
        <v>0.23496666666659394</v>
      </c>
      <c r="DU57" s="191">
        <f>'Functional Levels Drone Survey'!DU57-'Existing Levels Drone Survey'!DU57</f>
        <v>0.48736666666655992</v>
      </c>
      <c r="DV57" s="191">
        <f>'Functional Levels Drone Survey'!DV57-'Existing Levels Drone Survey'!DV57</f>
        <v>0.62719375000011723</v>
      </c>
      <c r="DW57" s="191">
        <f>'Functional Levels Drone Survey'!DW57-'Existing Levels Drone Survey'!DW57</f>
        <v>0.61209375000009913</v>
      </c>
      <c r="DX57" s="191">
        <f>'Functional Levels Drone Survey'!DX57-'Existing Levels Drone Survey'!DX57</f>
        <v>0.39219375000010359</v>
      </c>
      <c r="DY57" s="191">
        <f>'Functional Levels Drone Survey'!DY57-'Existing Levels Drone Survey'!DY57</f>
        <v>0.49089375000011159</v>
      </c>
      <c r="DZ57" s="278">
        <f>'Functional Levels Drone Survey'!DZ57-'Existing Levels Drone Survey'!DZ57</f>
        <v>0.56819375000009131</v>
      </c>
      <c r="EA57" s="278">
        <f>'Functional Levels Drone Survey'!EA57-'Existing Levels Drone Survey'!EA57</f>
        <v>0.53189375000010841</v>
      </c>
      <c r="EB57" s="278">
        <f>'Functional Levels Drone Survey'!EB57-'Existing Levels Drone Survey'!EB57</f>
        <v>0.36019375000012133</v>
      </c>
      <c r="EC57" s="278">
        <f>'Functional Levels Drone Survey'!EC57-'Existing Levels Drone Survey'!EC57</f>
        <v>0.17999375000010787</v>
      </c>
      <c r="ED57" s="278">
        <f>'Functional Levels Drone Survey'!ED57-'Existing Levels Drone Survey'!ED57</f>
        <v>0.24739375000012842</v>
      </c>
      <c r="EE57" s="278">
        <f>'Functional Levels Drone Survey'!EE57-'Existing Levels Drone Survey'!EE57</f>
        <v>0.29899375000007922</v>
      </c>
      <c r="EF57" s="278">
        <f>'Functional Levels Drone Survey'!EF57-'Existing Levels Drone Survey'!EF57</f>
        <v>0.41149375000009059</v>
      </c>
      <c r="EG57" s="278">
        <f>'Functional Levels Drone Survey'!EG57-'Existing Levels Drone Survey'!EG57</f>
        <v>0.45879375000009759</v>
      </c>
      <c r="EH57" s="278">
        <f>'Functional Levels Drone Survey'!EH57-'Existing Levels Drone Survey'!EH57</f>
        <v>0.45959375000012415</v>
      </c>
      <c r="EI57" s="278">
        <f>'Functional Levels Drone Survey'!EI57-'Existing Levels Drone Survey'!EI57</f>
        <v>0.42969375000012633</v>
      </c>
      <c r="EJ57" s="278">
        <f>'Functional Levels Drone Survey'!EJ57-'Existing Levels Drone Survey'!EJ57</f>
        <v>0.37569375000009586</v>
      </c>
      <c r="EK57" s="278">
        <f>'Functional Levels Drone Survey'!EK57-'Existing Levels Drone Survey'!EK57</f>
        <v>0.27819375000012769</v>
      </c>
      <c r="EL57" s="278">
        <f>'Functional Levels Drone Survey'!EL57-'Existing Levels Drone Survey'!EL57</f>
        <v>0.53299375000011651</v>
      </c>
      <c r="EM57" s="191">
        <f>'Functional Levels Drone Survey'!EM57-'Existing Levels Drone Survey'!EM57</f>
        <v>0</v>
      </c>
      <c r="EN57" s="191">
        <f>'Functional Levels Drone Survey'!EN57-'Existing Levels Drone Survey'!EN57</f>
        <v>0</v>
      </c>
      <c r="EO57" s="191">
        <f>'Functional Levels Drone Survey'!EO57-'Existing Levels Drone Survey'!EO57</f>
        <v>0</v>
      </c>
      <c r="EP57" s="191">
        <f>'Functional Levels Drone Survey'!EP57-'Existing Levels Drone Survey'!EP57</f>
        <v>0</v>
      </c>
      <c r="EQ57" s="191">
        <f>'Functional Levels Drone Survey'!EQ57-'Existing Levels Drone Survey'!EQ57</f>
        <v>0</v>
      </c>
      <c r="ER57" s="191">
        <f>'Functional Levels Drone Survey'!ER57-'Existing Levels Drone Survey'!ER57</f>
        <v>0</v>
      </c>
      <c r="ES57" s="191">
        <f>'Functional Levels Drone Survey'!ES57-'Existing Levels Drone Survey'!ES57</f>
        <v>0</v>
      </c>
      <c r="ET57" s="191">
        <f>'Functional Levels Drone Survey'!ET57-'Existing Levels Drone Survey'!ET57</f>
        <v>0</v>
      </c>
      <c r="EU57" s="191">
        <f>'Functional Levels Drone Survey'!EU57-'Existing Levels Drone Survey'!EU57</f>
        <v>0</v>
      </c>
      <c r="EV57" s="191">
        <f>'Functional Levels Drone Survey'!EV57-'Existing Levels Drone Survey'!EV57</f>
        <v>0</v>
      </c>
      <c r="EW57" s="191">
        <f>'Functional Levels Drone Survey'!EW57-'Existing Levels Drone Survey'!EW57</f>
        <v>0</v>
      </c>
      <c r="EX57" s="191">
        <f>'Functional Levels Drone Survey'!EX57-'Existing Levels Drone Survey'!EX57</f>
        <v>0</v>
      </c>
      <c r="EY57" s="191">
        <f>'Functional Levels Drone Survey'!EY57-'Existing Levels Drone Survey'!EY57</f>
        <v>0</v>
      </c>
    </row>
    <row r="58" spans="1:155" ht="45" customHeight="1" x14ac:dyDescent="0.45">
      <c r="A58" s="277">
        <v>285</v>
      </c>
      <c r="B58" s="191">
        <f>'Functional Levels Drone Survey'!B58-'Existing Levels Drone Survey'!B58</f>
        <v>0</v>
      </c>
      <c r="C58" s="191">
        <f>'Functional Levels Drone Survey'!C58-'Existing Levels Drone Survey'!C58</f>
        <v>0</v>
      </c>
      <c r="D58" s="278">
        <f>'Functional Levels Drone Survey'!D58-'Existing Levels Drone Survey'!D58</f>
        <v>-0.29729500000007647</v>
      </c>
      <c r="E58" s="191">
        <f>'Functional Levels Drone Survey'!E58-'Existing Levels Drone Survey'!E58</f>
        <v>0.16550499999993917</v>
      </c>
      <c r="F58" s="279">
        <f>'Functional Levels Drone Survey'!F58-'Existing Levels Drone Survey'!F58</f>
        <v>0.22370499999993854</v>
      </c>
      <c r="G58" s="191">
        <f>'Functional Levels Drone Survey'!G58-'Existing Levels Drone Survey'!G58</f>
        <v>0.21590499999996382</v>
      </c>
      <c r="H58" s="191">
        <f>'Functional Levels Drone Survey'!H58-'Existing Levels Drone Survey'!H58</f>
        <v>0.21450499999997419</v>
      </c>
      <c r="I58" s="191">
        <f>'Functional Levels Drone Survey'!I58-'Existing Levels Drone Survey'!I58</f>
        <v>0.19870499999996127</v>
      </c>
      <c r="J58" s="191">
        <f>'Functional Levels Drone Survey'!J58-'Existing Levels Drone Survey'!J58</f>
        <v>0.20150499999994054</v>
      </c>
      <c r="K58" s="191">
        <f>'Functional Levels Drone Survey'!K58-'Existing Levels Drone Survey'!K58</f>
        <v>0.20270499999992353</v>
      </c>
      <c r="L58" s="191">
        <f>'Functional Levels Drone Survey'!L58-'Existing Levels Drone Survey'!L58</f>
        <v>0.21720499999992171</v>
      </c>
      <c r="M58" s="191">
        <f>'Functional Levels Drone Survey'!M58-'Existing Levels Drone Survey'!M58</f>
        <v>0.19680499999992662</v>
      </c>
      <c r="N58" s="191">
        <f>'Functional Levels Drone Survey'!N58-'Existing Levels Drone Survey'!N58</f>
        <v>0.15420499999993353</v>
      </c>
      <c r="O58" s="191">
        <f>'Functional Levels Drone Survey'!O58-'Existing Levels Drone Survey'!O58</f>
        <v>0.13730499999996937</v>
      </c>
      <c r="P58" s="191">
        <f>'Functional Levels Drone Survey'!P58-'Existing Levels Drone Survey'!P58</f>
        <v>0.19460499999996728</v>
      </c>
      <c r="Q58" s="191">
        <f>'Functional Levels Drone Survey'!Q58-'Existing Levels Drone Survey'!Q58</f>
        <v>0.19970499999993763</v>
      </c>
      <c r="R58" s="191">
        <f>'Functional Levels Drone Survey'!R58-'Existing Levels Drone Survey'!R58</f>
        <v>0.18900499999995191</v>
      </c>
      <c r="S58" s="191">
        <f>'Functional Levels Drone Survey'!S58-'Existing Levels Drone Survey'!S58</f>
        <v>0.18690499999996746</v>
      </c>
      <c r="T58" s="191">
        <f>'Functional Levels Drone Survey'!T58-'Existing Levels Drone Survey'!T58</f>
        <v>0.20380499999993162</v>
      </c>
      <c r="U58" s="191">
        <f>'Functional Levels Drone Survey'!U58-'Existing Levels Drone Survey'!U58</f>
        <v>0.16510499999992589</v>
      </c>
      <c r="V58" s="191">
        <f>'Functional Levels Drone Survey'!V58-'Existing Levels Drone Survey'!V58</f>
        <v>0.20070499999997082</v>
      </c>
      <c r="W58" s="191">
        <f>'Functional Levels Drone Survey'!W58-'Existing Levels Drone Survey'!W58</f>
        <v>0.19660499999991998</v>
      </c>
      <c r="X58" s="191">
        <f>'Functional Levels Drone Survey'!X58-'Existing Levels Drone Survey'!X58</f>
        <v>0.17620499999992489</v>
      </c>
      <c r="Y58" s="279">
        <f>'Functional Levels Drone Survey'!Y58-'Existing Levels Drone Survey'!Y58</f>
        <v>0.19500499999992371</v>
      </c>
      <c r="Z58" s="191">
        <f>'Functional Levels Drone Survey'!Z58-'Existing Levels Drone Survey'!Z58</f>
        <v>-0.11599500000005492</v>
      </c>
      <c r="AA58" s="191">
        <f>'Functional Levels Drone Survey'!AA58-'Existing Levels Drone Survey'!AA58</f>
        <v>-5.1795000000026903E-2</v>
      </c>
      <c r="AB58" s="191">
        <f>'Functional Levels Drone Survey'!AB58-'Existing Levels Drone Survey'!AB58</f>
        <v>-4.6595000000024811E-2</v>
      </c>
      <c r="AC58" s="191">
        <f>'Functional Levels Drone Survey'!AC58-'Existing Levels Drone Survey'!AC58</f>
        <v>-0.19685714285731137</v>
      </c>
      <c r="AD58" s="191">
        <f>'Functional Levels Drone Survey'!AD58-'Existing Levels Drone Survey'!AD58</f>
        <v>-0.19255714285731074</v>
      </c>
      <c r="AE58" s="191">
        <f>'Functional Levels Drone Survey'!AE58-'Existing Levels Drone Survey'!AE58</f>
        <v>-0.23625714285731192</v>
      </c>
      <c r="AF58" s="191">
        <f>'Functional Levels Drone Survey'!AF58-'Existing Levels Drone Survey'!AF58</f>
        <v>-0.23545714285734221</v>
      </c>
      <c r="AG58" s="191">
        <f>'Functional Levels Drone Survey'!AG58-'Existing Levels Drone Survey'!AG58</f>
        <v>-0.19975714285732238</v>
      </c>
      <c r="AH58" s="191">
        <f>'Functional Levels Drone Survey'!AH58-'Existing Levels Drone Survey'!AH58</f>
        <v>-0.17435714285733184</v>
      </c>
      <c r="AI58" s="278">
        <f>'Functional Levels Drone Survey'!AI58-'Existing Levels Drone Survey'!AI58</f>
        <v>-0.18495714285734266</v>
      </c>
      <c r="AJ58" s="278">
        <f>'Functional Levels Drone Survey'!AJ58-'Existing Levels Drone Survey'!AJ58</f>
        <v>-0.46825714285733966</v>
      </c>
      <c r="AK58" s="278">
        <f>'Functional Levels Drone Survey'!AK58-'Existing Levels Drone Survey'!AK58</f>
        <v>-0.36945714285729991</v>
      </c>
      <c r="AL58" s="278">
        <f>'Functional Levels Drone Survey'!AL58-'Existing Levels Drone Survey'!AL58</f>
        <v>-0.54465714285731792</v>
      </c>
      <c r="AM58" s="278">
        <f>'Functional Levels Drone Survey'!AM58-'Existing Levels Drone Survey'!AM58</f>
        <v>-0.45535714285733775</v>
      </c>
      <c r="AN58" s="191">
        <f>'Functional Levels Drone Survey'!AN58-'Existing Levels Drone Survey'!AN58</f>
        <v>0</v>
      </c>
      <c r="AO58" s="191">
        <f>'Functional Levels Drone Survey'!AO58-'Existing Levels Drone Survey'!AO58</f>
        <v>0</v>
      </c>
      <c r="AP58" s="191">
        <f>'Functional Levels Drone Survey'!AP58-'Existing Levels Drone Survey'!AP58</f>
        <v>0</v>
      </c>
      <c r="AQ58" s="191">
        <f>'Functional Levels Drone Survey'!AQ58-'Existing Levels Drone Survey'!AQ58</f>
        <v>0</v>
      </c>
      <c r="AR58" s="191">
        <f>'Functional Levels Drone Survey'!AR58-'Existing Levels Drone Survey'!AR58</f>
        <v>0</v>
      </c>
      <c r="AS58" s="191">
        <f>'Functional Levels Drone Survey'!AS58-'Existing Levels Drone Survey'!AS58</f>
        <v>0</v>
      </c>
      <c r="AT58" s="191">
        <f>'Functional Levels Drone Survey'!AT58-'Existing Levels Drone Survey'!AT58</f>
        <v>0</v>
      </c>
      <c r="AU58" s="191">
        <f>'Functional Levels Drone Survey'!AU58-'Existing Levels Drone Survey'!AU58</f>
        <v>0</v>
      </c>
      <c r="AV58" s="191">
        <f>'Functional Levels Drone Survey'!AV58-'Existing Levels Drone Survey'!AV58</f>
        <v>0</v>
      </c>
      <c r="AW58" s="191">
        <f>'Functional Levels Drone Survey'!AW58-'Existing Levels Drone Survey'!AW58</f>
        <v>0</v>
      </c>
      <c r="AX58" s="191">
        <f>'Functional Levels Drone Survey'!AX58-'Existing Levels Drone Survey'!AX58</f>
        <v>0</v>
      </c>
      <c r="AY58" s="191">
        <f>'Functional Levels Drone Survey'!AY58-'Existing Levels Drone Survey'!AY58</f>
        <v>0</v>
      </c>
      <c r="AZ58" s="191">
        <f>'Functional Levels Drone Survey'!AZ58-'Existing Levels Drone Survey'!AZ58</f>
        <v>0</v>
      </c>
      <c r="BA58" s="191">
        <f>'Functional Levels Drone Survey'!BA58-'Existing Levels Drone Survey'!BA58</f>
        <v>0</v>
      </c>
      <c r="BB58" s="191">
        <f>'Functional Levels Drone Survey'!BB58-'Existing Levels Drone Survey'!BB58</f>
        <v>0</v>
      </c>
      <c r="BC58" s="278">
        <f>'Functional Levels Drone Survey'!BC58-'Existing Levels Drone Survey'!BC58</f>
        <v>0</v>
      </c>
      <c r="BD58" s="278">
        <f>'Functional Levels Drone Survey'!BD58-'Existing Levels Drone Survey'!BD58</f>
        <v>-0.39106190476206848</v>
      </c>
      <c r="BE58" s="191">
        <f>'Functional Levels Drone Survey'!BE58-'Existing Levels Drone Survey'!BE58</f>
        <v>-0.29926190476203374</v>
      </c>
      <c r="BF58" s="279">
        <f>'Functional Levels Drone Survey'!BF58-'Existing Levels Drone Survey'!BF58</f>
        <v>-0.38716190476202428</v>
      </c>
      <c r="BG58" s="279">
        <f>'Functional Levels Drone Survey'!BG58-'Existing Levels Drone Survey'!BG58</f>
        <v>-0.55956190476206302</v>
      </c>
      <c r="BH58" s="279">
        <f>'Functional Levels Drone Survey'!BH58-'Existing Levels Drone Survey'!BH58</f>
        <v>0.14053809523795735</v>
      </c>
      <c r="BI58" s="279">
        <f>'Functional Levels Drone Survey'!BI58-'Existing Levels Drone Survey'!BI58</f>
        <v>0.48963809523797863</v>
      </c>
      <c r="BJ58" s="279">
        <f>'Functional Levels Drone Survey'!BJ58-'Existing Levels Drone Survey'!BJ58</f>
        <v>0.10983809523793298</v>
      </c>
      <c r="BK58" s="279">
        <f>'Functional Levels Drone Survey'!BK58-'Existing Levels Drone Survey'!BK58</f>
        <v>3.1538095237976904E-2</v>
      </c>
      <c r="BL58" s="279">
        <f>'Functional Levels Drone Survey'!BL58-'Existing Levels Drone Survey'!BL58</f>
        <v>3.2438095237978359E-2</v>
      </c>
      <c r="BM58" s="279">
        <f>'Functional Levels Drone Survey'!BM58-'Existing Levels Drone Survey'!BM58</f>
        <v>3.933809523795162E-2</v>
      </c>
      <c r="BN58" s="279">
        <f>'Functional Levels Drone Survey'!BN58-'Existing Levels Drone Survey'!BN58</f>
        <v>6.4038095237947346E-2</v>
      </c>
      <c r="BO58" s="279">
        <f>'Functional Levels Drone Survey'!BO58-'Existing Levels Drone Survey'!BO58</f>
        <v>8.0438095237923335E-2</v>
      </c>
      <c r="BP58" s="279">
        <f>'Functional Levels Drone Survey'!BP58-'Existing Levels Drone Survey'!BP58</f>
        <v>9.4938095237978359E-2</v>
      </c>
      <c r="BQ58" s="279">
        <f>'Functional Levels Drone Survey'!BQ58-'Existing Levels Drone Survey'!BQ58</f>
        <v>0.10843809523794334</v>
      </c>
      <c r="BR58" s="279">
        <f>'Functional Levels Drone Survey'!BR58-'Existing Levels Drone Survey'!BR58</f>
        <v>0.15693809523793334</v>
      </c>
      <c r="BS58" s="279">
        <f>'Functional Levels Drone Survey'!BS58-'Existing Levels Drone Survey'!BS58</f>
        <v>0.1748380952379307</v>
      </c>
      <c r="BT58" s="279">
        <f>'Functional Levels Drone Survey'!BT58-'Existing Levels Drone Survey'!BT58</f>
        <v>0.18143809523797927</v>
      </c>
      <c r="BU58" s="279">
        <f>'Functional Levels Drone Survey'!BU58-'Existing Levels Drone Survey'!BU58</f>
        <v>0.17133809523795662</v>
      </c>
      <c r="BV58" s="279">
        <f>'Functional Levels Drone Survey'!BV58-'Existing Levels Drone Survey'!BV58</f>
        <v>0.15463809523794225</v>
      </c>
      <c r="BW58" s="279">
        <f>'Functional Levels Drone Survey'!BW58-'Existing Levels Drone Survey'!BW58</f>
        <v>0.14813809523792543</v>
      </c>
      <c r="BX58" s="279">
        <f>'Functional Levels Drone Survey'!BX58-'Existing Levels Drone Survey'!BX58</f>
        <v>0.12063809523795044</v>
      </c>
      <c r="BY58" s="279">
        <f>'Functional Levels Drone Survey'!BY58-'Existing Levels Drone Survey'!BY58</f>
        <v>0.20413809523796544</v>
      </c>
      <c r="BZ58" s="279">
        <f>'Functional Levels Drone Survey'!BZ58-'Existing Levels Drone Survey'!BZ58</f>
        <v>0.23443809523797654</v>
      </c>
      <c r="CA58" s="191">
        <f>'Functional Levels Drone Survey'!CA58-'Existing Levels Drone Survey'!CA58</f>
        <v>0.18830476190470335</v>
      </c>
      <c r="CB58" s="191">
        <f>'Functional Levels Drone Survey'!CB58-'Existing Levels Drone Survey'!CB58</f>
        <v>0.19560476190468989</v>
      </c>
      <c r="CC58" s="279">
        <f>'Functional Levels Drone Survey'!CC58-'Existing Levels Drone Survey'!CC58</f>
        <v>0.30470476190475893</v>
      </c>
      <c r="CD58" s="191">
        <f>'Functional Levels Drone Survey'!CD58-'Existing Levels Drone Survey'!CD58</f>
        <v>0.30240476190471099</v>
      </c>
      <c r="CE58" s="191">
        <f>'Functional Levels Drone Survey'!CE58-'Existing Levels Drone Survey'!CE58</f>
        <v>0.30690476190471827</v>
      </c>
      <c r="CF58" s="191">
        <f>'Functional Levels Drone Survey'!CF58-'Existing Levels Drone Survey'!CF58</f>
        <v>0.35750476190474956</v>
      </c>
      <c r="CG58" s="191">
        <f>'Functional Levels Drone Survey'!CG58-'Existing Levels Drone Survey'!CG58</f>
        <v>0.36950476190475001</v>
      </c>
      <c r="CH58" s="191">
        <f>'Functional Levels Drone Survey'!CH58-'Existing Levels Drone Survey'!CH58</f>
        <v>0.35400476190471863</v>
      </c>
      <c r="CI58" s="191">
        <f>'Functional Levels Drone Survey'!CI58-'Existing Levels Drone Survey'!CI58</f>
        <v>0.360804761904717</v>
      </c>
      <c r="CJ58" s="191">
        <f>'Functional Levels Drone Survey'!CJ58-'Existing Levels Drone Survey'!CJ58</f>
        <v>0.36710476190472718</v>
      </c>
      <c r="CK58" s="191">
        <f>'Functional Levels Drone Survey'!CK58-'Existing Levels Drone Survey'!CK58</f>
        <v>0.35970476190476575</v>
      </c>
      <c r="CL58" s="191">
        <f>'Functional Levels Drone Survey'!CL58-'Existing Levels Drone Survey'!CL58</f>
        <v>0.39970476190472937</v>
      </c>
      <c r="CM58" s="191">
        <f>'Functional Levels Drone Survey'!CM58-'Existing Levels Drone Survey'!CM58</f>
        <v>0.42970476190475893</v>
      </c>
      <c r="CN58" s="191">
        <f>'Functional Levels Drone Survey'!CN58-'Existing Levels Drone Survey'!CN58</f>
        <v>0.448404761904726</v>
      </c>
      <c r="CO58" s="191">
        <f>'Functional Levels Drone Survey'!CO58-'Existing Levels Drone Survey'!CO58</f>
        <v>0.38820476190471709</v>
      </c>
      <c r="CP58" s="191">
        <f>'Functional Levels Drone Survey'!CP58-'Existing Levels Drone Survey'!CP58</f>
        <v>0.37850476190476456</v>
      </c>
      <c r="CQ58" s="191">
        <f>'Functional Levels Drone Survey'!CQ58-'Existing Levels Drone Survey'!CQ58</f>
        <v>0.38930476190472518</v>
      </c>
      <c r="CR58" s="191">
        <f>'Functional Levels Drone Survey'!CR58-'Existing Levels Drone Survey'!CR58</f>
        <v>0.31890476190471873</v>
      </c>
      <c r="CS58" s="191">
        <f>'Functional Levels Drone Survey'!CS58-'Existing Levels Drone Survey'!CS58</f>
        <v>0.29590476190475101</v>
      </c>
      <c r="CT58" s="191">
        <f>'Functional Levels Drone Survey'!CT58-'Existing Levels Drone Survey'!CT58</f>
        <v>0.32540476190473555</v>
      </c>
      <c r="CU58" s="191">
        <f>'Functional Levels Drone Survey'!CU58-'Existing Levels Drone Survey'!CU58</f>
        <v>0.33490476190473828</v>
      </c>
      <c r="CV58" s="191">
        <f>'Functional Levels Drone Survey'!CV58-'Existing Levels Drone Survey'!CV58</f>
        <v>0.4273047619047361</v>
      </c>
      <c r="CW58" s="279">
        <f>'Functional Levels Drone Survey'!CW58-'Existing Levels Drone Survey'!CW58</f>
        <v>0.40940476190473873</v>
      </c>
      <c r="CX58" s="191">
        <f>'Functional Levels Drone Survey'!CX58-'Existing Levels Drone Survey'!CX58</f>
        <v>0.17206666666658066</v>
      </c>
      <c r="CY58" s="279">
        <f>'Functional Levels Drone Survey'!CY58-'Existing Levels Drone Survey'!CY58</f>
        <v>0.11636666666657902</v>
      </c>
      <c r="CZ58" s="191">
        <f>'Functional Levels Drone Survey'!CZ58-'Existing Levels Drone Survey'!CZ58</f>
        <v>0.21526666666659366</v>
      </c>
      <c r="DA58" s="191">
        <f>'Functional Levels Drone Survey'!DA58-'Existing Levels Drone Survey'!DA58</f>
        <v>0.29856666666660203</v>
      </c>
      <c r="DB58" s="191">
        <f>'Functional Levels Drone Survey'!DB58-'Existing Levels Drone Survey'!DB58</f>
        <v>0.43416666666661285</v>
      </c>
      <c r="DC58" s="191">
        <f>'Functional Levels Drone Survey'!DC58-'Existing Levels Drone Survey'!DC58</f>
        <v>0.45686666666659903</v>
      </c>
      <c r="DD58" s="191">
        <f>'Functional Levels Drone Survey'!DD58-'Existing Levels Drone Survey'!DD58</f>
        <v>0.36116666666657693</v>
      </c>
      <c r="DE58" s="191">
        <f>'Functional Levels Drone Survey'!DE58-'Existing Levels Drone Survey'!DE58</f>
        <v>0.28426666666661049</v>
      </c>
      <c r="DF58" s="191">
        <f>'Functional Levels Drone Survey'!DF58-'Existing Levels Drone Survey'!DF58</f>
        <v>0.27356666666656793</v>
      </c>
      <c r="DG58" s="191">
        <f>'Functional Levels Drone Survey'!DG58-'Existing Levels Drone Survey'!DG58</f>
        <v>0.31036666666659585</v>
      </c>
      <c r="DH58" s="191">
        <f>'Functional Levels Drone Survey'!DH58-'Existing Levels Drone Survey'!DH58</f>
        <v>0.3668666666665672</v>
      </c>
      <c r="DI58" s="191">
        <f>'Functional Levels Drone Survey'!DI58-'Existing Levels Drone Survey'!DI58</f>
        <v>0.34486666666657584</v>
      </c>
      <c r="DJ58" s="191">
        <f>'Functional Levels Drone Survey'!DJ58-'Existing Levels Drone Survey'!DJ58</f>
        <v>0.31996666666657347</v>
      </c>
      <c r="DK58" s="191">
        <f>'Functional Levels Drone Survey'!DK58-'Existing Levels Drone Survey'!DK58</f>
        <v>0.40946666666656029</v>
      </c>
      <c r="DL58" s="191">
        <f>'Functional Levels Drone Survey'!DL58-'Existing Levels Drone Survey'!DL58</f>
        <v>0.33816666666660922</v>
      </c>
      <c r="DM58" s="191">
        <f>'Functional Levels Drone Survey'!DM58-'Existing Levels Drone Survey'!DM58</f>
        <v>0.38986666666659175</v>
      </c>
      <c r="DN58" s="191">
        <f>'Functional Levels Drone Survey'!DN58-'Existing Levels Drone Survey'!DN58</f>
        <v>0.41666666666657193</v>
      </c>
      <c r="DO58" s="191">
        <f>'Functional Levels Drone Survey'!DO58-'Existing Levels Drone Survey'!DO58</f>
        <v>0.3960666666665702</v>
      </c>
      <c r="DP58" s="191">
        <f>'Functional Levels Drone Survey'!DP58-'Existing Levels Drone Survey'!DP58</f>
        <v>0.34236666666657811</v>
      </c>
      <c r="DQ58" s="191">
        <f>'Functional Levels Drone Survey'!DQ58-'Existing Levels Drone Survey'!DQ58</f>
        <v>0.27126666666657684</v>
      </c>
      <c r="DR58" s="191">
        <f>'Functional Levels Drone Survey'!DR58-'Existing Levels Drone Survey'!DR58</f>
        <v>0.37406666666657884</v>
      </c>
      <c r="DS58" s="279">
        <f>'Functional Levels Drone Survey'!DS58-'Existing Levels Drone Survey'!DS58</f>
        <v>0.29906666666659021</v>
      </c>
      <c r="DT58" s="191">
        <f>'Functional Levels Drone Survey'!DT58-'Existing Levels Drone Survey'!DT58</f>
        <v>0.14806666666657975</v>
      </c>
      <c r="DU58" s="191">
        <f>'Functional Levels Drone Survey'!DU58-'Existing Levels Drone Survey'!DU58</f>
        <v>0.25666666666654692</v>
      </c>
      <c r="DV58" s="278">
        <f>'Functional Levels Drone Survey'!DV58-'Existing Levels Drone Survey'!DV58</f>
        <v>0.20629375000009986</v>
      </c>
      <c r="DW58" s="278">
        <f>'Functional Levels Drone Survey'!DW58-'Existing Levels Drone Survey'!DW58</f>
        <v>0.41169375000009722</v>
      </c>
      <c r="DX58" s="278">
        <f>'Functional Levels Drone Survey'!DX58-'Existing Levels Drone Survey'!DX58</f>
        <v>0.47489375000009204</v>
      </c>
      <c r="DY58" s="278">
        <f>'Functional Levels Drone Survey'!DY58-'Existing Levels Drone Survey'!DY58</f>
        <v>0.52769375000008267</v>
      </c>
      <c r="DZ58" s="191">
        <f>'Functional Levels Drone Survey'!DZ58-'Existing Levels Drone Survey'!DZ58</f>
        <v>0</v>
      </c>
      <c r="EA58" s="191">
        <f>'Functional Levels Drone Survey'!EA58-'Existing Levels Drone Survey'!EA58</f>
        <v>0</v>
      </c>
      <c r="EB58" s="191">
        <f>'Functional Levels Drone Survey'!EB58-'Existing Levels Drone Survey'!EB58</f>
        <v>0</v>
      </c>
      <c r="EC58" s="191">
        <f>'Functional Levels Drone Survey'!EC58-'Existing Levels Drone Survey'!EC58</f>
        <v>0</v>
      </c>
      <c r="ED58" s="191">
        <f>'Functional Levels Drone Survey'!ED58-'Existing Levels Drone Survey'!ED58</f>
        <v>0</v>
      </c>
      <c r="EE58" s="191">
        <f>'Functional Levels Drone Survey'!EE58-'Existing Levels Drone Survey'!EE58</f>
        <v>0</v>
      </c>
      <c r="EF58" s="191">
        <f>'Functional Levels Drone Survey'!EF58-'Existing Levels Drone Survey'!EF58</f>
        <v>0</v>
      </c>
      <c r="EG58" s="191">
        <f>'Functional Levels Drone Survey'!EG58-'Existing Levels Drone Survey'!EG58</f>
        <v>0</v>
      </c>
      <c r="EH58" s="191">
        <f>'Functional Levels Drone Survey'!EH58-'Existing Levels Drone Survey'!EH58</f>
        <v>0</v>
      </c>
      <c r="EI58" s="191">
        <f>'Functional Levels Drone Survey'!EI58-'Existing Levels Drone Survey'!EI58</f>
        <v>0</v>
      </c>
      <c r="EJ58" s="191">
        <f>'Functional Levels Drone Survey'!EJ58-'Existing Levels Drone Survey'!EJ58</f>
        <v>0</v>
      </c>
      <c r="EK58" s="191">
        <f>'Functional Levels Drone Survey'!EK58-'Existing Levels Drone Survey'!EK58</f>
        <v>0</v>
      </c>
      <c r="EL58" s="191">
        <f>'Functional Levels Drone Survey'!EL58-'Existing Levels Drone Survey'!EL58</f>
        <v>0</v>
      </c>
      <c r="EM58" s="191">
        <f>'Functional Levels Drone Survey'!EM58-'Existing Levels Drone Survey'!EM58</f>
        <v>0</v>
      </c>
      <c r="EN58" s="191">
        <f>'Functional Levels Drone Survey'!EN58-'Existing Levels Drone Survey'!EN58</f>
        <v>0</v>
      </c>
      <c r="EO58" s="191">
        <f>'Functional Levels Drone Survey'!EO58-'Existing Levels Drone Survey'!EO58</f>
        <v>0</v>
      </c>
      <c r="EP58" s="191">
        <f>'Functional Levels Drone Survey'!EP58-'Existing Levels Drone Survey'!EP58</f>
        <v>0</v>
      </c>
      <c r="EQ58" s="191">
        <f>'Functional Levels Drone Survey'!EQ58-'Existing Levels Drone Survey'!EQ58</f>
        <v>0</v>
      </c>
      <c r="ER58" s="191">
        <f>'Functional Levels Drone Survey'!ER58-'Existing Levels Drone Survey'!ER58</f>
        <v>0</v>
      </c>
      <c r="ES58" s="191">
        <f>'Functional Levels Drone Survey'!ES58-'Existing Levels Drone Survey'!ES58</f>
        <v>0</v>
      </c>
      <c r="ET58" s="191">
        <f>'Functional Levels Drone Survey'!ET58-'Existing Levels Drone Survey'!ET58</f>
        <v>0</v>
      </c>
      <c r="EU58" s="191">
        <f>'Functional Levels Drone Survey'!EU58-'Existing Levels Drone Survey'!EU58</f>
        <v>0</v>
      </c>
      <c r="EV58" s="191">
        <f>'Functional Levels Drone Survey'!EV58-'Existing Levels Drone Survey'!EV58</f>
        <v>0</v>
      </c>
      <c r="EW58" s="191">
        <f>'Functional Levels Drone Survey'!EW58-'Existing Levels Drone Survey'!EW58</f>
        <v>0</v>
      </c>
      <c r="EX58" s="191">
        <f>'Functional Levels Drone Survey'!EX58-'Existing Levels Drone Survey'!EX58</f>
        <v>0</v>
      </c>
      <c r="EY58" s="191">
        <f>'Functional Levels Drone Survey'!EY58-'Existing Levels Drone Survey'!EY58</f>
        <v>0</v>
      </c>
    </row>
    <row r="59" spans="1:155" ht="45" customHeight="1" x14ac:dyDescent="0.45">
      <c r="A59" s="277">
        <v>290</v>
      </c>
      <c r="B59" s="191">
        <f>'Functional Levels Drone Survey'!B59-'Existing Levels Drone Survey'!B59</f>
        <v>0</v>
      </c>
      <c r="C59" s="191">
        <f>'Functional Levels Drone Survey'!C59-'Existing Levels Drone Survey'!C59</f>
        <v>0</v>
      </c>
      <c r="D59" s="278">
        <f>'Functional Levels Drone Survey'!D59-'Existing Levels Drone Survey'!D59</f>
        <v>-0.36659500000007483</v>
      </c>
      <c r="E59" s="191">
        <f>'Functional Levels Drone Survey'!E59-'Existing Levels Drone Survey'!E59</f>
        <v>9.9704999999914889E-2</v>
      </c>
      <c r="F59" s="279">
        <f>'Functional Levels Drone Survey'!F59-'Existing Levels Drone Survey'!F59</f>
        <v>0.19970499999993763</v>
      </c>
      <c r="G59" s="191">
        <f>'Functional Levels Drone Survey'!G59-'Existing Levels Drone Survey'!G59</f>
        <v>0.19960499999996273</v>
      </c>
      <c r="H59" s="191">
        <f>'Functional Levels Drone Survey'!H59-'Existing Levels Drone Survey'!H59</f>
        <v>0.19100499999996146</v>
      </c>
      <c r="I59" s="191">
        <f>'Functional Levels Drone Survey'!I59-'Existing Levels Drone Survey'!I59</f>
        <v>0.17440499999992198</v>
      </c>
      <c r="J59" s="191">
        <f>'Functional Levels Drone Survey'!J59-'Existing Levels Drone Survey'!J59</f>
        <v>0.15010499999993954</v>
      </c>
      <c r="K59" s="191">
        <f>'Functional Levels Drone Survey'!K59-'Existing Levels Drone Survey'!K59</f>
        <v>0.15630499999991798</v>
      </c>
      <c r="L59" s="191">
        <f>'Functional Levels Drone Survey'!L59-'Existing Levels Drone Survey'!L59</f>
        <v>0.15480499999995345</v>
      </c>
      <c r="M59" s="191">
        <f>'Functional Levels Drone Survey'!M59-'Existing Levels Drone Survey'!M59</f>
        <v>0.17590499999994336</v>
      </c>
      <c r="N59" s="191">
        <f>'Functional Levels Drone Survey'!N59-'Existing Levels Drone Survey'!N59</f>
        <v>0.13860499999992726</v>
      </c>
      <c r="O59" s="191">
        <f>'Functional Levels Drone Survey'!O59-'Existing Levels Drone Survey'!O59</f>
        <v>0.10050499999994145</v>
      </c>
      <c r="P59" s="191">
        <f>'Functional Levels Drone Survey'!P59-'Existing Levels Drone Survey'!P59</f>
        <v>0.13700499999993099</v>
      </c>
      <c r="Q59" s="191">
        <f>'Functional Levels Drone Survey'!Q59-'Existing Levels Drone Survey'!Q59</f>
        <v>0.13830499999994572</v>
      </c>
      <c r="R59" s="191">
        <f>'Functional Levels Drone Survey'!R59-'Existing Levels Drone Survey'!R59</f>
        <v>0.13190499999996064</v>
      </c>
      <c r="S59" s="191">
        <f>'Functional Levels Drone Survey'!S59-'Existing Levels Drone Survey'!S59</f>
        <v>0.14840499999991152</v>
      </c>
      <c r="T59" s="191">
        <f>'Functional Levels Drone Survey'!T59-'Existing Levels Drone Survey'!T59</f>
        <v>0.15400499999992689</v>
      </c>
      <c r="U59" s="191">
        <f>'Functional Levels Drone Survey'!U59-'Existing Levels Drone Survey'!U59</f>
        <v>0.13250499999992371</v>
      </c>
      <c r="V59" s="191">
        <f>'Functional Levels Drone Survey'!V59-'Existing Levels Drone Survey'!V59</f>
        <v>0.1750049999999419</v>
      </c>
      <c r="W59" s="191">
        <f>'Functional Levels Drone Survey'!W59-'Existing Levels Drone Survey'!W59</f>
        <v>0.16830499999991844</v>
      </c>
      <c r="X59" s="191">
        <f>'Functional Levels Drone Survey'!X59-'Existing Levels Drone Survey'!X59</f>
        <v>0.12830499999995482</v>
      </c>
      <c r="Y59" s="279">
        <f>'Functional Levels Drone Survey'!Y59-'Existing Levels Drone Survey'!Y59</f>
        <v>0.16730499999994208</v>
      </c>
      <c r="Z59" s="191">
        <f>'Functional Levels Drone Survey'!Z59-'Existing Levels Drone Survey'!Z59</f>
        <v>-0.11989500000004227</v>
      </c>
      <c r="AA59" s="191">
        <f>'Functional Levels Drone Survey'!AA59-'Existing Levels Drone Survey'!AA59</f>
        <v>-8.6695000000077016E-2</v>
      </c>
      <c r="AB59" s="191">
        <f>'Functional Levels Drone Survey'!AB59-'Existing Levels Drone Survey'!AB59</f>
        <v>-9.30950000000621E-2</v>
      </c>
      <c r="AC59" s="191">
        <f>'Functional Levels Drone Survey'!AC59-'Existing Levels Drone Survey'!AC59</f>
        <v>-0.1368571428573091</v>
      </c>
      <c r="AD59" s="191">
        <f>'Functional Levels Drone Survey'!AD59-'Existing Levels Drone Survey'!AD59</f>
        <v>-0.13205714285732029</v>
      </c>
      <c r="AE59" s="191">
        <f>'Functional Levels Drone Survey'!AE59-'Existing Levels Drone Survey'!AE59</f>
        <v>-0.25935714285731137</v>
      </c>
      <c r="AF59" s="191">
        <f>'Functional Levels Drone Survey'!AF59-'Existing Levels Drone Survey'!AF59</f>
        <v>-0.27005714285729709</v>
      </c>
      <c r="AG59" s="191">
        <f>'Functional Levels Drone Survey'!AG59-'Existing Levels Drone Survey'!AG59</f>
        <v>-0.30905714285728436</v>
      </c>
      <c r="AH59" s="191">
        <f>'Functional Levels Drone Survey'!AH59-'Existing Levels Drone Survey'!AH59</f>
        <v>-0.36085714285729864</v>
      </c>
      <c r="AI59" s="191">
        <f>'Functional Levels Drone Survey'!AI59-'Existing Levels Drone Survey'!AI59</f>
        <v>-0.46395714285728218</v>
      </c>
      <c r="AJ59" s="191">
        <f>'Functional Levels Drone Survey'!AJ59-'Existing Levels Drone Survey'!AJ59</f>
        <v>-1.0261571428573006</v>
      </c>
      <c r="AK59" s="191">
        <f>'Functional Levels Drone Survey'!AK59-'Existing Levels Drone Survey'!AK59</f>
        <v>-0.78955714285729073</v>
      </c>
      <c r="AL59" s="191">
        <f>'Functional Levels Drone Survey'!AL59-'Existing Levels Drone Survey'!AL59</f>
        <v>-0.49195714285730219</v>
      </c>
      <c r="AM59" s="191">
        <f>'Functional Levels Drone Survey'!AM59-'Existing Levels Drone Survey'!AM59</f>
        <v>-0.22435714285728636</v>
      </c>
      <c r="AN59" s="278">
        <f>'Functional Levels Drone Survey'!AN59-'Existing Levels Drone Survey'!AN59</f>
        <v>-0.37695714285729309</v>
      </c>
      <c r="AO59" s="278">
        <f>'Functional Levels Drone Survey'!AO59-'Existing Levels Drone Survey'!AO59</f>
        <v>-0.23425714285730237</v>
      </c>
      <c r="AP59" s="278">
        <f>'Functional Levels Drone Survey'!AP59-'Existing Levels Drone Survey'!AP59</f>
        <v>-0.13035714285729227</v>
      </c>
      <c r="AQ59" s="278">
        <f>'Functional Levels Drone Survey'!AQ59-'Existing Levels Drone Survey'!AQ59</f>
        <v>-0.15105714285732574</v>
      </c>
      <c r="AR59" s="278">
        <f>'Functional Levels Drone Survey'!AR59-'Existing Levels Drone Survey'!AR59</f>
        <v>-0.1922571428573292</v>
      </c>
      <c r="AS59" s="278">
        <f>'Functional Levels Drone Survey'!AS59-'Existing Levels Drone Survey'!AS59</f>
        <v>-0.19035714285729455</v>
      </c>
      <c r="AT59" s="278">
        <f>'Functional Levels Drone Survey'!AT59-'Existing Levels Drone Survey'!AT59</f>
        <v>-0.19865714285731428</v>
      </c>
      <c r="AU59" s="278">
        <f>'Functional Levels Drone Survey'!AU59-'Existing Levels Drone Survey'!AU59</f>
        <v>-0.19325714285730555</v>
      </c>
      <c r="AV59" s="278">
        <f>'Functional Levels Drone Survey'!AV59-'Existing Levels Drone Survey'!AV59</f>
        <v>-0.28774761904782054</v>
      </c>
      <c r="AW59" s="278">
        <f>'Functional Levels Drone Survey'!AW59-'Existing Levels Drone Survey'!AW59</f>
        <v>-0.25524761904779325</v>
      </c>
      <c r="AX59" s="278">
        <f>'Functional Levels Drone Survey'!AX59-'Existing Levels Drone Survey'!AX59</f>
        <v>-0.17584761904777224</v>
      </c>
      <c r="AY59" s="278">
        <f>'Functional Levels Drone Survey'!AY59-'Existing Levels Drone Survey'!AY59</f>
        <v>-0.14214761904781881</v>
      </c>
      <c r="AZ59" s="278">
        <f>'Functional Levels Drone Survey'!AZ59-'Existing Levels Drone Survey'!AZ59</f>
        <v>-0.12804761904777706</v>
      </c>
      <c r="BA59" s="278">
        <f>'Functional Levels Drone Survey'!BA59-'Existing Levels Drone Survey'!BA59</f>
        <v>-9.5747619047813259E-2</v>
      </c>
      <c r="BB59" s="278">
        <f>'Functional Levels Drone Survey'!BB59-'Existing Levels Drone Survey'!BB59</f>
        <v>-9.8647619047824264E-2</v>
      </c>
      <c r="BC59" s="191">
        <f>'Functional Levels Drone Survey'!BC59-'Existing Levels Drone Survey'!BC59</f>
        <v>-0.12314761904781335</v>
      </c>
      <c r="BD59" s="191">
        <f>'Functional Levels Drone Survey'!BD59-'Existing Levels Drone Survey'!BD59</f>
        <v>-0.21644761904781262</v>
      </c>
      <c r="BE59" s="191">
        <f>'Functional Levels Drone Survey'!BE59-'Existing Levels Drone Survey'!BE59</f>
        <v>-0.24254761904779798</v>
      </c>
      <c r="BF59" s="191">
        <f>'Functional Levels Drone Survey'!BF59-'Existing Levels Drone Survey'!BF59</f>
        <v>-2.5047619047825265E-2</v>
      </c>
      <c r="BG59" s="191">
        <f>'Functional Levels Drone Survey'!BG59-'Existing Levels Drone Survey'!BG59</f>
        <v>-0.19634761904785591</v>
      </c>
      <c r="BH59" s="191">
        <f>'Functional Levels Drone Survey'!BH59-'Existing Levels Drone Survey'!BH59</f>
        <v>-7.2447619047864009E-2</v>
      </c>
      <c r="BI59" s="191">
        <f>'Functional Levels Drone Survey'!BI59-'Existing Levels Drone Survey'!BI59</f>
        <v>0.36125238095218037</v>
      </c>
      <c r="BJ59" s="191">
        <f>'Functional Levels Drone Survey'!BJ59-'Existing Levels Drone Survey'!BJ59</f>
        <v>8.235238095215891E-2</v>
      </c>
      <c r="BK59" s="191">
        <f>'Functional Levels Drone Survey'!BK59-'Existing Levels Drone Survey'!BK59</f>
        <v>8.7952380952174281E-2</v>
      </c>
      <c r="BL59" s="191">
        <f>'Functional Levels Drone Survey'!BL59-'Existing Levels Drone Survey'!BL59</f>
        <v>0.11245238095216337</v>
      </c>
      <c r="BM59" s="191">
        <f>'Functional Levels Drone Survey'!BM59-'Existing Levels Drone Survey'!BM59</f>
        <v>-0.18164761904785109</v>
      </c>
      <c r="BN59" s="191">
        <f>'Functional Levels Drone Survey'!BN59-'Existing Levels Drone Survey'!BN59</f>
        <v>-0.22454761904782572</v>
      </c>
      <c r="BO59" s="191">
        <f>'Functional Levels Drone Survey'!BO59-'Existing Levels Drone Survey'!BO59</f>
        <v>-0.27484761904781863</v>
      </c>
      <c r="BP59" s="191">
        <f>'Functional Levels Drone Survey'!BP59-'Existing Levels Drone Survey'!BP59</f>
        <v>-0.38234761904783454</v>
      </c>
      <c r="BQ59" s="191">
        <f>'Functional Levels Drone Survey'!BQ59-'Existing Levels Drone Survey'!BQ59</f>
        <v>-0.28904761904783527</v>
      </c>
      <c r="BR59" s="191">
        <f>'Functional Levels Drone Survey'!BR59-'Existing Levels Drone Survey'!BR59</f>
        <v>-0.16094761904781762</v>
      </c>
      <c r="BS59" s="191">
        <f>'Functional Levels Drone Survey'!BS59-'Existing Levels Drone Survey'!BS59</f>
        <v>-4.6331818181784001E-2</v>
      </c>
      <c r="BT59" s="191">
        <f>'Functional Levels Drone Survey'!BT59-'Existing Levels Drone Survey'!BT59</f>
        <v>-2.623181818177045E-2</v>
      </c>
      <c r="BU59" s="191">
        <f>'Functional Levels Drone Survey'!BU59-'Existing Levels Drone Survey'!BU59</f>
        <v>3.446818181822664E-2</v>
      </c>
      <c r="BV59" s="191">
        <f>'Functional Levels Drone Survey'!BV59-'Existing Levels Drone Survey'!BV59</f>
        <v>-9.5231818181787276E-2</v>
      </c>
      <c r="BW59" s="191">
        <f>'Functional Levels Drone Survey'!BW59-'Existing Levels Drone Survey'!BW59</f>
        <v>-4.4331818181774452E-2</v>
      </c>
      <c r="BX59" s="191">
        <f>'Functional Levels Drone Survey'!BX59-'Existing Levels Drone Survey'!BX59</f>
        <v>3.3681818181889867E-3</v>
      </c>
      <c r="BY59" s="191">
        <f>'Functional Levels Drone Survey'!BY59-'Existing Levels Drone Survey'!BY59</f>
        <v>2.5068181818198809E-2</v>
      </c>
      <c r="BZ59" s="191">
        <f>'Functional Levels Drone Survey'!BZ59-'Existing Levels Drone Survey'!BZ59</f>
        <v>0.10056818181817562</v>
      </c>
      <c r="CA59" s="191">
        <f>'Functional Levels Drone Survey'!CA59-'Existing Levels Drone Survey'!CA59</f>
        <v>0.14446818181818344</v>
      </c>
      <c r="CB59" s="191">
        <f>'Functional Levels Drone Survey'!CB59-'Existing Levels Drone Survey'!CB59</f>
        <v>0.16926818181821091</v>
      </c>
      <c r="CC59" s="279">
        <f>'Functional Levels Drone Survey'!CC59-'Existing Levels Drone Survey'!CC59</f>
        <v>0.20050476190471045</v>
      </c>
      <c r="CD59" s="191">
        <f>'Functional Levels Drone Survey'!CD59-'Existing Levels Drone Survey'!CD59</f>
        <v>0.2055047619047059</v>
      </c>
      <c r="CE59" s="191">
        <f>'Functional Levels Drone Survey'!CE59-'Existing Levels Drone Survey'!CE59</f>
        <v>0.22000476190470408</v>
      </c>
      <c r="CF59" s="191">
        <f>'Functional Levels Drone Survey'!CF59-'Existing Levels Drone Survey'!CF59</f>
        <v>0.27000476190471545</v>
      </c>
      <c r="CG59" s="191">
        <f>'Functional Levels Drone Survey'!CG59-'Existing Levels Drone Survey'!CG59</f>
        <v>0.26530476190470154</v>
      </c>
      <c r="CH59" s="191">
        <f>'Functional Levels Drone Survey'!CH59-'Existing Levels Drone Survey'!CH59</f>
        <v>0.2287047619047371</v>
      </c>
      <c r="CI59" s="191">
        <f>'Functional Levels Drone Survey'!CI59-'Existing Levels Drone Survey'!CI59</f>
        <v>0.2538047619047461</v>
      </c>
      <c r="CJ59" s="191">
        <f>'Functional Levels Drone Survey'!CJ59-'Existing Levels Drone Survey'!CJ59</f>
        <v>0.26860476190472582</v>
      </c>
      <c r="CK59" s="191">
        <f>'Functional Levels Drone Survey'!CK59-'Existing Levels Drone Survey'!CK59</f>
        <v>0.28490476190472691</v>
      </c>
      <c r="CL59" s="191">
        <f>'Functional Levels Drone Survey'!CL59-'Existing Levels Drone Survey'!CL59</f>
        <v>0.28360476190471218</v>
      </c>
      <c r="CM59" s="191">
        <f>'Functional Levels Drone Survey'!CM59-'Existing Levels Drone Survey'!CM59</f>
        <v>0.291304761904712</v>
      </c>
      <c r="CN59" s="191">
        <f>'Functional Levels Drone Survey'!CN59-'Existing Levels Drone Survey'!CN59</f>
        <v>0.29060476190471718</v>
      </c>
      <c r="CO59" s="191">
        <f>'Functional Levels Drone Survey'!CO59-'Existing Levels Drone Survey'!CO59</f>
        <v>0.29950476190469999</v>
      </c>
      <c r="CP59" s="191">
        <f>'Functional Levels Drone Survey'!CP59-'Existing Levels Drone Survey'!CP59</f>
        <v>0.30790476190475147</v>
      </c>
      <c r="CQ59" s="191">
        <f>'Functional Levels Drone Survey'!CQ59-'Existing Levels Drone Survey'!CQ59</f>
        <v>0.28950476190470908</v>
      </c>
      <c r="CR59" s="191">
        <f>'Functional Levels Drone Survey'!CR59-'Existing Levels Drone Survey'!CR59</f>
        <v>0.28970476190471572</v>
      </c>
      <c r="CS59" s="191">
        <f>'Functional Levels Drone Survey'!CS59-'Existing Levels Drone Survey'!CS59</f>
        <v>0.23080476190472154</v>
      </c>
      <c r="CT59" s="191">
        <f>'Functional Levels Drone Survey'!CT59-'Existing Levels Drone Survey'!CT59</f>
        <v>0.32280476190470608</v>
      </c>
      <c r="CU59" s="191">
        <f>'Functional Levels Drone Survey'!CU59-'Existing Levels Drone Survey'!CU59</f>
        <v>0.35400476190471863</v>
      </c>
      <c r="CV59" s="191">
        <f>'Functional Levels Drone Survey'!CV59-'Existing Levels Drone Survey'!CV59</f>
        <v>0.27150476190473682</v>
      </c>
      <c r="CW59" s="279">
        <f>'Functional Levels Drone Survey'!CW59-'Existing Levels Drone Survey'!CW59</f>
        <v>0.38250476190472682</v>
      </c>
      <c r="CX59" s="191">
        <f>'Functional Levels Drone Survey'!CX59-'Existing Levels Drone Survey'!CX59</f>
        <v>0.23016666666654828</v>
      </c>
      <c r="CY59" s="279">
        <f>'Functional Levels Drone Survey'!CY59-'Existing Levels Drone Survey'!CY59</f>
        <v>0.24556666666654792</v>
      </c>
      <c r="CZ59" s="191">
        <f>'Functional Levels Drone Survey'!CZ59-'Existing Levels Drone Survey'!CZ59</f>
        <v>0.34636666666659721</v>
      </c>
      <c r="DA59" s="191">
        <f>'Functional Levels Drone Survey'!DA59-'Existing Levels Drone Survey'!DA59</f>
        <v>0.29006666666657566</v>
      </c>
      <c r="DB59" s="191">
        <f>'Functional Levels Drone Survey'!DB59-'Existing Levels Drone Survey'!DB59</f>
        <v>0.22716666666656238</v>
      </c>
      <c r="DC59" s="191">
        <f>'Functional Levels Drone Survey'!DC59-'Existing Levels Drone Survey'!DC59</f>
        <v>0.28716666666656465</v>
      </c>
      <c r="DD59" s="191">
        <f>'Functional Levels Drone Survey'!DD59-'Existing Levels Drone Survey'!DD59</f>
        <v>0.20506666666659612</v>
      </c>
      <c r="DE59" s="191">
        <f>'Functional Levels Drone Survey'!DE59-'Existing Levels Drone Survey'!DE59</f>
        <v>0.18476666666657593</v>
      </c>
      <c r="DF59" s="191">
        <f>'Functional Levels Drone Survey'!DF59-'Existing Levels Drone Survey'!DF59</f>
        <v>0.23756666666656656</v>
      </c>
      <c r="DG59" s="191">
        <f>'Functional Levels Drone Survey'!DG59-'Existing Levels Drone Survey'!DG59</f>
        <v>0.3042666666665923</v>
      </c>
      <c r="DH59" s="191">
        <f>'Functional Levels Drone Survey'!DH59-'Existing Levels Drone Survey'!DH59</f>
        <v>0.2961666666665792</v>
      </c>
      <c r="DI59" s="191">
        <f>'Functional Levels Drone Survey'!DI59-'Existing Levels Drone Survey'!DI59</f>
        <v>0.22276666666658684</v>
      </c>
      <c r="DJ59" s="191">
        <f>'Functional Levels Drone Survey'!DJ59-'Existing Levels Drone Survey'!DJ59</f>
        <v>0.2942666666666014</v>
      </c>
      <c r="DK59" s="191">
        <f>'Functional Levels Drone Survey'!DK59-'Existing Levels Drone Survey'!DK59</f>
        <v>0.38996666666656665</v>
      </c>
      <c r="DL59" s="191">
        <f>'Functional Levels Drone Survey'!DL59-'Existing Levels Drone Survey'!DL59</f>
        <v>0.2628666666665822</v>
      </c>
      <c r="DM59" s="191">
        <f>'Functional Levels Drone Survey'!DM59-'Existing Levels Drone Survey'!DM59</f>
        <v>0.24686666666656265</v>
      </c>
      <c r="DN59" s="191">
        <f>'Functional Levels Drone Survey'!DN59-'Existing Levels Drone Survey'!DN59</f>
        <v>0.2670666666665511</v>
      </c>
      <c r="DO59" s="191">
        <f>'Functional Levels Drone Survey'!DO59-'Existing Levels Drone Survey'!DO59</f>
        <v>0.24686666666656265</v>
      </c>
      <c r="DP59" s="191">
        <f>'Functional Levels Drone Survey'!DP59-'Existing Levels Drone Survey'!DP59</f>
        <v>0.29016666666655055</v>
      </c>
      <c r="DQ59" s="191">
        <f>'Functional Levels Drone Survey'!DQ59-'Existing Levels Drone Survey'!DQ59</f>
        <v>0.46096666666659303</v>
      </c>
      <c r="DR59" s="191">
        <f>'Functional Levels Drone Survey'!DR59-'Existing Levels Drone Survey'!DR59</f>
        <v>0.24656666666658111</v>
      </c>
      <c r="DS59" s="279">
        <f>'Functional Levels Drone Survey'!DS59-'Existing Levels Drone Survey'!DS59</f>
        <v>0.20476666666655774</v>
      </c>
      <c r="DT59" s="191">
        <f>'Functional Levels Drone Survey'!DT59-'Existing Levels Drone Survey'!DT59</f>
        <v>0.14166666666653782</v>
      </c>
      <c r="DU59" s="191">
        <f>'Functional Levels Drone Survey'!DU59-'Existing Levels Drone Survey'!DU59</f>
        <v>0.26556666666658657</v>
      </c>
      <c r="DV59" s="278">
        <f>'Functional Levels Drone Survey'!DV59-'Existing Levels Drone Survey'!DV59</f>
        <v>-0.53483333333343808</v>
      </c>
      <c r="DW59" s="191">
        <f>'Functional Levels Drone Survey'!DW59-'Existing Levels Drone Survey'!DW59</f>
        <v>0</v>
      </c>
      <c r="DX59" s="191">
        <f>'Functional Levels Drone Survey'!DX59-'Existing Levels Drone Survey'!DX59</f>
        <v>0</v>
      </c>
      <c r="DY59" s="191">
        <f>'Functional Levels Drone Survey'!DY59-'Existing Levels Drone Survey'!DY59</f>
        <v>0</v>
      </c>
      <c r="DZ59" s="191">
        <f>'Functional Levels Drone Survey'!DZ59-'Existing Levels Drone Survey'!DZ59</f>
        <v>0</v>
      </c>
      <c r="EA59" s="191">
        <f>'Functional Levels Drone Survey'!EA59-'Existing Levels Drone Survey'!EA59</f>
        <v>0</v>
      </c>
      <c r="EB59" s="191">
        <f>'Functional Levels Drone Survey'!EB59-'Existing Levels Drone Survey'!EB59</f>
        <v>0</v>
      </c>
      <c r="EC59" s="191">
        <f>'Functional Levels Drone Survey'!EC59-'Existing Levels Drone Survey'!EC59</f>
        <v>0</v>
      </c>
      <c r="ED59" s="191">
        <f>'Functional Levels Drone Survey'!ED59-'Existing Levels Drone Survey'!ED59</f>
        <v>0</v>
      </c>
      <c r="EE59" s="191">
        <f>'Functional Levels Drone Survey'!EE59-'Existing Levels Drone Survey'!EE59</f>
        <v>0</v>
      </c>
      <c r="EF59" s="191">
        <f>'Functional Levels Drone Survey'!EF59-'Existing Levels Drone Survey'!EF59</f>
        <v>0</v>
      </c>
      <c r="EG59" s="191">
        <f>'Functional Levels Drone Survey'!EG59-'Existing Levels Drone Survey'!EG59</f>
        <v>0</v>
      </c>
      <c r="EH59" s="191">
        <f>'Functional Levels Drone Survey'!EH59-'Existing Levels Drone Survey'!EH59</f>
        <v>0</v>
      </c>
      <c r="EI59" s="191">
        <f>'Functional Levels Drone Survey'!EI59-'Existing Levels Drone Survey'!EI59</f>
        <v>0</v>
      </c>
      <c r="EJ59" s="191">
        <f>'Functional Levels Drone Survey'!EJ59-'Existing Levels Drone Survey'!EJ59</f>
        <v>0</v>
      </c>
      <c r="EK59" s="191">
        <f>'Functional Levels Drone Survey'!EK59-'Existing Levels Drone Survey'!EK59</f>
        <v>0</v>
      </c>
      <c r="EL59" s="191">
        <f>'Functional Levels Drone Survey'!EL59-'Existing Levels Drone Survey'!EL59</f>
        <v>0</v>
      </c>
      <c r="EM59" s="191">
        <f>'Functional Levels Drone Survey'!EM59-'Existing Levels Drone Survey'!EM59</f>
        <v>0</v>
      </c>
      <c r="EN59" s="191">
        <f>'Functional Levels Drone Survey'!EN59-'Existing Levels Drone Survey'!EN59</f>
        <v>0</v>
      </c>
      <c r="EO59" s="191">
        <f>'Functional Levels Drone Survey'!EO59-'Existing Levels Drone Survey'!EO59</f>
        <v>0</v>
      </c>
      <c r="EP59" s="191">
        <f>'Functional Levels Drone Survey'!EP59-'Existing Levels Drone Survey'!EP59</f>
        <v>0</v>
      </c>
      <c r="EQ59" s="191">
        <f>'Functional Levels Drone Survey'!EQ59-'Existing Levels Drone Survey'!EQ59</f>
        <v>0</v>
      </c>
      <c r="ER59" s="191">
        <f>'Functional Levels Drone Survey'!ER59-'Existing Levels Drone Survey'!ER59</f>
        <v>0</v>
      </c>
      <c r="ES59" s="191">
        <f>'Functional Levels Drone Survey'!ES59-'Existing Levels Drone Survey'!ES59</f>
        <v>0</v>
      </c>
      <c r="ET59" s="191">
        <f>'Functional Levels Drone Survey'!ET59-'Existing Levels Drone Survey'!ET59</f>
        <v>0</v>
      </c>
      <c r="EU59" s="191">
        <f>'Functional Levels Drone Survey'!EU59-'Existing Levels Drone Survey'!EU59</f>
        <v>0</v>
      </c>
      <c r="EV59" s="191">
        <f>'Functional Levels Drone Survey'!EV59-'Existing Levels Drone Survey'!EV59</f>
        <v>0</v>
      </c>
      <c r="EW59" s="191">
        <f>'Functional Levels Drone Survey'!EW59-'Existing Levels Drone Survey'!EW59</f>
        <v>0</v>
      </c>
      <c r="EX59" s="191">
        <f>'Functional Levels Drone Survey'!EX59-'Existing Levels Drone Survey'!EX59</f>
        <v>0</v>
      </c>
      <c r="EY59" s="191">
        <f>'Functional Levels Drone Survey'!EY59-'Existing Levels Drone Survey'!EY59</f>
        <v>0</v>
      </c>
    </row>
    <row r="60" spans="1:155" ht="45" customHeight="1" x14ac:dyDescent="0.45">
      <c r="A60" s="277">
        <v>295</v>
      </c>
      <c r="B60" s="191">
        <f>'Functional Levels Drone Survey'!B60-'Existing Levels Drone Survey'!B60</f>
        <v>0</v>
      </c>
      <c r="C60" s="191">
        <f>'Functional Levels Drone Survey'!C60-'Existing Levels Drone Survey'!C60</f>
        <v>0</v>
      </c>
      <c r="D60" s="278">
        <f>'Functional Levels Drone Survey'!D60-'Existing Levels Drone Survey'!D60</f>
        <v>-0.3469950000001063</v>
      </c>
      <c r="E60" s="191">
        <f>'Functional Levels Drone Survey'!E60-'Existing Levels Drone Survey'!E60</f>
        <v>9.1204999999888514E-2</v>
      </c>
      <c r="F60" s="279">
        <f>'Functional Levels Drone Survey'!F60-'Existing Levels Drone Survey'!F60</f>
        <v>0.18690499999991061</v>
      </c>
      <c r="G60" s="191">
        <f>'Functional Levels Drone Survey'!G60-'Existing Levels Drone Survey'!G60</f>
        <v>0.16570499999994581</v>
      </c>
      <c r="H60" s="191">
        <f>'Functional Levels Drone Survey'!H60-'Existing Levels Drone Survey'!H60</f>
        <v>0.15200499999991735</v>
      </c>
      <c r="I60" s="191">
        <f>'Functional Levels Drone Survey'!I60-'Existing Levels Drone Survey'!I60</f>
        <v>0.1499049999999329</v>
      </c>
      <c r="J60" s="191">
        <f>'Functional Levels Drone Survey'!J60-'Existing Levels Drone Survey'!J60</f>
        <v>0.16880499999990661</v>
      </c>
      <c r="K60" s="191">
        <f>'Functional Levels Drone Survey'!K60-'Existing Levels Drone Survey'!K60</f>
        <v>0.14860499999991816</v>
      </c>
      <c r="L60" s="191">
        <f>'Functional Levels Drone Survey'!L60-'Existing Levels Drone Survey'!L60</f>
        <v>0.1125049999999419</v>
      </c>
      <c r="M60" s="191">
        <f>'Functional Levels Drone Survey'!M60-'Existing Levels Drone Survey'!M60</f>
        <v>8.3104999999932261E-2</v>
      </c>
      <c r="N60" s="191">
        <f>'Functional Levels Drone Survey'!N60-'Existing Levels Drone Survey'!N60</f>
        <v>8.2304999999905704E-2</v>
      </c>
      <c r="O60" s="191">
        <f>'Functional Levels Drone Survey'!O60-'Existing Levels Drone Survey'!O60</f>
        <v>2.3804999999924803E-2</v>
      </c>
      <c r="P60" s="191">
        <f>'Functional Levels Drone Survey'!P60-'Existing Levels Drone Survey'!P60</f>
        <v>9.2004999999915071E-2</v>
      </c>
      <c r="Q60" s="191">
        <f>'Functional Levels Drone Survey'!Q60-'Existing Levels Drone Survey'!Q60</f>
        <v>8.7304999999901156E-2</v>
      </c>
      <c r="R60" s="191">
        <f>'Functional Levels Drone Survey'!R60-'Existing Levels Drone Survey'!R60</f>
        <v>8.6204999999949905E-2</v>
      </c>
      <c r="S60" s="191">
        <f>'Functional Levels Drone Survey'!S60-'Existing Levels Drone Survey'!S60</f>
        <v>7.6804999999922074E-2</v>
      </c>
      <c r="T60" s="191">
        <f>'Functional Levels Drone Survey'!T60-'Existing Levels Drone Survey'!T60</f>
        <v>7.190499999990152E-2</v>
      </c>
      <c r="U60" s="191">
        <f>'Functional Levels Drone Survey'!U60-'Existing Levels Drone Survey'!U60</f>
        <v>8.4104999999908614E-2</v>
      </c>
      <c r="V60" s="191">
        <f>'Functional Levels Drone Survey'!V60-'Existing Levels Drone Survey'!V60</f>
        <v>9.1704999999933534E-2</v>
      </c>
      <c r="W60" s="191">
        <f>'Functional Levels Drone Survey'!W60-'Existing Levels Drone Survey'!W60</f>
        <v>5.8004999999923257E-2</v>
      </c>
      <c r="X60" s="191">
        <f>'Functional Levels Drone Survey'!X60-'Existing Levels Drone Survey'!X60</f>
        <v>5.6804999999940264E-2</v>
      </c>
      <c r="Y60" s="279">
        <f>'Functional Levels Drone Survey'!Y60-'Existing Levels Drone Survey'!Y60</f>
        <v>7.0904999999925167E-2</v>
      </c>
      <c r="Z60" s="191">
        <f>'Functional Levels Drone Survey'!Z60-'Existing Levels Drone Survey'!Z60</f>
        <v>-0.19679500000006556</v>
      </c>
      <c r="AA60" s="191">
        <f>'Functional Levels Drone Survey'!AA60-'Existing Levels Drone Survey'!AA60</f>
        <v>-0.14489500000007638</v>
      </c>
      <c r="AB60" s="191">
        <f>'Functional Levels Drone Survey'!AB60-'Existing Levels Drone Survey'!AB60</f>
        <v>-0.13309500000008256</v>
      </c>
      <c r="AC60" s="191">
        <f>'Functional Levels Drone Survey'!AC60-'Existing Levels Drone Survey'!AC60</f>
        <v>-0.1449571428573222</v>
      </c>
      <c r="AD60" s="191">
        <f>'Functional Levels Drone Survey'!AD60-'Existing Levels Drone Survey'!AD60</f>
        <v>-0.17745714285729264</v>
      </c>
      <c r="AE60" s="191">
        <f>'Functional Levels Drone Survey'!AE60-'Existing Levels Drone Survey'!AE60</f>
        <v>-0.24175714285729555</v>
      </c>
      <c r="AF60" s="191">
        <f>'Functional Levels Drone Survey'!AF60-'Existing Levels Drone Survey'!AF60</f>
        <v>-0.26645714285729127</v>
      </c>
      <c r="AG60" s="191">
        <f>'Functional Levels Drone Survey'!AG60-'Existing Levels Drone Survey'!AG60</f>
        <v>-0.34475714285730419</v>
      </c>
      <c r="AH60" s="191">
        <f>'Functional Levels Drone Survey'!AH60-'Existing Levels Drone Survey'!AH60</f>
        <v>-0.76025714285731283</v>
      </c>
      <c r="AI60" s="191">
        <f>'Functional Levels Drone Survey'!AI60-'Existing Levels Drone Survey'!AI60</f>
        <v>-0.81675714285728418</v>
      </c>
      <c r="AJ60" s="191">
        <f>'Functional Levels Drone Survey'!AJ60-'Existing Levels Drone Survey'!AJ60</f>
        <v>-0.41435714285728409</v>
      </c>
      <c r="AK60" s="191">
        <f>'Functional Levels Drone Survey'!AK60-'Existing Levels Drone Survey'!AK60</f>
        <v>-0.20485714285729273</v>
      </c>
      <c r="AL60" s="191">
        <f>'Functional Levels Drone Survey'!AL60-'Existing Levels Drone Survey'!AL60</f>
        <v>-0.18575714285731237</v>
      </c>
      <c r="AM60" s="191">
        <f>'Functional Levels Drone Survey'!AM60-'Existing Levels Drone Survey'!AM60</f>
        <v>-0.15485714285728136</v>
      </c>
      <c r="AN60" s="191">
        <f>'Functional Levels Drone Survey'!AN60-'Existing Levels Drone Survey'!AN60</f>
        <v>-0.15835714285731228</v>
      </c>
      <c r="AO60" s="191">
        <f>'Functional Levels Drone Survey'!AO60-'Existing Levels Drone Survey'!AO60</f>
        <v>-0.15375714285727327</v>
      </c>
      <c r="AP60" s="191">
        <f>'Functional Levels Drone Survey'!AP60-'Existing Levels Drone Survey'!AP60</f>
        <v>-0.13195714285728855</v>
      </c>
      <c r="AQ60" s="191">
        <f>'Functional Levels Drone Survey'!AQ60-'Existing Levels Drone Survey'!AQ60</f>
        <v>-0.12635714285727317</v>
      </c>
      <c r="AR60" s="191">
        <f>'Functional Levels Drone Survey'!AR60-'Existing Levels Drone Survey'!AR60</f>
        <v>-0.14855714285727117</v>
      </c>
      <c r="AS60" s="191">
        <f>'Functional Levels Drone Survey'!AS60-'Existing Levels Drone Survey'!AS60</f>
        <v>-0.22935714285728181</v>
      </c>
      <c r="AT60" s="191">
        <f>'Functional Levels Drone Survey'!AT60-'Existing Levels Drone Survey'!AT60</f>
        <v>-5.4657142857308827E-2</v>
      </c>
      <c r="AU60" s="191">
        <f>'Functional Levels Drone Survey'!AU60-'Existing Levels Drone Survey'!AU60</f>
        <v>-4.4857142857324561E-2</v>
      </c>
      <c r="AV60" s="191">
        <f>'Functional Levels Drone Survey'!AV60-'Existing Levels Drone Survey'!AV60</f>
        <v>-9.2047619047832541E-2</v>
      </c>
      <c r="AW60" s="191">
        <f>'Functional Levels Drone Survey'!AW60-'Existing Levels Drone Survey'!AW60</f>
        <v>-7.1447619047830813E-2</v>
      </c>
      <c r="AX60" s="191">
        <f>'Functional Levels Drone Survey'!AX60-'Existing Levels Drone Survey'!AX60</f>
        <v>-4.4047619047830722E-2</v>
      </c>
      <c r="AY60" s="191">
        <f>'Functional Levels Drone Survey'!AY60-'Existing Levels Drone Survey'!AY60</f>
        <v>-4.8747619047844637E-2</v>
      </c>
      <c r="AZ60" s="191">
        <f>'Functional Levels Drone Survey'!AZ60-'Existing Levels Drone Survey'!AZ60</f>
        <v>-6.1047619047826629E-2</v>
      </c>
      <c r="BA60" s="191">
        <f>'Functional Levels Drone Survey'!BA60-'Existing Levels Drone Survey'!BA60</f>
        <v>-6.1647619047846547E-2</v>
      </c>
      <c r="BB60" s="191">
        <f>'Functional Levels Drone Survey'!BB60-'Existing Levels Drone Survey'!BB60</f>
        <v>-8.2547619047829812E-2</v>
      </c>
      <c r="BC60" s="191">
        <f>'Functional Levels Drone Survey'!BC60-'Existing Levels Drone Survey'!BC60</f>
        <v>-8.7647619047857006E-2</v>
      </c>
      <c r="BD60" s="191">
        <f>'Functional Levels Drone Survey'!BD60-'Existing Levels Drone Survey'!BD60</f>
        <v>-9.424761904784873E-2</v>
      </c>
      <c r="BE60" s="191">
        <f>'Functional Levels Drone Survey'!BE60-'Existing Levels Drone Survey'!BE60</f>
        <v>-0.16254761904787074</v>
      </c>
      <c r="BF60" s="191">
        <f>'Functional Levels Drone Survey'!BF60-'Existing Levels Drone Survey'!BF60</f>
        <v>0.11345238095213972</v>
      </c>
      <c r="BG60" s="191">
        <f>'Functional Levels Drone Survey'!BG60-'Existing Levels Drone Survey'!BG60</f>
        <v>0.37865238095213272</v>
      </c>
      <c r="BH60" s="191">
        <f>'Functional Levels Drone Survey'!BH60-'Existing Levels Drone Survey'!BH60</f>
        <v>0.29095238095214881</v>
      </c>
      <c r="BI60" s="191">
        <f>'Functional Levels Drone Survey'!BI60-'Existing Levels Drone Survey'!BI60</f>
        <v>-8.7947619047838543E-2</v>
      </c>
      <c r="BJ60" s="191">
        <f>'Functional Levels Drone Survey'!BJ60-'Existing Levels Drone Survey'!BJ60</f>
        <v>-0.16804761904785437</v>
      </c>
      <c r="BK60" s="191">
        <f>'Functional Levels Drone Survey'!BK60-'Existing Levels Drone Survey'!BK60</f>
        <v>-0.33864761904783336</v>
      </c>
      <c r="BL60" s="191">
        <f>'Functional Levels Drone Survey'!BL60-'Existing Levels Drone Survey'!BL60</f>
        <v>0.42345238095214199</v>
      </c>
      <c r="BM60" s="191">
        <f>'Functional Levels Drone Survey'!BM60-'Existing Levels Drone Survey'!BM60</f>
        <v>0.42115238095215091</v>
      </c>
      <c r="BN60" s="191">
        <f>'Functional Levels Drone Survey'!BN60-'Existing Levels Drone Survey'!BN60</f>
        <v>-0.10414761904786474</v>
      </c>
      <c r="BO60" s="191">
        <f>'Functional Levels Drone Survey'!BO60-'Existing Levels Drone Survey'!BO60</f>
        <v>-0.20694761904786674</v>
      </c>
      <c r="BP60" s="191">
        <f>'Functional Levels Drone Survey'!BP60-'Existing Levels Drone Survey'!BP60</f>
        <v>-0.34674761904784646</v>
      </c>
      <c r="BQ60" s="191">
        <f>'Functional Levels Drone Survey'!BQ60-'Existing Levels Drone Survey'!BQ60</f>
        <v>-0.51754761904783209</v>
      </c>
      <c r="BR60" s="191">
        <f>'Functional Levels Drone Survey'!BR60-'Existing Levels Drone Survey'!BR60</f>
        <v>-0.155447619047834</v>
      </c>
      <c r="BS60" s="191">
        <f>'Functional Levels Drone Survey'!BS60-'Existing Levels Drone Survey'!BS60</f>
        <v>-0.27963181818182647</v>
      </c>
      <c r="BT60" s="191">
        <f>'Functional Levels Drone Survey'!BT60-'Existing Levels Drone Survey'!BT60</f>
        <v>-0.19113181818181602</v>
      </c>
      <c r="BU60" s="191">
        <f>'Functional Levels Drone Survey'!BU60-'Existing Levels Drone Survey'!BU60</f>
        <v>-0.1641318181818292</v>
      </c>
      <c r="BV60" s="191">
        <f>'Functional Levels Drone Survey'!BV60-'Existing Levels Drone Survey'!BV60</f>
        <v>-0.1028318181818122</v>
      </c>
      <c r="BW60" s="191">
        <f>'Functional Levels Drone Survey'!BW60-'Existing Levels Drone Survey'!BW60</f>
        <v>-0.22523181818183957</v>
      </c>
      <c r="BX60" s="191">
        <f>'Functional Levels Drone Survey'!BX60-'Existing Levels Drone Survey'!BX60</f>
        <v>-0.11293181818183484</v>
      </c>
      <c r="BY60" s="191">
        <f>'Functional Levels Drone Survey'!BY60-'Existing Levels Drone Survey'!BY60</f>
        <v>-0.18423181818184275</v>
      </c>
      <c r="BZ60" s="191">
        <f>'Functional Levels Drone Survey'!BZ60-'Existing Levels Drone Survey'!BZ60</f>
        <v>2.3568181818177436E-2</v>
      </c>
      <c r="CA60" s="191">
        <f>'Functional Levels Drone Survey'!CA60-'Existing Levels Drone Survey'!CA60</f>
        <v>-2.2318181818263838E-3</v>
      </c>
      <c r="CB60" s="191">
        <f>'Functional Levels Drone Survey'!CB60-'Existing Levels Drone Survey'!CB60</f>
        <v>-6.2318181818454832E-3</v>
      </c>
      <c r="CC60" s="279">
        <f>'Functional Levels Drone Survey'!CC60-'Existing Levels Drone Survey'!CC60</f>
        <v>9.4304761904709267E-2</v>
      </c>
      <c r="CD60" s="191">
        <f>'Functional Levels Drone Survey'!CD60-'Existing Levels Drone Survey'!CD60</f>
        <v>0.13210476190471354</v>
      </c>
      <c r="CE60" s="191">
        <f>'Functional Levels Drone Survey'!CE60-'Existing Levels Drone Survey'!CE60</f>
        <v>0.15220476190472709</v>
      </c>
      <c r="CF60" s="191">
        <f>'Functional Levels Drone Survey'!CF60-'Existing Levels Drone Survey'!CF60</f>
        <v>0.10930476190469562</v>
      </c>
      <c r="CG60" s="191">
        <f>'Functional Levels Drone Survey'!CG60-'Existing Levels Drone Survey'!CG60</f>
        <v>0.13690476190470235</v>
      </c>
      <c r="CH60" s="191">
        <f>'Functional Levels Drone Survey'!CH60-'Existing Levels Drone Survey'!CH60</f>
        <v>0.13110476190473719</v>
      </c>
      <c r="CI60" s="191">
        <f>'Functional Levels Drone Survey'!CI60-'Existing Levels Drone Survey'!CI60</f>
        <v>0.22700476190470908</v>
      </c>
      <c r="CJ60" s="191">
        <f>'Functional Levels Drone Survey'!CJ60-'Existing Levels Drone Survey'!CJ60</f>
        <v>0.22980476190468835</v>
      </c>
      <c r="CK60" s="191">
        <f>'Functional Levels Drone Survey'!CK60-'Existing Levels Drone Survey'!CK60</f>
        <v>0.22500476190469954</v>
      </c>
      <c r="CL60" s="191">
        <f>'Functional Levels Drone Survey'!CL60-'Existing Levels Drone Survey'!CL60</f>
        <v>0.23040476190470827</v>
      </c>
      <c r="CM60" s="191">
        <f>'Functional Levels Drone Survey'!CM60-'Existing Levels Drone Survey'!CM60</f>
        <v>0.24330476190471018</v>
      </c>
      <c r="CN60" s="191">
        <f>'Functional Levels Drone Survey'!CN60-'Existing Levels Drone Survey'!CN60</f>
        <v>0.25430476190473428</v>
      </c>
      <c r="CO60" s="191">
        <f>'Functional Levels Drone Survey'!CO60-'Existing Levels Drone Survey'!CO60</f>
        <v>0.21650476190473</v>
      </c>
      <c r="CP60" s="191">
        <f>'Functional Levels Drone Survey'!CP60-'Existing Levels Drone Survey'!CP60</f>
        <v>0.24220476190470208</v>
      </c>
      <c r="CQ60" s="191">
        <f>'Functional Levels Drone Survey'!CQ60-'Existing Levels Drone Survey'!CQ60</f>
        <v>0.19880476190473928</v>
      </c>
      <c r="CR60" s="191">
        <f>'Functional Levels Drone Survey'!CR60-'Existing Levels Drone Survey'!CR60</f>
        <v>0.22580476190472609</v>
      </c>
      <c r="CS60" s="191">
        <f>'Functional Levels Drone Survey'!CS60-'Existing Levels Drone Survey'!CS60</f>
        <v>5.3704761904725729E-2</v>
      </c>
      <c r="CT60" s="191">
        <f>'Functional Levels Drone Survey'!CT60-'Existing Levels Drone Survey'!CT60</f>
        <v>0.20600476190469408</v>
      </c>
      <c r="CU60" s="191">
        <f>'Functional Levels Drone Survey'!CU60-'Existing Levels Drone Survey'!CU60</f>
        <v>0.31820476190472391</v>
      </c>
      <c r="CV60" s="191">
        <f>'Functional Levels Drone Survey'!CV60-'Existing Levels Drone Survey'!CV60</f>
        <v>0.40690476190474101</v>
      </c>
      <c r="CW60" s="279">
        <f>'Functional Levels Drone Survey'!CW60-'Existing Levels Drone Survey'!CW60</f>
        <v>0.36390476190473464</v>
      </c>
      <c r="CX60" s="191">
        <f>'Functional Levels Drone Survey'!CX60-'Existing Levels Drone Survey'!CX60</f>
        <v>0.10646666666656301</v>
      </c>
      <c r="CY60" s="279">
        <f>'Functional Levels Drone Survey'!CY60-'Existing Levels Drone Survey'!CY60</f>
        <v>0.15976666666654182</v>
      </c>
      <c r="CZ60" s="191">
        <f>'Functional Levels Drone Survey'!CZ60-'Existing Levels Drone Survey'!CZ60</f>
        <v>0.10086666666654764</v>
      </c>
      <c r="DA60" s="191">
        <f>'Functional Levels Drone Survey'!DA60-'Existing Levels Drone Survey'!DA60</f>
        <v>0.15836666666655219</v>
      </c>
      <c r="DB60" s="191">
        <f>'Functional Levels Drone Survey'!DB60-'Existing Levels Drone Survey'!DB60</f>
        <v>0.16146666666656984</v>
      </c>
      <c r="DC60" s="191">
        <f>'Functional Levels Drone Survey'!DC60-'Existing Levels Drone Survey'!DC60</f>
        <v>0.11916666666655829</v>
      </c>
      <c r="DD60" s="191">
        <f>'Functional Levels Drone Survey'!DD60-'Existing Levels Drone Survey'!DD60</f>
        <v>0.20266666666657329</v>
      </c>
      <c r="DE60" s="191">
        <f>'Functional Levels Drone Survey'!DE60-'Existing Levels Drone Survey'!DE60</f>
        <v>0.11746666666658712</v>
      </c>
      <c r="DF60" s="191">
        <f>'Functional Levels Drone Survey'!DF60-'Existing Levels Drone Survey'!DF60</f>
        <v>0.18176666666659003</v>
      </c>
      <c r="DG60" s="191">
        <f>'Functional Levels Drone Survey'!DG60-'Existing Levels Drone Survey'!DG60</f>
        <v>0.20886666666655174</v>
      </c>
      <c r="DH60" s="191">
        <f>'Functional Levels Drone Survey'!DH60-'Existing Levels Drone Survey'!DH60</f>
        <v>0.22856666666655201</v>
      </c>
      <c r="DI60" s="191">
        <f>'Functional Levels Drone Survey'!DI60-'Existing Levels Drone Survey'!DI60</f>
        <v>0.16706666666658521</v>
      </c>
      <c r="DJ60" s="191">
        <f>'Functional Levels Drone Survey'!DJ60-'Existing Levels Drone Survey'!DJ60</f>
        <v>0.23196666666655119</v>
      </c>
      <c r="DK60" s="191">
        <f>'Functional Levels Drone Survey'!DK60-'Existing Levels Drone Survey'!DK60</f>
        <v>0.29446666666655119</v>
      </c>
      <c r="DL60" s="191">
        <f>'Functional Levels Drone Survey'!DL60-'Existing Levels Drone Survey'!DL60</f>
        <v>0.19036666666653446</v>
      </c>
      <c r="DM60" s="191">
        <f>'Functional Levels Drone Survey'!DM60-'Existing Levels Drone Survey'!DM60</f>
        <v>0.18876666666653819</v>
      </c>
      <c r="DN60" s="191">
        <f>'Functional Levels Drone Survey'!DN60-'Existing Levels Drone Survey'!DN60</f>
        <v>0.24366666666657011</v>
      </c>
      <c r="DO60" s="191">
        <f>'Functional Levels Drone Survey'!DO60-'Existing Levels Drone Survey'!DO60</f>
        <v>0.22746666666654392</v>
      </c>
      <c r="DP60" s="191">
        <f>'Functional Levels Drone Survey'!DP60-'Existing Levels Drone Survey'!DP60</f>
        <v>0.18146666666655165</v>
      </c>
      <c r="DQ60" s="191">
        <f>'Functional Levels Drone Survey'!DQ60-'Existing Levels Drone Survey'!DQ60</f>
        <v>0.19006666666655292</v>
      </c>
      <c r="DR60" s="191">
        <f>'Functional Levels Drone Survey'!DR60-'Existing Levels Drone Survey'!DR60</f>
        <v>0.14456666666654883</v>
      </c>
      <c r="DS60" s="279">
        <f>'Functional Levels Drone Survey'!DS60-'Existing Levels Drone Survey'!DS60</f>
        <v>0.12186666666656265</v>
      </c>
      <c r="DT60" s="191">
        <f>'Functional Levels Drone Survey'!DT60-'Existing Levels Drone Survey'!DT60</f>
        <v>0.13456666666655792</v>
      </c>
      <c r="DU60" s="191">
        <f>'Functional Levels Drone Survey'!DU60-'Existing Levels Drone Survey'!DU60</f>
        <v>8.8866666666547189E-2</v>
      </c>
      <c r="DV60" s="278">
        <f>'Functional Levels Drone Survey'!DV60-'Existing Levels Drone Survey'!DV60</f>
        <v>-7.3133333333430528E-2</v>
      </c>
      <c r="DW60" s="191">
        <f>'Functional Levels Drone Survey'!DW60-'Existing Levels Drone Survey'!DW60</f>
        <v>0</v>
      </c>
      <c r="DX60" s="191">
        <f>'Functional Levels Drone Survey'!DX60-'Existing Levels Drone Survey'!DX60</f>
        <v>0</v>
      </c>
      <c r="DY60" s="191">
        <f>'Functional Levels Drone Survey'!DY60-'Existing Levels Drone Survey'!DY60</f>
        <v>0</v>
      </c>
      <c r="DZ60" s="191">
        <f>'Functional Levels Drone Survey'!DZ60-'Existing Levels Drone Survey'!DZ60</f>
        <v>0</v>
      </c>
      <c r="EA60" s="191">
        <f>'Functional Levels Drone Survey'!EA60-'Existing Levels Drone Survey'!EA60</f>
        <v>0</v>
      </c>
      <c r="EB60" s="191">
        <f>'Functional Levels Drone Survey'!EB60-'Existing Levels Drone Survey'!EB60</f>
        <v>0</v>
      </c>
      <c r="EC60" s="191">
        <f>'Functional Levels Drone Survey'!EC60-'Existing Levels Drone Survey'!EC60</f>
        <v>0</v>
      </c>
      <c r="ED60" s="191">
        <f>'Functional Levels Drone Survey'!ED60-'Existing Levels Drone Survey'!ED60</f>
        <v>0</v>
      </c>
      <c r="EE60" s="191">
        <f>'Functional Levels Drone Survey'!EE60-'Existing Levels Drone Survey'!EE60</f>
        <v>0</v>
      </c>
      <c r="EF60" s="191">
        <f>'Functional Levels Drone Survey'!EF60-'Existing Levels Drone Survey'!EF60</f>
        <v>0</v>
      </c>
      <c r="EG60" s="191">
        <f>'Functional Levels Drone Survey'!EG60-'Existing Levels Drone Survey'!EG60</f>
        <v>0</v>
      </c>
      <c r="EH60" s="191">
        <f>'Functional Levels Drone Survey'!EH60-'Existing Levels Drone Survey'!EH60</f>
        <v>0</v>
      </c>
      <c r="EI60" s="191">
        <f>'Functional Levels Drone Survey'!EI60-'Existing Levels Drone Survey'!EI60</f>
        <v>0</v>
      </c>
      <c r="EJ60" s="191">
        <f>'Functional Levels Drone Survey'!EJ60-'Existing Levels Drone Survey'!EJ60</f>
        <v>0</v>
      </c>
      <c r="EK60" s="191">
        <f>'Functional Levels Drone Survey'!EK60-'Existing Levels Drone Survey'!EK60</f>
        <v>0</v>
      </c>
      <c r="EL60" s="191">
        <f>'Functional Levels Drone Survey'!EL60-'Existing Levels Drone Survey'!EL60</f>
        <v>0</v>
      </c>
      <c r="EM60" s="191">
        <f>'Functional Levels Drone Survey'!EM60-'Existing Levels Drone Survey'!EM60</f>
        <v>0</v>
      </c>
      <c r="EN60" s="191">
        <f>'Functional Levels Drone Survey'!EN60-'Existing Levels Drone Survey'!EN60</f>
        <v>0</v>
      </c>
      <c r="EO60" s="191">
        <f>'Functional Levels Drone Survey'!EO60-'Existing Levels Drone Survey'!EO60</f>
        <v>0</v>
      </c>
      <c r="EP60" s="191">
        <f>'Functional Levels Drone Survey'!EP60-'Existing Levels Drone Survey'!EP60</f>
        <v>0</v>
      </c>
      <c r="EQ60" s="191">
        <f>'Functional Levels Drone Survey'!EQ60-'Existing Levels Drone Survey'!EQ60</f>
        <v>0</v>
      </c>
      <c r="ER60" s="191">
        <f>'Functional Levels Drone Survey'!ER60-'Existing Levels Drone Survey'!ER60</f>
        <v>0</v>
      </c>
      <c r="ES60" s="191">
        <f>'Functional Levels Drone Survey'!ES60-'Existing Levels Drone Survey'!ES60</f>
        <v>0</v>
      </c>
      <c r="ET60" s="191">
        <f>'Functional Levels Drone Survey'!ET60-'Existing Levels Drone Survey'!ET60</f>
        <v>0</v>
      </c>
      <c r="EU60" s="191">
        <f>'Functional Levels Drone Survey'!EU60-'Existing Levels Drone Survey'!EU60</f>
        <v>0</v>
      </c>
      <c r="EV60" s="191">
        <f>'Functional Levels Drone Survey'!EV60-'Existing Levels Drone Survey'!EV60</f>
        <v>0</v>
      </c>
      <c r="EW60" s="191">
        <f>'Functional Levels Drone Survey'!EW60-'Existing Levels Drone Survey'!EW60</f>
        <v>0</v>
      </c>
      <c r="EX60" s="191">
        <f>'Functional Levels Drone Survey'!EX60-'Existing Levels Drone Survey'!EX60</f>
        <v>0</v>
      </c>
      <c r="EY60" s="191">
        <f>'Functional Levels Drone Survey'!EY60-'Existing Levels Drone Survey'!EY60</f>
        <v>0</v>
      </c>
    </row>
    <row r="61" spans="1:155" ht="45" customHeight="1" x14ac:dyDescent="0.45">
      <c r="A61" s="277">
        <v>300</v>
      </c>
      <c r="B61" s="191">
        <f>'Functional Levels Drone Survey'!B61-'Existing Levels Drone Survey'!B61</f>
        <v>0</v>
      </c>
      <c r="C61" s="191">
        <f>'Functional Levels Drone Survey'!C61-'Existing Levels Drone Survey'!C61</f>
        <v>0</v>
      </c>
      <c r="D61" s="191">
        <f>'Functional Levels Drone Survey'!D61-'Existing Levels Drone Survey'!D61</f>
        <v>0</v>
      </c>
      <c r="E61" s="278">
        <f>'Functional Levels Drone Survey'!E61-'Existing Levels Drone Survey'!E61</f>
        <v>2.8804999999863412E-2</v>
      </c>
      <c r="F61" s="279">
        <f>'Functional Levels Drone Survey'!F61-'Existing Levels Drone Survey'!F61</f>
        <v>0.12160499999993135</v>
      </c>
      <c r="G61" s="191">
        <f>'Functional Levels Drone Survey'!G61-'Existing Levels Drone Survey'!G61</f>
        <v>0.1419049999998947</v>
      </c>
      <c r="H61" s="191">
        <f>'Functional Levels Drone Survey'!H61-'Existing Levels Drone Survey'!H61</f>
        <v>9.8504999999931897E-2</v>
      </c>
      <c r="I61" s="191">
        <f>'Functional Levels Drone Survey'!I61-'Existing Levels Drone Survey'!I61</f>
        <v>4.1504999999915526E-2</v>
      </c>
      <c r="J61" s="191">
        <f>'Functional Levels Drone Survey'!J61-'Existing Levels Drone Survey'!J61</f>
        <v>4.2404999999916981E-2</v>
      </c>
      <c r="K61" s="191">
        <f>'Functional Levels Drone Survey'!K61-'Existing Levels Drone Survey'!K61</f>
        <v>-4.8295000000109667E-2</v>
      </c>
      <c r="L61" s="191">
        <f>'Functional Levels Drone Survey'!L61-'Existing Levels Drone Survey'!L61</f>
        <v>-0.1181950000000711</v>
      </c>
      <c r="M61" s="191">
        <f>'Functional Levels Drone Survey'!M61-'Existing Levels Drone Survey'!M61</f>
        <v>-0.10329500000005964</v>
      </c>
      <c r="N61" s="191">
        <f>'Functional Levels Drone Survey'!N61-'Existing Levels Drone Survey'!N61</f>
        <v>-0.13199500000007447</v>
      </c>
      <c r="O61" s="191">
        <f>'Functional Levels Drone Survey'!O61-'Existing Levels Drone Survey'!O61</f>
        <v>-0.13209500000010621</v>
      </c>
      <c r="P61" s="191">
        <f>'Functional Levels Drone Survey'!P61-'Existing Levels Drone Survey'!P61</f>
        <v>-4.9500000011448719E-4</v>
      </c>
      <c r="Q61" s="191">
        <f>'Functional Levels Drone Survey'!Q61-'Existing Levels Drone Survey'!Q61</f>
        <v>9.0499999993198799E-4</v>
      </c>
      <c r="R61" s="191">
        <f>'Functional Levels Drone Survey'!R61-'Existing Levels Drone Survey'!R61</f>
        <v>8.5049999999000647E-3</v>
      </c>
      <c r="S61" s="191">
        <f>'Functional Levels Drone Survey'!S61-'Existing Levels Drone Survey'!S61</f>
        <v>1.2304999999912525E-2</v>
      </c>
      <c r="T61" s="191">
        <f>'Functional Levels Drone Survey'!T61-'Existing Levels Drone Survey'!T61</f>
        <v>2.8704999999888514E-2</v>
      </c>
      <c r="U61" s="191">
        <f>'Functional Levels Drone Survey'!U61-'Existing Levels Drone Survey'!U61</f>
        <v>1.6704999999888059E-2</v>
      </c>
      <c r="V61" s="191">
        <f>'Functional Levels Drone Survey'!V61-'Existing Levels Drone Survey'!V61</f>
        <v>4.8304999999913889E-2</v>
      </c>
      <c r="W61" s="191">
        <f>'Functional Levels Drone Survey'!W61-'Existing Levels Drone Survey'!W61</f>
        <v>3.9104999999892698E-2</v>
      </c>
      <c r="X61" s="191">
        <f>'Functional Levels Drone Survey'!X61-'Existing Levels Drone Survey'!X61</f>
        <v>1.850499999989097E-2</v>
      </c>
      <c r="Y61" s="279">
        <f>'Functional Levels Drone Survey'!Y61-'Existing Levels Drone Survey'!Y61</f>
        <v>1.0904999999922893E-2</v>
      </c>
      <c r="Z61" s="191">
        <f>'Functional Levels Drone Survey'!Z61-'Existing Levels Drone Survey'!Z61</f>
        <v>-0.21199500000005855</v>
      </c>
      <c r="AA61" s="191">
        <f>'Functional Levels Drone Survey'!AA61-'Existing Levels Drone Survey'!AA61</f>
        <v>-0.22989500000005592</v>
      </c>
      <c r="AB61" s="191">
        <f>'Functional Levels Drone Survey'!AB61-'Existing Levels Drone Survey'!AB61</f>
        <v>-0.22759500000006483</v>
      </c>
      <c r="AC61" s="191">
        <f>'Functional Levels Drone Survey'!AC61-'Existing Levels Drone Survey'!AC61</f>
        <v>-0.21855714285726435</v>
      </c>
      <c r="AD61" s="191">
        <f>'Functional Levels Drone Survey'!AD61-'Existing Levels Drone Survey'!AD61</f>
        <v>-0.21825714285728282</v>
      </c>
      <c r="AE61" s="191">
        <f>'Functional Levels Drone Survey'!AE61-'Existing Levels Drone Survey'!AE61</f>
        <v>-0.38455714285731801</v>
      </c>
      <c r="AF61" s="191">
        <f>'Functional Levels Drone Survey'!AF61-'Existing Levels Drone Survey'!AF61</f>
        <v>-0.41875714285731647</v>
      </c>
      <c r="AG61" s="191">
        <f>'Functional Levels Drone Survey'!AG61-'Existing Levels Drone Survey'!AG61</f>
        <v>-0.46935714285729091</v>
      </c>
      <c r="AH61" s="191">
        <f>'Functional Levels Drone Survey'!AH61-'Existing Levels Drone Survey'!AH61</f>
        <v>-0.23415714285727063</v>
      </c>
      <c r="AI61" s="191">
        <f>'Functional Levels Drone Survey'!AI61-'Existing Levels Drone Survey'!AI61</f>
        <v>-0.21805714285727618</v>
      </c>
      <c r="AJ61" s="191">
        <f>'Functional Levels Drone Survey'!AJ61-'Existing Levels Drone Survey'!AJ61</f>
        <v>-0.23195714285731128</v>
      </c>
      <c r="AK61" s="191">
        <f>'Functional Levels Drone Survey'!AK61-'Existing Levels Drone Survey'!AK61</f>
        <v>-0.20445714285727945</v>
      </c>
      <c r="AL61" s="191">
        <f>'Functional Levels Drone Survey'!AL61-'Existing Levels Drone Survey'!AL61</f>
        <v>-0.20185714285730683</v>
      </c>
      <c r="AM61" s="191">
        <f>'Functional Levels Drone Survey'!AM61-'Existing Levels Drone Survey'!AM61</f>
        <v>-0.19005714285731301</v>
      </c>
      <c r="AN61" s="191">
        <f>'Functional Levels Drone Survey'!AN61-'Existing Levels Drone Survey'!AN61</f>
        <v>-0.17375714285731192</v>
      </c>
      <c r="AO61" s="191">
        <f>'Functional Levels Drone Survey'!AO61-'Existing Levels Drone Survey'!AO61</f>
        <v>-0.16665714285727518</v>
      </c>
      <c r="AP61" s="191">
        <f>'Functional Levels Drone Survey'!AP61-'Existing Levels Drone Survey'!AP61</f>
        <v>-0.15195714285727036</v>
      </c>
      <c r="AQ61" s="191">
        <f>'Functional Levels Drone Survey'!AQ61-'Existing Levels Drone Survey'!AQ61</f>
        <v>-0.13815714285726699</v>
      </c>
      <c r="AR61" s="191">
        <f>'Functional Levels Drone Survey'!AR61-'Existing Levels Drone Survey'!AR61</f>
        <v>-0.12555714285730346</v>
      </c>
      <c r="AS61" s="191">
        <f>'Functional Levels Drone Survey'!AS61-'Existing Levels Drone Survey'!AS61</f>
        <v>-0.3011571428572779</v>
      </c>
      <c r="AT61" s="191">
        <f>'Functional Levels Drone Survey'!AT61-'Existing Levels Drone Survey'!AT61</f>
        <v>-1.1157142857314284E-2</v>
      </c>
      <c r="AU61" s="191">
        <f>'Functional Levels Drone Survey'!AU61-'Existing Levels Drone Survey'!AU61</f>
        <v>-6.4457142857293093E-2</v>
      </c>
      <c r="AV61" s="191">
        <f>'Functional Levels Drone Survey'!AV61-'Existing Levels Drone Survey'!AV61</f>
        <v>-7.3447619047840362E-2</v>
      </c>
      <c r="AW61" s="191">
        <f>'Functional Levels Drone Survey'!AW61-'Existing Levels Drone Survey'!AW61</f>
        <v>-4.6847619047866829E-2</v>
      </c>
      <c r="AX61" s="191">
        <f>'Functional Levels Drone Survey'!AX61-'Existing Levels Drone Survey'!AX61</f>
        <v>-1.6347619047849093E-2</v>
      </c>
      <c r="AY61" s="191">
        <f>'Functional Levels Drone Survey'!AY61-'Existing Levels Drone Survey'!AY61</f>
        <v>9.0523809521414478E-3</v>
      </c>
      <c r="AZ61" s="191">
        <f>'Functional Levels Drone Survey'!AZ61-'Existing Levels Drone Survey'!AZ61</f>
        <v>1.2523809521667317E-3</v>
      </c>
      <c r="BA61" s="191">
        <f>'Functional Levels Drone Survey'!BA61-'Existing Levels Drone Survey'!BA61</f>
        <v>1.8352380952137537E-2</v>
      </c>
      <c r="BB61" s="191">
        <f>'Functional Levels Drone Survey'!BB61-'Existing Levels Drone Survey'!BB61</f>
        <v>5.2380952183739282E-5</v>
      </c>
      <c r="BC61" s="191">
        <f>'Functional Levels Drone Survey'!BC61-'Existing Levels Drone Survey'!BC61</f>
        <v>-1.8747619047815078E-2</v>
      </c>
      <c r="BD61" s="191">
        <f>'Functional Levels Drone Survey'!BD61-'Existing Levels Drone Survey'!BD61</f>
        <v>-1.9047619047853459E-2</v>
      </c>
      <c r="BE61" s="191">
        <f>'Functional Levels Drone Survey'!BE61-'Existing Levels Drone Survey'!BE61</f>
        <v>-0.16764761904784109</v>
      </c>
      <c r="BF61" s="191">
        <f>'Functional Levels Drone Survey'!BF61-'Existing Levels Drone Survey'!BF61</f>
        <v>-0.19954761904784846</v>
      </c>
      <c r="BG61" s="191">
        <f>'Functional Levels Drone Survey'!BG61-'Existing Levels Drone Survey'!BG61</f>
        <v>-0.23784761904784091</v>
      </c>
      <c r="BH61" s="191">
        <f>'Functional Levels Drone Survey'!BH61-'Existing Levels Drone Survey'!BH61</f>
        <v>-0.11884761904781271</v>
      </c>
      <c r="BI61" s="191">
        <f>'Functional Levels Drone Survey'!BI61-'Existing Levels Drone Survey'!BI61</f>
        <v>-6.1847619047853186E-2</v>
      </c>
      <c r="BJ61" s="191">
        <f>'Functional Levels Drone Survey'!BJ61-'Existing Levels Drone Survey'!BJ61</f>
        <v>-5.9547619047862099E-2</v>
      </c>
      <c r="BK61" s="191">
        <f>'Functional Levels Drone Survey'!BK61-'Existing Levels Drone Survey'!BK61</f>
        <v>-2.8147619047842909E-2</v>
      </c>
      <c r="BL61" s="191">
        <f>'Functional Levels Drone Survey'!BL61-'Existing Levels Drone Survey'!BL61</f>
        <v>-0.18834761904781772</v>
      </c>
      <c r="BM61" s="191">
        <f>'Functional Levels Drone Survey'!BM61-'Existing Levels Drone Survey'!BM61</f>
        <v>-4.5847619047833632E-2</v>
      </c>
      <c r="BN61" s="191">
        <f>'Functional Levels Drone Survey'!BN61-'Existing Levels Drone Survey'!BN61</f>
        <v>-4.2247619047827811E-2</v>
      </c>
      <c r="BO61" s="191">
        <f>'Functional Levels Drone Survey'!BO61-'Existing Levels Drone Survey'!BO61</f>
        <v>-0.14004761904783436</v>
      </c>
      <c r="BP61" s="191">
        <f>'Functional Levels Drone Survey'!BP61-'Existing Levels Drone Survey'!BP61</f>
        <v>-0.29764761904783654</v>
      </c>
      <c r="BQ61" s="191">
        <f>'Functional Levels Drone Survey'!BQ61-'Existing Levels Drone Survey'!BQ61</f>
        <v>-0.38784761904781817</v>
      </c>
      <c r="BR61" s="191">
        <f>'Functional Levels Drone Survey'!BR61-'Existing Levels Drone Survey'!BR61</f>
        <v>-0.33264761904786155</v>
      </c>
      <c r="BS61" s="191">
        <f>'Functional Levels Drone Survey'!BS61-'Existing Levels Drone Survey'!BS61</f>
        <v>-0.40653181818180428</v>
      </c>
      <c r="BT61" s="191">
        <f>'Functional Levels Drone Survey'!BT61-'Existing Levels Drone Survey'!BT61</f>
        <v>-0.40913181818183375</v>
      </c>
      <c r="BU61" s="191">
        <f>'Functional Levels Drone Survey'!BU61-'Existing Levels Drone Survey'!BU61</f>
        <v>-6.8831818181820381E-2</v>
      </c>
      <c r="BV61" s="191">
        <f>'Functional Levels Drone Survey'!BV61-'Existing Levels Drone Survey'!BV61</f>
        <v>-3.583181818180492E-2</v>
      </c>
      <c r="BW61" s="191">
        <f>'Functional Levels Drone Survey'!BW61-'Existing Levels Drone Survey'!BW61</f>
        <v>-2.5231818181794097E-2</v>
      </c>
      <c r="BX61" s="191">
        <f>'Functional Levels Drone Survey'!BX61-'Existing Levels Drone Survey'!BX61</f>
        <v>-3.0631818181802828E-2</v>
      </c>
      <c r="BY61" s="191">
        <f>'Functional Levels Drone Survey'!BY61-'Existing Levels Drone Survey'!BY61</f>
        <v>-4.2631818181803283E-2</v>
      </c>
      <c r="BZ61" s="191">
        <f>'Functional Levels Drone Survey'!BZ61-'Existing Levels Drone Survey'!BZ61</f>
        <v>-8.3181818183675205E-4</v>
      </c>
      <c r="CA61" s="191">
        <f>'Functional Levels Drone Survey'!CA61-'Existing Levels Drone Survey'!CA61</f>
        <v>-1.0831818181827657E-2</v>
      </c>
      <c r="CB61" s="191">
        <f>'Functional Levels Drone Survey'!CB61-'Existing Levels Drone Survey'!CB61</f>
        <v>-7.4318181818284756E-3</v>
      </c>
      <c r="CC61" s="279">
        <f>'Functional Levels Drone Survey'!CC61-'Existing Levels Drone Survey'!CC61</f>
        <v>5.2104761904729457E-2</v>
      </c>
      <c r="CD61" s="191">
        <f>'Functional Levels Drone Survey'!CD61-'Existing Levels Drone Survey'!CD61</f>
        <v>6.3604761904684892E-2</v>
      </c>
      <c r="CE61" s="191">
        <f>'Functional Levels Drone Survey'!CE61-'Existing Levels Drone Survey'!CE61</f>
        <v>8.2204761904677071E-2</v>
      </c>
      <c r="CF61" s="191">
        <f>'Functional Levels Drone Survey'!CF61-'Existing Levels Drone Survey'!CF61</f>
        <v>6.8904761904718725E-2</v>
      </c>
      <c r="CG61" s="191">
        <f>'Functional Levels Drone Survey'!CG61-'Existing Levels Drone Survey'!CG61</f>
        <v>6.040476190469235E-2</v>
      </c>
      <c r="CH61" s="191">
        <f>'Functional Levels Drone Survey'!CH61-'Existing Levels Drone Survey'!CH61</f>
        <v>6.9004761904693623E-2</v>
      </c>
      <c r="CI61" s="191">
        <f>'Functional Levels Drone Survey'!CI61-'Existing Levels Drone Survey'!CI61</f>
        <v>0.16340476190470099</v>
      </c>
      <c r="CJ61" s="191">
        <f>'Functional Levels Drone Survey'!CJ61-'Existing Levels Drone Survey'!CJ61</f>
        <v>0.17070476190468753</v>
      </c>
      <c r="CK61" s="191">
        <f>'Functional Levels Drone Survey'!CK61-'Existing Levels Drone Survey'!CK61</f>
        <v>0.17060476190471263</v>
      </c>
      <c r="CL61" s="191">
        <f>'Functional Levels Drone Survey'!CL61-'Existing Levels Drone Survey'!CL61</f>
        <v>0.176204761904728</v>
      </c>
      <c r="CM61" s="191">
        <f>'Functional Levels Drone Survey'!CM61-'Existing Levels Drone Survey'!CM61</f>
        <v>0.17970476190470208</v>
      </c>
      <c r="CN61" s="191">
        <f>'Functional Levels Drone Survey'!CN61-'Existing Levels Drone Survey'!CN61</f>
        <v>0.18460476190472264</v>
      </c>
      <c r="CO61" s="191">
        <f>'Functional Levels Drone Survey'!CO61-'Existing Levels Drone Survey'!CO61</f>
        <v>0.19930476190472746</v>
      </c>
      <c r="CP61" s="191">
        <f>'Functional Levels Drone Survey'!CP61-'Existing Levels Drone Survey'!CP61</f>
        <v>0.22330476190472837</v>
      </c>
      <c r="CQ61" s="191">
        <f>'Functional Levels Drone Survey'!CQ61-'Existing Levels Drone Survey'!CQ61</f>
        <v>0.18150476190470499</v>
      </c>
      <c r="CR61" s="191">
        <f>'Functional Levels Drone Survey'!CR61-'Existing Levels Drone Survey'!CR61</f>
        <v>0.31840476190473055</v>
      </c>
      <c r="CS61" s="191">
        <f>'Functional Levels Drone Survey'!CS61-'Existing Levels Drone Survey'!CS61</f>
        <v>0.25320476190472618</v>
      </c>
      <c r="CT61" s="191">
        <f>'Functional Levels Drone Survey'!CT61-'Existing Levels Drone Survey'!CT61</f>
        <v>0.32070476190472164</v>
      </c>
      <c r="CU61" s="191">
        <f>'Functional Levels Drone Survey'!CU61-'Existing Levels Drone Survey'!CU61</f>
        <v>0.25140476190472327</v>
      </c>
      <c r="CV61" s="191">
        <f>'Functional Levels Drone Survey'!CV61-'Existing Levels Drone Survey'!CV61</f>
        <v>0.31900476190469362</v>
      </c>
      <c r="CW61" s="279">
        <f>'Functional Levels Drone Survey'!CW61-'Existing Levels Drone Survey'!CW61</f>
        <v>0.32410476190472082</v>
      </c>
      <c r="CX61" s="191">
        <f>'Functional Levels Drone Survey'!CX61-'Existing Levels Drone Survey'!CX61</f>
        <v>0.10006666666652109</v>
      </c>
      <c r="CY61" s="279">
        <f>'Functional Levels Drone Survey'!CY61-'Existing Levels Drone Survey'!CY61</f>
        <v>0.15486666666657811</v>
      </c>
      <c r="CZ61" s="191">
        <f>'Functional Levels Drone Survey'!CZ61-'Existing Levels Drone Survey'!CZ61</f>
        <v>0.18146666666655165</v>
      </c>
      <c r="DA61" s="191">
        <f>'Functional Levels Drone Survey'!DA61-'Existing Levels Drone Survey'!DA61</f>
        <v>0.1198666666665531</v>
      </c>
      <c r="DB61" s="191">
        <f>'Functional Levels Drone Survey'!DB61-'Existing Levels Drone Survey'!DB61</f>
        <v>0.30536666666654355</v>
      </c>
      <c r="DC61" s="191">
        <f>'Functional Levels Drone Survey'!DC61-'Existing Levels Drone Survey'!DC61</f>
        <v>0.14266666666657102</v>
      </c>
      <c r="DD61" s="191">
        <f>'Functional Levels Drone Survey'!DD61-'Existing Levels Drone Survey'!DD61</f>
        <v>0.14776666666654137</v>
      </c>
      <c r="DE61" s="191">
        <f>'Functional Levels Drone Survey'!DE61-'Existing Levels Drone Survey'!DE61</f>
        <v>7.5466666666557103E-2</v>
      </c>
      <c r="DF61" s="191">
        <f>'Functional Levels Drone Survey'!DF61-'Existing Levels Drone Survey'!DF61</f>
        <v>0.12816666666657284</v>
      </c>
      <c r="DG61" s="191">
        <f>'Functional Levels Drone Survey'!DG61-'Existing Levels Drone Survey'!DG61</f>
        <v>9.9266666666551373E-2</v>
      </c>
      <c r="DH61" s="191">
        <f>'Functional Levels Drone Survey'!DH61-'Existing Levels Drone Survey'!DH61</f>
        <v>0.22836666666654537</v>
      </c>
      <c r="DI61" s="191">
        <f>'Functional Levels Drone Survey'!DI61-'Existing Levels Drone Survey'!DI61</f>
        <v>0.15086666666655901</v>
      </c>
      <c r="DJ61" s="191">
        <f>'Functional Levels Drone Survey'!DJ61-'Existing Levels Drone Survey'!DJ61</f>
        <v>0.15486666666657811</v>
      </c>
      <c r="DK61" s="191">
        <f>'Functional Levels Drone Survey'!DK61-'Existing Levels Drone Survey'!DK61</f>
        <v>0.30966666666654419</v>
      </c>
      <c r="DL61" s="191">
        <f>'Functional Levels Drone Survey'!DL61-'Existing Levels Drone Survey'!DL61</f>
        <v>0.24126666666654728</v>
      </c>
      <c r="DM61" s="191">
        <f>'Functional Levels Drone Survey'!DM61-'Existing Levels Drone Survey'!DM61</f>
        <v>0.20936666666653991</v>
      </c>
      <c r="DN61" s="191">
        <f>'Functional Levels Drone Survey'!DN61-'Existing Levels Drone Survey'!DN61</f>
        <v>0.19326666666654546</v>
      </c>
      <c r="DO61" s="191">
        <f>'Functional Levels Drone Survey'!DO61-'Existing Levels Drone Survey'!DO61</f>
        <v>0.23926666666653773</v>
      </c>
      <c r="DP61" s="191">
        <f>'Functional Levels Drone Survey'!DP61-'Existing Levels Drone Survey'!DP61</f>
        <v>9.6366666666540368E-2</v>
      </c>
      <c r="DQ61" s="191">
        <f>'Functional Levels Drone Survey'!DQ61-'Existing Levels Drone Survey'!DQ61</f>
        <v>4.486666666656447E-2</v>
      </c>
      <c r="DR61" s="191">
        <f>'Functional Levels Drone Survey'!DR61-'Existing Levels Drone Survey'!DR61</f>
        <v>3.1566666666549281E-2</v>
      </c>
      <c r="DS61" s="279">
        <f>'Functional Levels Drone Survey'!DS61-'Existing Levels Drone Survey'!DS61</f>
        <v>8.6766666666562742E-2</v>
      </c>
      <c r="DT61" s="191">
        <f>'Functional Levels Drone Survey'!DT61-'Existing Levels Drone Survey'!DT61</f>
        <v>-3.5333333333483097E-2</v>
      </c>
      <c r="DU61" s="191">
        <f>'Functional Levels Drone Survey'!DU61-'Existing Levels Drone Survey'!DU61</f>
        <v>-2.4733333333472274E-2</v>
      </c>
      <c r="DV61" s="278">
        <f>'Functional Levels Drone Survey'!DV61-'Existing Levels Drone Survey'!DV61</f>
        <v>-5.8833333333438986E-2</v>
      </c>
      <c r="DW61" s="191">
        <f>'Functional Levels Drone Survey'!DW61-'Existing Levels Drone Survey'!DW61</f>
        <v>0</v>
      </c>
      <c r="DX61" s="191">
        <f>'Functional Levels Drone Survey'!DX61-'Existing Levels Drone Survey'!DX61</f>
        <v>0</v>
      </c>
      <c r="DY61" s="191">
        <f>'Functional Levels Drone Survey'!DY61-'Existing Levels Drone Survey'!DY61</f>
        <v>0</v>
      </c>
      <c r="DZ61" s="191">
        <f>'Functional Levels Drone Survey'!DZ61-'Existing Levels Drone Survey'!DZ61</f>
        <v>0</v>
      </c>
      <c r="EA61" s="191">
        <f>'Functional Levels Drone Survey'!EA61-'Existing Levels Drone Survey'!EA61</f>
        <v>0</v>
      </c>
      <c r="EB61" s="191">
        <f>'Functional Levels Drone Survey'!EB61-'Existing Levels Drone Survey'!EB61</f>
        <v>0</v>
      </c>
      <c r="EC61" s="191">
        <f>'Functional Levels Drone Survey'!EC61-'Existing Levels Drone Survey'!EC61</f>
        <v>0</v>
      </c>
      <c r="ED61" s="191">
        <f>'Functional Levels Drone Survey'!ED61-'Existing Levels Drone Survey'!ED61</f>
        <v>0</v>
      </c>
      <c r="EE61" s="191">
        <f>'Functional Levels Drone Survey'!EE61-'Existing Levels Drone Survey'!EE61</f>
        <v>0</v>
      </c>
      <c r="EF61" s="191">
        <f>'Functional Levels Drone Survey'!EF61-'Existing Levels Drone Survey'!EF61</f>
        <v>0</v>
      </c>
      <c r="EG61" s="191">
        <f>'Functional Levels Drone Survey'!EG61-'Existing Levels Drone Survey'!EG61</f>
        <v>0</v>
      </c>
      <c r="EH61" s="191">
        <f>'Functional Levels Drone Survey'!EH61-'Existing Levels Drone Survey'!EH61</f>
        <v>0</v>
      </c>
      <c r="EI61" s="191">
        <f>'Functional Levels Drone Survey'!EI61-'Existing Levels Drone Survey'!EI61</f>
        <v>0</v>
      </c>
      <c r="EJ61" s="191">
        <f>'Functional Levels Drone Survey'!EJ61-'Existing Levels Drone Survey'!EJ61</f>
        <v>0</v>
      </c>
      <c r="EK61" s="191">
        <f>'Functional Levels Drone Survey'!EK61-'Existing Levels Drone Survey'!EK61</f>
        <v>0</v>
      </c>
      <c r="EL61" s="191">
        <f>'Functional Levels Drone Survey'!EL61-'Existing Levels Drone Survey'!EL61</f>
        <v>0</v>
      </c>
      <c r="EM61" s="191">
        <f>'Functional Levels Drone Survey'!EM61-'Existing Levels Drone Survey'!EM61</f>
        <v>0</v>
      </c>
      <c r="EN61" s="191">
        <f>'Functional Levels Drone Survey'!EN61-'Existing Levels Drone Survey'!EN61</f>
        <v>0</v>
      </c>
      <c r="EO61" s="191">
        <f>'Functional Levels Drone Survey'!EO61-'Existing Levels Drone Survey'!EO61</f>
        <v>0</v>
      </c>
      <c r="EP61" s="191">
        <f>'Functional Levels Drone Survey'!EP61-'Existing Levels Drone Survey'!EP61</f>
        <v>0</v>
      </c>
      <c r="EQ61" s="191">
        <f>'Functional Levels Drone Survey'!EQ61-'Existing Levels Drone Survey'!EQ61</f>
        <v>0</v>
      </c>
      <c r="ER61" s="191">
        <f>'Functional Levels Drone Survey'!ER61-'Existing Levels Drone Survey'!ER61</f>
        <v>0</v>
      </c>
      <c r="ES61" s="191">
        <f>'Functional Levels Drone Survey'!ES61-'Existing Levels Drone Survey'!ES61</f>
        <v>0</v>
      </c>
      <c r="ET61" s="191">
        <f>'Functional Levels Drone Survey'!ET61-'Existing Levels Drone Survey'!ET61</f>
        <v>0</v>
      </c>
      <c r="EU61" s="191">
        <f>'Functional Levels Drone Survey'!EU61-'Existing Levels Drone Survey'!EU61</f>
        <v>0</v>
      </c>
      <c r="EV61" s="191">
        <f>'Functional Levels Drone Survey'!EV61-'Existing Levels Drone Survey'!EV61</f>
        <v>0</v>
      </c>
      <c r="EW61" s="191">
        <f>'Functional Levels Drone Survey'!EW61-'Existing Levels Drone Survey'!EW61</f>
        <v>0</v>
      </c>
      <c r="EX61" s="191">
        <f>'Functional Levels Drone Survey'!EX61-'Existing Levels Drone Survey'!EX61</f>
        <v>0</v>
      </c>
      <c r="EY61" s="191">
        <f>'Functional Levels Drone Survey'!EY61-'Existing Levels Drone Survey'!EY61</f>
        <v>0</v>
      </c>
    </row>
    <row r="62" spans="1:155" ht="45" customHeight="1" x14ac:dyDescent="0.45">
      <c r="A62" s="277">
        <v>305</v>
      </c>
      <c r="B62" s="191">
        <f>'Functional Levels Drone Survey'!B62-'Existing Levels Drone Survey'!B62</f>
        <v>0</v>
      </c>
      <c r="C62" s="191">
        <f>'Functional Levels Drone Survey'!C62-'Existing Levels Drone Survey'!C62</f>
        <v>0</v>
      </c>
      <c r="D62" s="191">
        <f>'Functional Levels Drone Survey'!D62-'Existing Levels Drone Survey'!D62</f>
        <v>0</v>
      </c>
      <c r="E62" s="278">
        <f>'Functional Levels Drone Survey'!E62-'Existing Levels Drone Survey'!E62</f>
        <v>-0.20459500000009712</v>
      </c>
      <c r="F62" s="279">
        <f>'Functional Levels Drone Survey'!F62-'Existing Levels Drone Survey'!F62</f>
        <v>-6.6495000000088567E-2</v>
      </c>
      <c r="G62" s="279">
        <f>'Functional Levels Drone Survey'!G62-'Existing Levels Drone Survey'!G62</f>
        <v>-2.6595000000099844E-2</v>
      </c>
      <c r="H62" s="279">
        <f>'Functional Levels Drone Survey'!H62-'Existing Levels Drone Survey'!H62</f>
        <v>-4.1195000000072923E-2</v>
      </c>
      <c r="I62" s="279">
        <f>'Functional Levels Drone Survey'!I62-'Existing Levels Drone Survey'!I62</f>
        <v>-3.9795000000083292E-2</v>
      </c>
      <c r="J62" s="279">
        <f>'Functional Levels Drone Survey'!J62-'Existing Levels Drone Survey'!J62</f>
        <v>-1.5195000000119308E-2</v>
      </c>
      <c r="K62" s="279">
        <f>'Functional Levels Drone Survey'!K62-'Existing Levels Drone Survey'!K62</f>
        <v>-3.0595000000118944E-2</v>
      </c>
      <c r="L62" s="279">
        <f>'Functional Levels Drone Survey'!L62-'Existing Levels Drone Survey'!L62</f>
        <v>-4.0895000000091386E-2</v>
      </c>
      <c r="M62" s="279">
        <f>'Functional Levels Drone Survey'!M62-'Existing Levels Drone Survey'!M62</f>
        <v>-1.5195000000119308E-2</v>
      </c>
      <c r="N62" s="279">
        <f>'Functional Levels Drone Survey'!N62-'Existing Levels Drone Survey'!N62</f>
        <v>-9.2495000000099026E-2</v>
      </c>
      <c r="O62" s="279">
        <f>'Functional Levels Drone Survey'!O62-'Existing Levels Drone Survey'!O62</f>
        <v>-0.11609500000008666</v>
      </c>
      <c r="P62" s="279">
        <f>'Functional Levels Drone Survey'!P62-'Existing Levels Drone Survey'!P62</f>
        <v>-7.2695000000123855E-2</v>
      </c>
      <c r="Q62" s="279">
        <f>'Functional Levels Drone Survey'!Q62-'Existing Levels Drone Survey'!Q62</f>
        <v>-7.2995000000105392E-2</v>
      </c>
      <c r="R62" s="279">
        <f>'Functional Levels Drone Survey'!R62-'Existing Levels Drone Survey'!R62</f>
        <v>-8.1695000000081563E-2</v>
      </c>
      <c r="S62" s="279">
        <f>'Functional Levels Drone Survey'!S62-'Existing Levels Drone Survey'!S62</f>
        <v>-6.4295000000072378E-2</v>
      </c>
      <c r="T62" s="279">
        <f>'Functional Levels Drone Survey'!T62-'Existing Levels Drone Survey'!T62</f>
        <v>-4.9995000000080836E-2</v>
      </c>
      <c r="U62" s="279">
        <f>'Functional Levels Drone Survey'!U62-'Existing Levels Drone Survey'!U62</f>
        <v>-1.2995000000103119E-2</v>
      </c>
      <c r="V62" s="279">
        <f>'Functional Levels Drone Survey'!V62-'Existing Levels Drone Survey'!V62</f>
        <v>-6.5950000001180342E-3</v>
      </c>
      <c r="W62" s="279">
        <f>'Functional Levels Drone Survey'!W62-'Existing Levels Drone Survey'!W62</f>
        <v>-5.4950000001099397E-3</v>
      </c>
      <c r="X62" s="279">
        <f>'Functional Levels Drone Survey'!X62-'Existing Levels Drone Survey'!X62</f>
        <v>1.4804999999910251E-2</v>
      </c>
      <c r="Y62" s="279">
        <f>'Functional Levels Drone Survey'!Y62-'Existing Levels Drone Survey'!Y62</f>
        <v>-2.4950000001240369E-3</v>
      </c>
      <c r="Z62" s="191">
        <f>'Functional Levels Drone Survey'!Z62-'Existing Levels Drone Survey'!Z62</f>
        <v>-0.34365714285729609</v>
      </c>
      <c r="AA62" s="279">
        <f>'Functional Levels Drone Survey'!AA62-'Existing Levels Drone Survey'!AA62</f>
        <v>-0.11275714285727645</v>
      </c>
      <c r="AB62" s="279">
        <f>'Functional Levels Drone Survey'!AB62-'Existing Levels Drone Survey'!AB62</f>
        <v>-4.6357142857289091E-2</v>
      </c>
      <c r="AC62" s="279">
        <f>'Functional Levels Drone Survey'!AC62-'Existing Levels Drone Survey'!AC62</f>
        <v>-0.41015714285731519</v>
      </c>
      <c r="AD62" s="279">
        <f>'Functional Levels Drone Survey'!AD62-'Existing Levels Drone Survey'!AD62</f>
        <v>-0.72365714285729155</v>
      </c>
      <c r="AE62" s="279">
        <f>'Functional Levels Drone Survey'!AE62-'Existing Levels Drone Survey'!AE62</f>
        <v>-0.2588571428573232</v>
      </c>
      <c r="AF62" s="279">
        <f>'Functional Levels Drone Survey'!AF62-'Existing Levels Drone Survey'!AF62</f>
        <v>-5.4657142857308827E-2</v>
      </c>
      <c r="AG62" s="279">
        <f>'Functional Levels Drone Survey'!AG62-'Existing Levels Drone Survey'!AG62</f>
        <v>-4.4257142857304643E-2</v>
      </c>
      <c r="AH62" s="279">
        <f>'Functional Levels Drone Survey'!AH62-'Existing Levels Drone Survey'!AH62</f>
        <v>-4.095714285728036E-2</v>
      </c>
      <c r="AI62" s="279">
        <f>'Functional Levels Drone Survey'!AI62-'Existing Levels Drone Survey'!AI62</f>
        <v>-3.765714285731292E-2</v>
      </c>
      <c r="AJ62" s="279">
        <f>'Functional Levels Drone Survey'!AJ62-'Existing Levels Drone Survey'!AJ62</f>
        <v>-4.1057142857312101E-2</v>
      </c>
      <c r="AK62" s="279">
        <f>'Functional Levels Drone Survey'!AK62-'Existing Levels Drone Survey'!AK62</f>
        <v>-4.5257142857280996E-2</v>
      </c>
      <c r="AL62" s="279">
        <f>'Functional Levels Drone Survey'!AL62-'Existing Levels Drone Survey'!AL62</f>
        <v>-4.0257142857285544E-2</v>
      </c>
      <c r="AM62" s="279">
        <f>'Functional Levels Drone Survey'!AM62-'Existing Levels Drone Survey'!AM62</f>
        <v>-4.4257142857304643E-2</v>
      </c>
      <c r="AN62" s="279">
        <f>'Functional Levels Drone Survey'!AN62-'Existing Levels Drone Survey'!AN62</f>
        <v>-3.1057142857321196E-2</v>
      </c>
      <c r="AO62" s="279">
        <f>'Functional Levels Drone Survey'!AO62-'Existing Levels Drone Survey'!AO62</f>
        <v>-4.0257142857285544E-2</v>
      </c>
      <c r="AP62" s="279">
        <f>'Functional Levels Drone Survey'!AP62-'Existing Levels Drone Survey'!AP62</f>
        <v>-1.0257142857312829E-2</v>
      </c>
      <c r="AQ62" s="279">
        <f>'Functional Levels Drone Survey'!AQ62-'Existing Levels Drone Survey'!AQ62</f>
        <v>5.4285714270463359E-4</v>
      </c>
      <c r="AR62" s="279">
        <f>'Functional Levels Drone Survey'!AR62-'Existing Levels Drone Survey'!AR62</f>
        <v>-2.0257142857303734E-2</v>
      </c>
      <c r="AS62" s="279">
        <f>'Functional Levels Drone Survey'!AS62-'Existing Levels Drone Survey'!AS62</f>
        <v>-5.945714285729764E-2</v>
      </c>
      <c r="AT62" s="279">
        <f>'Functional Levels Drone Survey'!AT62-'Existing Levels Drone Survey'!AT62</f>
        <v>0.12314285714268181</v>
      </c>
      <c r="AU62" s="279">
        <f>'Functional Levels Drone Survey'!AU62-'Existing Levels Drone Survey'!AU62</f>
        <v>0.11794285714267971</v>
      </c>
      <c r="AV62" s="191">
        <f>'Functional Levels Drone Survey'!AV62-'Existing Levels Drone Survey'!AV62</f>
        <v>-4.1357142857179952E-2</v>
      </c>
      <c r="AW62" s="191">
        <f>'Functional Levels Drone Survey'!AW62-'Existing Levels Drone Survey'!AW62</f>
        <v>-3.4257142857200051E-2</v>
      </c>
      <c r="AX62" s="191">
        <f>'Functional Levels Drone Survey'!AX62-'Existing Levels Drone Survey'!AX62</f>
        <v>-3.8476190478604622E-3</v>
      </c>
      <c r="AY62" s="191">
        <f>'Functional Levels Drone Survey'!AY62-'Existing Levels Drone Survey'!AY62</f>
        <v>-6.847619047846365E-3</v>
      </c>
      <c r="AZ62" s="191">
        <f>'Functional Levels Drone Survey'!AZ62-'Existing Levels Drone Survey'!AZ62</f>
        <v>6.8523809521821022E-3</v>
      </c>
      <c r="BA62" s="191">
        <f>'Functional Levels Drone Survey'!BA62-'Existing Levels Drone Survey'!BA62</f>
        <v>3.2523809521762814E-3</v>
      </c>
      <c r="BB62" s="191">
        <f>'Functional Levels Drone Survey'!BB62-'Existing Levels Drone Survey'!BB62</f>
        <v>2.9523809521379007E-3</v>
      </c>
      <c r="BC62" s="191">
        <f>'Functional Levels Drone Survey'!BC62-'Existing Levels Drone Survey'!BC62</f>
        <v>1.0352380952156182E-2</v>
      </c>
      <c r="BD62" s="191">
        <f>'Functional Levels Drone Survey'!BD62-'Existing Levels Drone Survey'!BD62</f>
        <v>2.7852380952140265E-2</v>
      </c>
      <c r="BE62" s="191">
        <f>'Functional Levels Drone Survey'!BE62-'Existing Levels Drone Survey'!BE62</f>
        <v>-5.0547619047847547E-2</v>
      </c>
      <c r="BF62" s="191">
        <f>'Functional Levels Drone Survey'!BF62-'Existing Levels Drone Survey'!BF62</f>
        <v>-0.17454761904781435</v>
      </c>
      <c r="BG62" s="191">
        <f>'Functional Levels Drone Survey'!BG62-'Existing Levels Drone Survey'!BG62</f>
        <v>-0.26584761904786092</v>
      </c>
      <c r="BH62" s="191">
        <f>'Functional Levels Drone Survey'!BH62-'Existing Levels Drone Survey'!BH62</f>
        <v>-7.4847619047829994E-2</v>
      </c>
      <c r="BI62" s="191">
        <f>'Functional Levels Drone Survey'!BI62-'Existing Levels Drone Survey'!BI62</f>
        <v>-0.13384761904785591</v>
      </c>
      <c r="BJ62" s="191">
        <f>'Functional Levels Drone Survey'!BJ62-'Existing Levels Drone Survey'!BJ62</f>
        <v>-8.5047619047827538E-2</v>
      </c>
      <c r="BK62" s="191">
        <f>'Functional Levels Drone Survey'!BK62-'Existing Levels Drone Survey'!BK62</f>
        <v>-5.7947619047808985E-2</v>
      </c>
      <c r="BL62" s="191">
        <f>'Functional Levels Drone Survey'!BL62-'Existing Levels Drone Survey'!BL62</f>
        <v>-5.5647619047817898E-2</v>
      </c>
      <c r="BM62" s="191">
        <f>'Functional Levels Drone Survey'!BM62-'Existing Levels Drone Survey'!BM62</f>
        <v>-4.2847619047847729E-2</v>
      </c>
      <c r="BN62" s="191">
        <f>'Functional Levels Drone Survey'!BN62-'Existing Levels Drone Survey'!BN62</f>
        <v>-5.1447619047849003E-2</v>
      </c>
      <c r="BO62" s="191">
        <f>'Functional Levels Drone Survey'!BO62-'Existing Levels Drone Survey'!BO62</f>
        <v>-7.4347619047841818E-2</v>
      </c>
      <c r="BP62" s="191">
        <f>'Functional Levels Drone Survey'!BP62-'Existing Levels Drone Survey'!BP62</f>
        <v>-0.19584761904781089</v>
      </c>
      <c r="BQ62" s="191">
        <f>'Functional Levels Drone Survey'!BQ62-'Existing Levels Drone Survey'!BQ62</f>
        <v>-0.35814761904782699</v>
      </c>
      <c r="BR62" s="191">
        <f>'Functional Levels Drone Survey'!BR62-'Existing Levels Drone Survey'!BR62</f>
        <v>-0.54694761904784173</v>
      </c>
      <c r="BS62" s="191">
        <f>'Functional Levels Drone Survey'!BS62-'Existing Levels Drone Survey'!BS62</f>
        <v>-0.72803181818181884</v>
      </c>
      <c r="BT62" s="191">
        <f>'Functional Levels Drone Survey'!BT62-'Existing Levels Drone Survey'!BT62</f>
        <v>-0.53943181818181074</v>
      </c>
      <c r="BU62" s="191">
        <f>'Functional Levels Drone Survey'!BU62-'Existing Levels Drone Survey'!BU62</f>
        <v>-6.8031818181793824E-2</v>
      </c>
      <c r="BV62" s="191">
        <f>'Functional Levels Drone Survey'!BV62-'Existing Levels Drone Survey'!BV62</f>
        <v>-6.5731818181802737E-2</v>
      </c>
      <c r="BW62" s="191">
        <f>'Functional Levels Drone Survey'!BW62-'Existing Levels Drone Survey'!BW62</f>
        <v>-5.5031818181817016E-2</v>
      </c>
      <c r="BX62" s="191">
        <f>'Functional Levels Drone Survey'!BX62-'Existing Levels Drone Survey'!BX62</f>
        <v>-3.9231818181804101E-2</v>
      </c>
      <c r="BY62" s="191">
        <f>'Functional Levels Drone Survey'!BY62-'Existing Levels Drone Survey'!BY62</f>
        <v>-5.2131818181806011E-2</v>
      </c>
      <c r="BZ62" s="191">
        <f>'Functional Levels Drone Survey'!BZ62-'Existing Levels Drone Survey'!BZ62</f>
        <v>7.1368181818172616E-2</v>
      </c>
      <c r="CA62" s="191">
        <f>'Functional Levels Drone Survey'!CA62-'Existing Levels Drone Survey'!CA62</f>
        <v>1.4368181818156245E-2</v>
      </c>
      <c r="CB62" s="191">
        <f>'Functional Levels Drone Survey'!CB62-'Existing Levels Drone Survey'!CB62</f>
        <v>7.6681818181896233E-3</v>
      </c>
      <c r="CC62" s="279">
        <f>'Functional Levels Drone Survey'!CC62-'Existing Levels Drone Survey'!CC62</f>
        <v>1.1047619046848922E-3</v>
      </c>
      <c r="CD62" s="191">
        <f>'Functional Levels Drone Survey'!CD62-'Existing Levels Drone Survey'!CD62</f>
        <v>-1.2195238095330296E-2</v>
      </c>
      <c r="CE62" s="191">
        <f>'Functional Levels Drone Survey'!CE62-'Existing Levels Drone Survey'!CE62</f>
        <v>-7.6952380953230204E-3</v>
      </c>
      <c r="CF62" s="191">
        <f>'Functional Levels Drone Survey'!CF62-'Existing Levels Drone Survey'!CF62</f>
        <v>-7.4952380953163811E-3</v>
      </c>
      <c r="CG62" s="191">
        <f>'Functional Levels Drone Survey'!CG62-'Existing Levels Drone Survey'!CG62</f>
        <v>-8.0952380952794556E-3</v>
      </c>
      <c r="CH62" s="191">
        <f>'Functional Levels Drone Survey'!CH62-'Existing Levels Drone Survey'!CH62</f>
        <v>-1.9595238095291734E-2</v>
      </c>
      <c r="CI62" s="191">
        <f>'Functional Levels Drone Survey'!CI62-'Existing Levels Drone Survey'!CI62</f>
        <v>0.10250476190469726</v>
      </c>
      <c r="CJ62" s="191">
        <f>'Functional Levels Drone Survey'!CJ62-'Existing Levels Drone Survey'!CJ62</f>
        <v>0.10640476190468462</v>
      </c>
      <c r="CK62" s="191">
        <f>'Functional Levels Drone Survey'!CK62-'Existing Levels Drone Survey'!CK62</f>
        <v>0.1179047619046969</v>
      </c>
      <c r="CL62" s="191">
        <f>'Functional Levels Drone Survey'!CL62-'Existing Levels Drone Survey'!CL62</f>
        <v>0.10730476190468607</v>
      </c>
      <c r="CM62" s="191">
        <f>'Functional Levels Drone Survey'!CM62-'Existing Levels Drone Survey'!CM62</f>
        <v>0.121904761904716</v>
      </c>
      <c r="CN62" s="191">
        <f>'Functional Levels Drone Survey'!CN62-'Existing Levels Drone Survey'!CN62</f>
        <v>0.12420476190470708</v>
      </c>
      <c r="CO62" s="191">
        <f>'Functional Levels Drone Survey'!CO62-'Existing Levels Drone Survey'!CO62</f>
        <v>0.14110476190467125</v>
      </c>
      <c r="CP62" s="191">
        <f>'Functional Levels Drone Survey'!CP62-'Existing Levels Drone Survey'!CP62</f>
        <v>0.15810476190466716</v>
      </c>
      <c r="CQ62" s="191">
        <f>'Functional Levels Drone Survey'!CQ62-'Existing Levels Drone Survey'!CQ62</f>
        <v>0.13740476190469053</v>
      </c>
      <c r="CR62" s="191">
        <f>'Functional Levels Drone Survey'!CR62-'Existing Levels Drone Survey'!CR62</f>
        <v>0.17970476190470208</v>
      </c>
      <c r="CS62" s="191">
        <f>'Functional Levels Drone Survey'!CS62-'Existing Levels Drone Survey'!CS62</f>
        <v>5.3404761904687348E-2</v>
      </c>
      <c r="CT62" s="191">
        <f>'Functional Levels Drone Survey'!CT62-'Existing Levels Drone Survey'!CT62</f>
        <v>0.1250047619046768</v>
      </c>
      <c r="CU62" s="191">
        <f>'Functional Levels Drone Survey'!CU62-'Existing Levels Drone Survey'!CU62</f>
        <v>0.10230476190469062</v>
      </c>
      <c r="CV62" s="191">
        <f>'Functional Levels Drone Survey'!CV62-'Existing Levels Drone Survey'!CV62</f>
        <v>0.10480476190468835</v>
      </c>
      <c r="CW62" s="279">
        <f>'Functional Levels Drone Survey'!CW62-'Existing Levels Drone Survey'!CW62</f>
        <v>0.14080476190468971</v>
      </c>
      <c r="CX62" s="191">
        <f>'Functional Levels Drone Survey'!CX62-'Existing Levels Drone Survey'!CX62</f>
        <v>-7.5333333334697272E-3</v>
      </c>
      <c r="CY62" s="279">
        <f>'Functional Levels Drone Survey'!CY62-'Existing Levels Drone Survey'!CY62</f>
        <v>4.0766666666513629E-2</v>
      </c>
      <c r="CZ62" s="191">
        <f>'Functional Levels Drone Survey'!CZ62-'Existing Levels Drone Survey'!CZ62</f>
        <v>9.1466666666519814E-2</v>
      </c>
      <c r="DA62" s="191">
        <f>'Functional Levels Drone Survey'!DA62-'Existing Levels Drone Survey'!DA62</f>
        <v>5.6166666666513265E-2</v>
      </c>
      <c r="DB62" s="191">
        <f>'Functional Levels Drone Survey'!DB62-'Existing Levels Drone Survey'!DB62</f>
        <v>3.5666666665292723E-3</v>
      </c>
      <c r="DC62" s="191">
        <f>'Functional Levels Drone Survey'!DC62-'Existing Levels Drone Survey'!DC62</f>
        <v>6.1866666666560377E-2</v>
      </c>
      <c r="DD62" s="191">
        <f>'Functional Levels Drone Survey'!DD62-'Existing Levels Drone Survey'!DD62</f>
        <v>3.1666666666524179E-2</v>
      </c>
      <c r="DE62" s="191">
        <f>'Functional Levels Drone Survey'!DE62-'Existing Levels Drone Survey'!DE62</f>
        <v>-4.8833333333448081E-2</v>
      </c>
      <c r="DF62" s="191">
        <f>'Functional Levels Drone Survey'!DF62-'Existing Levels Drone Survey'!DF62</f>
        <v>8.7366666666525816E-2</v>
      </c>
      <c r="DG62" s="191">
        <f>'Functional Levels Drone Survey'!DG62-'Existing Levels Drone Survey'!DG62</f>
        <v>0.16746666666654164</v>
      </c>
      <c r="DH62" s="191">
        <f>'Functional Levels Drone Survey'!DH62-'Existing Levels Drone Survey'!DH62</f>
        <v>0.22916666666651508</v>
      </c>
      <c r="DI62" s="191">
        <f>'Functional Levels Drone Survey'!DI62-'Existing Levels Drone Survey'!DI62</f>
        <v>0.23206666666652609</v>
      </c>
      <c r="DJ62" s="191">
        <f>'Functional Levels Drone Survey'!DJ62-'Existing Levels Drone Survey'!DJ62</f>
        <v>0.2419666666665421</v>
      </c>
      <c r="DK62" s="191">
        <f>'Functional Levels Drone Survey'!DK62-'Existing Levels Drone Survey'!DK62</f>
        <v>0.20346666666654301</v>
      </c>
      <c r="DL62" s="191">
        <f>'Functional Levels Drone Survey'!DL62-'Existing Levels Drone Survey'!DL62</f>
        <v>9.446666666656256E-2</v>
      </c>
      <c r="DM62" s="191">
        <f>'Functional Levels Drone Survey'!DM62-'Existing Levels Drone Survey'!DM62</f>
        <v>0.16256666666652109</v>
      </c>
      <c r="DN62" s="191">
        <f>'Functional Levels Drone Survey'!DN62-'Existing Levels Drone Survey'!DN62</f>
        <v>3.7966666666534366E-2</v>
      </c>
      <c r="DO62" s="191">
        <f>'Functional Levels Drone Survey'!DO62-'Existing Levels Drone Survey'!DO62</f>
        <v>0.26746666666656438</v>
      </c>
      <c r="DP62" s="191">
        <f>'Functional Levels Drone Survey'!DP62-'Existing Levels Drone Survey'!DP62</f>
        <v>0.10596666666651799</v>
      </c>
      <c r="DQ62" s="191">
        <f>'Functional Levels Drone Survey'!DQ62-'Existing Levels Drone Survey'!DQ62</f>
        <v>1.6466666666531182E-2</v>
      </c>
      <c r="DR62" s="191">
        <f>'Functional Levels Drone Survey'!DR62-'Existing Levels Drone Survey'!DR62</f>
        <v>5.8666666665203593E-3</v>
      </c>
      <c r="DS62" s="279">
        <f>'Functional Levels Drone Survey'!DS62-'Existing Levels Drone Survey'!DS62</f>
        <v>-3.7033333333454266E-2</v>
      </c>
      <c r="DT62" s="191">
        <f>'Functional Levels Drone Survey'!DT62-'Existing Levels Drone Survey'!DT62</f>
        <v>-0.259133333333466</v>
      </c>
      <c r="DU62" s="191">
        <f>'Functional Levels Drone Survey'!DU62-'Existing Levels Drone Survey'!DU62</f>
        <v>-9.2933333333462542E-2</v>
      </c>
      <c r="DV62" s="191">
        <f>'Functional Levels Drone Survey'!DV62-'Existing Levels Drone Survey'!DV62</f>
        <v>-0.23953333333349747</v>
      </c>
      <c r="DW62" s="278">
        <f>'Functional Levels Drone Survey'!DW62-'Existing Levels Drone Survey'!DW62</f>
        <v>-4.2733333333444534E-2</v>
      </c>
      <c r="DX62" s="191">
        <f>'Functional Levels Drone Survey'!DX62-'Existing Levels Drone Survey'!DX62</f>
        <v>0</v>
      </c>
      <c r="DY62" s="191">
        <f>'Functional Levels Drone Survey'!DY62-'Existing Levels Drone Survey'!DY62</f>
        <v>0</v>
      </c>
      <c r="DZ62" s="191">
        <f>'Functional Levels Drone Survey'!DZ62-'Existing Levels Drone Survey'!DZ62</f>
        <v>0</v>
      </c>
      <c r="EA62" s="191">
        <f>'Functional Levels Drone Survey'!EA62-'Existing Levels Drone Survey'!EA62</f>
        <v>0</v>
      </c>
      <c r="EB62" s="191">
        <f>'Functional Levels Drone Survey'!EB62-'Existing Levels Drone Survey'!EB62</f>
        <v>0</v>
      </c>
      <c r="EC62" s="191">
        <f>'Functional Levels Drone Survey'!EC62-'Existing Levels Drone Survey'!EC62</f>
        <v>0</v>
      </c>
      <c r="ED62" s="191">
        <f>'Functional Levels Drone Survey'!ED62-'Existing Levels Drone Survey'!ED62</f>
        <v>0</v>
      </c>
      <c r="EE62" s="191">
        <f>'Functional Levels Drone Survey'!EE62-'Existing Levels Drone Survey'!EE62</f>
        <v>0</v>
      </c>
      <c r="EF62" s="191">
        <f>'Functional Levels Drone Survey'!EF62-'Existing Levels Drone Survey'!EF62</f>
        <v>0</v>
      </c>
      <c r="EG62" s="191">
        <f>'Functional Levels Drone Survey'!EG62-'Existing Levels Drone Survey'!EG62</f>
        <v>0</v>
      </c>
      <c r="EH62" s="191">
        <f>'Functional Levels Drone Survey'!EH62-'Existing Levels Drone Survey'!EH62</f>
        <v>0</v>
      </c>
      <c r="EI62" s="191">
        <f>'Functional Levels Drone Survey'!EI62-'Existing Levels Drone Survey'!EI62</f>
        <v>0</v>
      </c>
      <c r="EJ62" s="191">
        <f>'Functional Levels Drone Survey'!EJ62-'Existing Levels Drone Survey'!EJ62</f>
        <v>0</v>
      </c>
      <c r="EK62" s="191">
        <f>'Functional Levels Drone Survey'!EK62-'Existing Levels Drone Survey'!EK62</f>
        <v>0</v>
      </c>
      <c r="EL62" s="191">
        <f>'Functional Levels Drone Survey'!EL62-'Existing Levels Drone Survey'!EL62</f>
        <v>0</v>
      </c>
      <c r="EM62" s="191">
        <f>'Functional Levels Drone Survey'!EM62-'Existing Levels Drone Survey'!EM62</f>
        <v>0</v>
      </c>
      <c r="EN62" s="191">
        <f>'Functional Levels Drone Survey'!EN62-'Existing Levels Drone Survey'!EN62</f>
        <v>0</v>
      </c>
      <c r="EO62" s="191">
        <f>'Functional Levels Drone Survey'!EO62-'Existing Levels Drone Survey'!EO62</f>
        <v>0</v>
      </c>
      <c r="EP62" s="191">
        <f>'Functional Levels Drone Survey'!EP62-'Existing Levels Drone Survey'!EP62</f>
        <v>0</v>
      </c>
      <c r="EQ62" s="191">
        <f>'Functional Levels Drone Survey'!EQ62-'Existing Levels Drone Survey'!EQ62</f>
        <v>0</v>
      </c>
      <c r="ER62" s="191">
        <f>'Functional Levels Drone Survey'!ER62-'Existing Levels Drone Survey'!ER62</f>
        <v>0</v>
      </c>
      <c r="ES62" s="191">
        <f>'Functional Levels Drone Survey'!ES62-'Existing Levels Drone Survey'!ES62</f>
        <v>0</v>
      </c>
      <c r="ET62" s="191">
        <f>'Functional Levels Drone Survey'!ET62-'Existing Levels Drone Survey'!ET62</f>
        <v>0</v>
      </c>
      <c r="EU62" s="191">
        <f>'Functional Levels Drone Survey'!EU62-'Existing Levels Drone Survey'!EU62</f>
        <v>0</v>
      </c>
      <c r="EV62" s="191">
        <f>'Functional Levels Drone Survey'!EV62-'Existing Levels Drone Survey'!EV62</f>
        <v>0</v>
      </c>
      <c r="EW62" s="191">
        <f>'Functional Levels Drone Survey'!EW62-'Existing Levels Drone Survey'!EW62</f>
        <v>0</v>
      </c>
      <c r="EX62" s="191">
        <f>'Functional Levels Drone Survey'!EX62-'Existing Levels Drone Survey'!EX62</f>
        <v>0</v>
      </c>
      <c r="EY62" s="191">
        <f>'Functional Levels Drone Survey'!EY62-'Existing Levels Drone Survey'!EY62</f>
        <v>0</v>
      </c>
    </row>
    <row r="63" spans="1:155" ht="45" customHeight="1" x14ac:dyDescent="0.45">
      <c r="A63" s="277">
        <v>310</v>
      </c>
      <c r="B63" s="191">
        <f>'Functional Levels Drone Survey'!B63-'Existing Levels Drone Survey'!B63</f>
        <v>0</v>
      </c>
      <c r="C63" s="191">
        <f>'Functional Levels Drone Survey'!C63-'Existing Levels Drone Survey'!C63</f>
        <v>0</v>
      </c>
      <c r="D63" s="191">
        <f>'Functional Levels Drone Survey'!D63-'Existing Levels Drone Survey'!D63</f>
        <v>0</v>
      </c>
      <c r="E63" s="278">
        <f>'Functional Levels Drone Survey'!E63-'Existing Levels Drone Survey'!E63</f>
        <v>-0.27515555555572746</v>
      </c>
      <c r="F63" s="191">
        <f>'Functional Levels Drone Survey'!F63-'Existing Levels Drone Survey'!F63</f>
        <v>-0.11835555555569499</v>
      </c>
      <c r="G63" s="191">
        <f>'Functional Levels Drone Survey'!G63-'Existing Levels Drone Survey'!G63</f>
        <v>-0.12995555555568217</v>
      </c>
      <c r="H63" s="191">
        <f>'Functional Levels Drone Survey'!H63-'Existing Levels Drone Survey'!H63</f>
        <v>-0.11755555555572528</v>
      </c>
      <c r="I63" s="191">
        <f>'Functional Levels Drone Survey'!I63-'Existing Levels Drone Survey'!I63</f>
        <v>-0.16425555555571236</v>
      </c>
      <c r="J63" s="191">
        <f>'Functional Levels Drone Survey'!J63-'Existing Levels Drone Survey'!J63</f>
        <v>-0.14835555555572455</v>
      </c>
      <c r="K63" s="191">
        <f>'Functional Levels Drone Survey'!K63-'Existing Levels Drone Survey'!K63</f>
        <v>-0.14545555555571354</v>
      </c>
      <c r="L63" s="191">
        <f>'Functional Levels Drone Survey'!L63-'Existing Levels Drone Survey'!L63</f>
        <v>-0.19955555555571891</v>
      </c>
      <c r="M63" s="191">
        <f>'Functional Levels Drone Survey'!M63-'Existing Levels Drone Survey'!M63</f>
        <v>-0.10885555555569226</v>
      </c>
      <c r="N63" s="191">
        <f>'Functional Levels Drone Survey'!N63-'Existing Levels Drone Survey'!N63</f>
        <v>-0.24495555555569126</v>
      </c>
      <c r="O63" s="191">
        <f>'Functional Levels Drone Survey'!O63-'Existing Levels Drone Survey'!O63</f>
        <v>-0.18115555555567653</v>
      </c>
      <c r="P63" s="191">
        <f>'Functional Levels Drone Survey'!P63-'Existing Levels Drone Survey'!P63</f>
        <v>-0.19095555555571764</v>
      </c>
      <c r="Q63" s="191">
        <f>'Functional Levels Drone Survey'!Q63-'Existing Levels Drone Survey'!Q63</f>
        <v>-0.17205555555568708</v>
      </c>
      <c r="R63" s="191">
        <f>'Functional Levels Drone Survey'!R63-'Existing Levels Drone Survey'!R63</f>
        <v>-0.18225555555568462</v>
      </c>
      <c r="S63" s="191">
        <f>'Functional Levels Drone Survey'!S63-'Existing Levels Drone Survey'!S63</f>
        <v>-0.17625555555571282</v>
      </c>
      <c r="T63" s="191">
        <f>'Functional Levels Drone Survey'!T63-'Existing Levels Drone Survey'!T63</f>
        <v>-0.17825555555572237</v>
      </c>
      <c r="U63" s="191">
        <f>'Functional Levels Drone Survey'!U63-'Existing Levels Drone Survey'!U63</f>
        <v>-0.15455555555570299</v>
      </c>
      <c r="V63" s="191">
        <f>'Functional Levels Drone Survey'!V63-'Existing Levels Drone Survey'!V63</f>
        <v>-0.14615555555570836</v>
      </c>
      <c r="W63" s="191">
        <f>'Functional Levels Drone Survey'!W63-'Existing Levels Drone Survey'!W63</f>
        <v>-0.1342555555556828</v>
      </c>
      <c r="X63" s="191">
        <f>'Functional Levels Drone Survey'!X63-'Existing Levels Drone Survey'!X63</f>
        <v>-0.13215555555569836</v>
      </c>
      <c r="Y63" s="191">
        <f>'Functional Levels Drone Survey'!Y63-'Existing Levels Drone Survey'!Y63</f>
        <v>-0.11965555555570973</v>
      </c>
      <c r="Z63" s="191">
        <f>'Functional Levels Drone Survey'!Z63-'Existing Levels Drone Survey'!Z63</f>
        <v>-0.62145714285725262</v>
      </c>
      <c r="AA63" s="279">
        <f>'Functional Levels Drone Survey'!AA63-'Existing Levels Drone Survey'!AA63</f>
        <v>-0.85545714285728991</v>
      </c>
      <c r="AB63" s="191">
        <f>'Functional Levels Drone Survey'!AB63-'Existing Levels Drone Survey'!AB63</f>
        <v>-0.69905714285727072</v>
      </c>
      <c r="AC63" s="191">
        <f>'Functional Levels Drone Survey'!AC63-'Existing Levels Drone Survey'!AC63</f>
        <v>-8.6057142857271174E-2</v>
      </c>
      <c r="AD63" s="191">
        <f>'Functional Levels Drone Survey'!AD63-'Existing Levels Drone Survey'!AD63</f>
        <v>3.1542857142710545E-2</v>
      </c>
      <c r="AE63" s="191">
        <f>'Functional Levels Drone Survey'!AE63-'Existing Levels Drone Survey'!AE63</f>
        <v>6.5428571427332827E-3</v>
      </c>
      <c r="AF63" s="191">
        <f>'Functional Levels Drone Survey'!AF63-'Existing Levels Drone Survey'!AF63</f>
        <v>1.9942857142723369E-2</v>
      </c>
      <c r="AG63" s="191">
        <f>'Functional Levels Drone Survey'!AG63-'Existing Levels Drone Survey'!AG63</f>
        <v>1.8842857142715275E-2</v>
      </c>
      <c r="AH63" s="191">
        <f>'Functional Levels Drone Survey'!AH63-'Existing Levels Drone Survey'!AH63</f>
        <v>2.7442857142716548E-2</v>
      </c>
      <c r="AI63" s="191">
        <f>'Functional Levels Drone Survey'!AI63-'Existing Levels Drone Survey'!AI63</f>
        <v>1.774285714270718E-2</v>
      </c>
      <c r="AJ63" s="191">
        <f>'Functional Levels Drone Survey'!AJ63-'Existing Levels Drone Survey'!AJ63</f>
        <v>2.6742857142721732E-2</v>
      </c>
      <c r="AK63" s="191">
        <f>'Functional Levels Drone Survey'!AK63-'Existing Levels Drone Survey'!AK63</f>
        <v>1.1842857142710272E-2</v>
      </c>
      <c r="AL63" s="191">
        <f>'Functional Levels Drone Survey'!AL63-'Existing Levels Drone Survey'!AL63</f>
        <v>1.9342857142703451E-2</v>
      </c>
      <c r="AM63" s="191">
        <f>'Functional Levels Drone Survey'!AM63-'Existing Levels Drone Survey'!AM63</f>
        <v>5.3428571426934468E-3</v>
      </c>
      <c r="AN63" s="191">
        <f>'Functional Levels Drone Survey'!AN63-'Existing Levels Drone Survey'!AN63</f>
        <v>1.0428571426928102E-3</v>
      </c>
      <c r="AO63" s="191">
        <f>'Functional Levels Drone Survey'!AO63-'Existing Levels Drone Survey'!AO63</f>
        <v>3.4285714269799428E-4</v>
      </c>
      <c r="AP63" s="191">
        <f>'Functional Levels Drone Survey'!AP63-'Existing Levels Drone Survey'!AP63</f>
        <v>-7.2571428572700825E-3</v>
      </c>
      <c r="AQ63" s="191">
        <f>'Functional Levels Drone Survey'!AQ63-'Existing Levels Drone Survey'!AQ63</f>
        <v>2.4542857142705543E-2</v>
      </c>
      <c r="AR63" s="191">
        <f>'Functional Levels Drone Survey'!AR63-'Existing Levels Drone Survey'!AR63</f>
        <v>3.8428571427289171E-3</v>
      </c>
      <c r="AS63" s="191">
        <f>'Functional Levels Drone Survey'!AS63-'Existing Levels Drone Survey'!AS63</f>
        <v>-3.9257142857309191E-2</v>
      </c>
      <c r="AT63" s="191">
        <f>'Functional Levels Drone Survey'!AT63-'Existing Levels Drone Survey'!AT63</f>
        <v>0.14874285714273583</v>
      </c>
      <c r="AU63" s="279">
        <f>'Functional Levels Drone Survey'!AU63-'Existing Levels Drone Survey'!AU63</f>
        <v>0.132342857142703</v>
      </c>
      <c r="AV63" s="191">
        <f>'Functional Levels Drone Survey'!AV63-'Existing Levels Drone Survey'!AV63</f>
        <v>1.4742857142778121E-2</v>
      </c>
      <c r="AW63" s="191">
        <f>'Functional Levels Drone Survey'!AW63-'Existing Levels Drone Survey'!AW63</f>
        <v>-1.465714285723152E-2</v>
      </c>
      <c r="AX63" s="191">
        <f>'Functional Levels Drone Survey'!AX63-'Existing Levels Drone Survey'!AX63</f>
        <v>7.2352380952168005E-2</v>
      </c>
      <c r="AY63" s="191">
        <f>'Functional Levels Drone Survey'!AY63-'Existing Levels Drone Survey'!AY63</f>
        <v>9.9552380952161457E-2</v>
      </c>
      <c r="AZ63" s="191">
        <f>'Functional Levels Drone Survey'!AZ63-'Existing Levels Drone Survey'!AZ63</f>
        <v>8.7852380952199383E-2</v>
      </c>
      <c r="BA63" s="191">
        <f>'Functional Levels Drone Survey'!BA63-'Existing Levels Drone Survey'!BA63</f>
        <v>7.3152380952194562E-2</v>
      </c>
      <c r="BB63" s="191">
        <f>'Functional Levels Drone Survey'!BB63-'Existing Levels Drone Survey'!BB63</f>
        <v>8.9852380952208932E-2</v>
      </c>
      <c r="BC63" s="191">
        <f>'Functional Levels Drone Survey'!BC63-'Existing Levels Drone Survey'!BC63</f>
        <v>7.3652380952182739E-2</v>
      </c>
      <c r="BD63" s="191">
        <f>'Functional Levels Drone Survey'!BD63-'Existing Levels Drone Survey'!BD63</f>
        <v>9.5552380952199201E-2</v>
      </c>
      <c r="BE63" s="191">
        <f>'Functional Levels Drone Survey'!BE63-'Existing Levels Drone Survey'!BE63</f>
        <v>8.4252380952193562E-2</v>
      </c>
      <c r="BF63" s="191">
        <f>'Functional Levels Drone Survey'!BF63-'Existing Levels Drone Survey'!BF63</f>
        <v>8.3052380952210569E-2</v>
      </c>
      <c r="BG63" s="191">
        <f>'Functional Levels Drone Survey'!BG63-'Existing Levels Drone Survey'!BG63</f>
        <v>2.8523809521630028E-3</v>
      </c>
      <c r="BH63" s="191">
        <f>'Functional Levels Drone Survey'!BH63-'Existing Levels Drone Survey'!BH63</f>
        <v>5.0152380952170006E-2</v>
      </c>
      <c r="BI63" s="191">
        <f>'Functional Levels Drone Survey'!BI63-'Existing Levels Drone Survey'!BI63</f>
        <v>3.5552380952196927E-2</v>
      </c>
      <c r="BJ63" s="191">
        <f>'Functional Levels Drone Survey'!BJ63-'Existing Levels Drone Survey'!BJ63</f>
        <v>2.9752380952174917E-2</v>
      </c>
      <c r="BK63" s="191">
        <f>'Functional Levels Drone Survey'!BK63-'Existing Levels Drone Survey'!BK63</f>
        <v>4.2652380952176827E-2</v>
      </c>
      <c r="BL63" s="191">
        <f>'Functional Levels Drone Survey'!BL63-'Existing Levels Drone Survey'!BL63</f>
        <v>2.9852380952206659E-2</v>
      </c>
      <c r="BM63" s="191">
        <f>'Functional Levels Drone Survey'!BM63-'Existing Levels Drone Survey'!BM63</f>
        <v>3.8452380952207932E-2</v>
      </c>
      <c r="BN63" s="191">
        <f>'Functional Levels Drone Survey'!BN63-'Existing Levels Drone Survey'!BN63</f>
        <v>3.9352380952209387E-2</v>
      </c>
      <c r="BO63" s="191">
        <f>'Functional Levels Drone Survey'!BO63-'Existing Levels Drone Survey'!BO63</f>
        <v>3.0152380952188196E-2</v>
      </c>
      <c r="BP63" s="191">
        <f>'Functional Levels Drone Survey'!BP63-'Existing Levels Drone Survey'!BP63</f>
        <v>-9.8747619047799162E-2</v>
      </c>
      <c r="BQ63" s="191">
        <f>'Functional Levels Drone Survey'!BQ63-'Existing Levels Drone Survey'!BQ63</f>
        <v>-0.25944761904781899</v>
      </c>
      <c r="BR63" s="191">
        <f>'Functional Levels Drone Survey'!BR63-'Existing Levels Drone Survey'!BR63</f>
        <v>-0.35264761904778652</v>
      </c>
      <c r="BS63" s="191">
        <f>'Functional Levels Drone Survey'!BS63-'Existing Levels Drone Survey'!BS63</f>
        <v>-0.61843181818181847</v>
      </c>
      <c r="BT63" s="191">
        <f>'Functional Levels Drone Survey'!BT63-'Existing Levels Drone Survey'!BT63</f>
        <v>-0.58113181818180237</v>
      </c>
      <c r="BU63" s="191">
        <f>'Functional Levels Drone Survey'!BU63-'Existing Levels Drone Survey'!BU63</f>
        <v>-0.11083181818179355</v>
      </c>
      <c r="BV63" s="191">
        <f>'Functional Levels Drone Survey'!BV63-'Existing Levels Drone Survey'!BV63</f>
        <v>-9.6131818181845574E-2</v>
      </c>
      <c r="BW63" s="191">
        <f>'Functional Levels Drone Survey'!BW63-'Existing Levels Drone Survey'!BW63</f>
        <v>-7.2631818181832841E-2</v>
      </c>
      <c r="BX63" s="191">
        <f>'Functional Levels Drone Survey'!BX63-'Existing Levels Drone Survey'!BX63</f>
        <v>-4.2631818181803283E-2</v>
      </c>
      <c r="BY63" s="191">
        <f>'Functional Levels Drone Survey'!BY63-'Existing Levels Drone Survey'!BY63</f>
        <v>-2.8318181818463017E-3</v>
      </c>
      <c r="BZ63" s="191">
        <f>'Functional Levels Drone Survey'!BZ63-'Existing Levels Drone Survey'!BZ63</f>
        <v>1.4681818181543349E-3</v>
      </c>
      <c r="CA63" s="191">
        <f>'Functional Levels Drone Survey'!CA63-'Existing Levels Drone Survey'!CA63</f>
        <v>5.1568181818197445E-2</v>
      </c>
      <c r="CB63" s="191">
        <f>'Functional Levels Drone Survey'!CB63-'Existing Levels Drone Survey'!CB63</f>
        <v>3.2068181818203811E-2</v>
      </c>
      <c r="CC63" s="279">
        <f>'Functional Levels Drone Survey'!CC63-'Existing Levels Drone Survey'!CC63</f>
        <v>-4.9595238095321292E-2</v>
      </c>
      <c r="CD63" s="191">
        <f>'Functional Levels Drone Survey'!CD63-'Existing Levels Drone Survey'!CD63</f>
        <v>-7.9695238095325749E-2</v>
      </c>
      <c r="CE63" s="191">
        <f>'Functional Levels Drone Survey'!CE63-'Existing Levels Drone Survey'!CE63</f>
        <v>-4.9195238095308014E-2</v>
      </c>
      <c r="CF63" s="191">
        <f>'Functional Levels Drone Survey'!CF63-'Existing Levels Drone Survey'!CF63</f>
        <v>-5.2395238095300556E-2</v>
      </c>
      <c r="CG63" s="191">
        <f>'Functional Levels Drone Survey'!CG63-'Existing Levels Drone Survey'!CG63</f>
        <v>-7.7195238095328023E-2</v>
      </c>
      <c r="CH63" s="191">
        <f>'Functional Levels Drone Survey'!CH63-'Existing Levels Drone Survey'!CH63</f>
        <v>-9.5695238095345303E-2</v>
      </c>
      <c r="CI63" s="191">
        <f>'Functional Levels Drone Survey'!CI63-'Existing Levels Drone Survey'!CI63</f>
        <v>2.7104761904695351E-2</v>
      </c>
      <c r="CJ63" s="191">
        <f>'Functional Levels Drone Survey'!CJ63-'Existing Levels Drone Survey'!CJ63</f>
        <v>5.6904761904661427E-2</v>
      </c>
      <c r="CK63" s="191">
        <f>'Functional Levels Drone Survey'!CK63-'Existing Levels Drone Survey'!CK63</f>
        <v>6.1004761904655425E-2</v>
      </c>
      <c r="CL63" s="191">
        <f>'Functional Levels Drone Survey'!CL63-'Existing Levels Drone Survey'!CL63</f>
        <v>4.0804761904666975E-2</v>
      </c>
      <c r="CM63" s="191">
        <f>'Functional Levels Drone Survey'!CM63-'Existing Levels Drone Survey'!CM63</f>
        <v>4.6804761904695624E-2</v>
      </c>
      <c r="CN63" s="191">
        <f>'Functional Levels Drone Survey'!CN63-'Existing Levels Drone Survey'!CN63</f>
        <v>6.6504761904695897E-2</v>
      </c>
      <c r="CO63" s="191">
        <f>'Functional Levels Drone Survey'!CO63-'Existing Levels Drone Survey'!CO63</f>
        <v>7.0604761904689894E-2</v>
      </c>
      <c r="CP63" s="191">
        <f>'Functional Levels Drone Survey'!CP63-'Existing Levels Drone Survey'!CP63</f>
        <v>8.8304761904680618E-2</v>
      </c>
      <c r="CQ63" s="191">
        <f>'Functional Levels Drone Survey'!CQ63-'Existing Levels Drone Survey'!CQ63</f>
        <v>9.9704761904661154E-2</v>
      </c>
      <c r="CR63" s="191">
        <f>'Functional Levels Drone Survey'!CR63-'Existing Levels Drone Survey'!CR63</f>
        <v>6.1504761904700445E-2</v>
      </c>
      <c r="CS63" s="191">
        <f>'Functional Levels Drone Survey'!CS63-'Existing Levels Drone Survey'!CS63</f>
        <v>0.10140476190468917</v>
      </c>
      <c r="CT63" s="191">
        <f>'Functional Levels Drone Survey'!CT63-'Existing Levels Drone Survey'!CT63</f>
        <v>9.0204761904658426E-2</v>
      </c>
      <c r="CU63" s="191">
        <f>'Functional Levels Drone Survey'!CU63-'Existing Levels Drone Survey'!CU63</f>
        <v>0.15150476190467543</v>
      </c>
      <c r="CV63" s="191">
        <f>'Functional Levels Drone Survey'!CV63-'Existing Levels Drone Survey'!CV63</f>
        <v>0.11140476190468007</v>
      </c>
      <c r="CW63" s="279">
        <f>'Functional Levels Drone Survey'!CW63-'Existing Levels Drone Survey'!CW63</f>
        <v>0.12510476190470854</v>
      </c>
      <c r="CX63" s="191">
        <f>'Functional Levels Drone Survey'!CX63-'Existing Levels Drone Survey'!CX63</f>
        <v>-5.3633333333493738E-2</v>
      </c>
      <c r="CY63" s="279">
        <f>'Functional Levels Drone Survey'!CY63-'Existing Levels Drone Survey'!CY63</f>
        <v>0.10676666666654455</v>
      </c>
      <c r="CZ63" s="191">
        <f>'Functional Levels Drone Survey'!CZ63-'Existing Levels Drone Survey'!CZ63</f>
        <v>0.13666666666654237</v>
      </c>
      <c r="DA63" s="191">
        <f>'Functional Levels Drone Survey'!DA63-'Existing Levels Drone Survey'!DA63</f>
        <v>0.15376666666651317</v>
      </c>
      <c r="DB63" s="191">
        <f>'Functional Levels Drone Survey'!DB63-'Existing Levels Drone Survey'!DB63</f>
        <v>0.15566666666654783</v>
      </c>
      <c r="DC63" s="191">
        <f>'Functional Levels Drone Survey'!DC63-'Existing Levels Drone Survey'!DC63</f>
        <v>0.16916666666651281</v>
      </c>
      <c r="DD63" s="191">
        <f>'Functional Levels Drone Survey'!DD63-'Existing Levels Drone Survey'!DD63</f>
        <v>0.19036666666653446</v>
      </c>
      <c r="DE63" s="191">
        <f>'Functional Levels Drone Survey'!DE63-'Existing Levels Drone Survey'!DE63</f>
        <v>0.17016666666654601</v>
      </c>
      <c r="DF63" s="191">
        <f>'Functional Levels Drone Survey'!DF63-'Existing Levels Drone Survey'!DF63</f>
        <v>7.3666666666554192E-2</v>
      </c>
      <c r="DG63" s="191">
        <f>'Functional Levels Drone Survey'!DG63-'Existing Levels Drone Survey'!DG63</f>
        <v>0.11826666666649999</v>
      </c>
      <c r="DH63" s="191">
        <f>'Functional Levels Drone Survey'!DH63-'Existing Levels Drone Survey'!DH63</f>
        <v>0.13076666666654546</v>
      </c>
      <c r="DI63" s="191">
        <f>'Functional Levels Drone Survey'!DI63-'Existing Levels Drone Survey'!DI63</f>
        <v>4.6466666666503897E-2</v>
      </c>
      <c r="DJ63" s="191">
        <f>'Functional Levels Drone Survey'!DJ63-'Existing Levels Drone Survey'!DJ63</f>
        <v>0.12836666666652263</v>
      </c>
      <c r="DK63" s="191">
        <f>'Functional Levels Drone Survey'!DK63-'Existing Levels Drone Survey'!DK63</f>
        <v>6.6466666666542551E-2</v>
      </c>
      <c r="DL63" s="191">
        <f>'Functional Levels Drone Survey'!DL63-'Existing Levels Drone Survey'!DL63</f>
        <v>0.10026666666652773</v>
      </c>
      <c r="DM63" s="191">
        <f>'Functional Levels Drone Survey'!DM63-'Existing Levels Drone Survey'!DM63</f>
        <v>0.12306666666654564</v>
      </c>
      <c r="DN63" s="191">
        <f>'Functional Levels Drone Survey'!DN63-'Existing Levels Drone Survey'!DN63</f>
        <v>0.11176666666654</v>
      </c>
      <c r="DO63" s="191">
        <f>'Functional Levels Drone Survey'!DO63-'Existing Levels Drone Survey'!DO63</f>
        <v>0.156166666666536</v>
      </c>
      <c r="DP63" s="191">
        <f>'Functional Levels Drone Survey'!DP63-'Existing Levels Drone Survey'!DP63</f>
        <v>6.816666666651372E-2</v>
      </c>
      <c r="DQ63" s="191">
        <f>'Functional Levels Drone Survey'!DQ63-'Existing Levels Drone Survey'!DQ63</f>
        <v>0.11966666666654646</v>
      </c>
      <c r="DR63" s="191">
        <f>'Functional Levels Drone Survey'!DR63-'Existing Levels Drone Survey'!DR63</f>
        <v>-9.2033333333461087E-2</v>
      </c>
      <c r="DS63" s="279">
        <f>'Functional Levels Drone Survey'!DS63-'Existing Levels Drone Survey'!DS63</f>
        <v>-5.6533333333447899E-2</v>
      </c>
      <c r="DT63" s="191">
        <f>'Functional Levels Drone Survey'!DT63-'Existing Levels Drone Survey'!DT63</f>
        <v>-0.16863333333350283</v>
      </c>
      <c r="DU63" s="191">
        <f>'Functional Levels Drone Survey'!DU63-'Existing Levels Drone Survey'!DU63</f>
        <v>-0.1270333333334861</v>
      </c>
      <c r="DV63" s="191">
        <f>'Functional Levels Drone Survey'!DV63-'Existing Levels Drone Survey'!DV63</f>
        <v>-0.26343333333346663</v>
      </c>
      <c r="DW63" s="278">
        <f>'Functional Levels Drone Survey'!DW63-'Existing Levels Drone Survey'!DW63</f>
        <v>-0.31323333333347136</v>
      </c>
      <c r="DX63" s="191">
        <f>'Functional Levels Drone Survey'!DX63-'Existing Levels Drone Survey'!DX63</f>
        <v>0</v>
      </c>
      <c r="DY63" s="191">
        <f>'Functional Levels Drone Survey'!DY63-'Existing Levels Drone Survey'!DY63</f>
        <v>0</v>
      </c>
      <c r="DZ63" s="191">
        <f>'Functional Levels Drone Survey'!DZ63-'Existing Levels Drone Survey'!DZ63</f>
        <v>0</v>
      </c>
      <c r="EA63" s="191">
        <f>'Functional Levels Drone Survey'!EA63-'Existing Levels Drone Survey'!EA63</f>
        <v>0</v>
      </c>
      <c r="EB63" s="191">
        <f>'Functional Levels Drone Survey'!EB63-'Existing Levels Drone Survey'!EB63</f>
        <v>0</v>
      </c>
      <c r="EC63" s="191">
        <f>'Functional Levels Drone Survey'!EC63-'Existing Levels Drone Survey'!EC63</f>
        <v>0</v>
      </c>
      <c r="ED63" s="191">
        <f>'Functional Levels Drone Survey'!ED63-'Existing Levels Drone Survey'!ED63</f>
        <v>0</v>
      </c>
      <c r="EE63" s="191">
        <f>'Functional Levels Drone Survey'!EE63-'Existing Levels Drone Survey'!EE63</f>
        <v>0</v>
      </c>
      <c r="EF63" s="191">
        <f>'Functional Levels Drone Survey'!EF63-'Existing Levels Drone Survey'!EF63</f>
        <v>0</v>
      </c>
      <c r="EG63" s="191">
        <f>'Functional Levels Drone Survey'!EG63-'Existing Levels Drone Survey'!EG63</f>
        <v>0</v>
      </c>
      <c r="EH63" s="191">
        <f>'Functional Levels Drone Survey'!EH63-'Existing Levels Drone Survey'!EH63</f>
        <v>0</v>
      </c>
      <c r="EI63" s="191">
        <f>'Functional Levels Drone Survey'!EI63-'Existing Levels Drone Survey'!EI63</f>
        <v>0</v>
      </c>
      <c r="EJ63" s="191">
        <f>'Functional Levels Drone Survey'!EJ63-'Existing Levels Drone Survey'!EJ63</f>
        <v>0</v>
      </c>
      <c r="EK63" s="191">
        <f>'Functional Levels Drone Survey'!EK63-'Existing Levels Drone Survey'!EK63</f>
        <v>0</v>
      </c>
      <c r="EL63" s="191">
        <f>'Functional Levels Drone Survey'!EL63-'Existing Levels Drone Survey'!EL63</f>
        <v>0</v>
      </c>
      <c r="EM63" s="191">
        <f>'Functional Levels Drone Survey'!EM63-'Existing Levels Drone Survey'!EM63</f>
        <v>0</v>
      </c>
      <c r="EN63" s="191">
        <f>'Functional Levels Drone Survey'!EN63-'Existing Levels Drone Survey'!EN63</f>
        <v>0</v>
      </c>
      <c r="EO63" s="191">
        <f>'Functional Levels Drone Survey'!EO63-'Existing Levels Drone Survey'!EO63</f>
        <v>0</v>
      </c>
      <c r="EP63" s="191">
        <f>'Functional Levels Drone Survey'!EP63-'Existing Levels Drone Survey'!EP63</f>
        <v>0</v>
      </c>
      <c r="EQ63" s="191">
        <f>'Functional Levels Drone Survey'!EQ63-'Existing Levels Drone Survey'!EQ63</f>
        <v>0</v>
      </c>
      <c r="ER63" s="191">
        <f>'Functional Levels Drone Survey'!ER63-'Existing Levels Drone Survey'!ER63</f>
        <v>0</v>
      </c>
      <c r="ES63" s="191">
        <f>'Functional Levels Drone Survey'!ES63-'Existing Levels Drone Survey'!ES63</f>
        <v>0</v>
      </c>
      <c r="ET63" s="191">
        <f>'Functional Levels Drone Survey'!ET63-'Existing Levels Drone Survey'!ET63</f>
        <v>0</v>
      </c>
      <c r="EU63" s="191">
        <f>'Functional Levels Drone Survey'!EU63-'Existing Levels Drone Survey'!EU63</f>
        <v>0</v>
      </c>
      <c r="EV63" s="191">
        <f>'Functional Levels Drone Survey'!EV63-'Existing Levels Drone Survey'!EV63</f>
        <v>0</v>
      </c>
      <c r="EW63" s="191">
        <f>'Functional Levels Drone Survey'!EW63-'Existing Levels Drone Survey'!EW63</f>
        <v>0</v>
      </c>
      <c r="EX63" s="191">
        <f>'Functional Levels Drone Survey'!EX63-'Existing Levels Drone Survey'!EX63</f>
        <v>0</v>
      </c>
      <c r="EY63" s="191">
        <f>'Functional Levels Drone Survey'!EY63-'Existing Levels Drone Survey'!EY63</f>
        <v>0</v>
      </c>
    </row>
    <row r="64" spans="1:155" ht="45" customHeight="1" x14ac:dyDescent="0.45">
      <c r="A64" s="277">
        <v>315</v>
      </c>
      <c r="B64" s="191">
        <f>'Functional Levels Drone Survey'!B64-'Existing Levels Drone Survey'!B64</f>
        <v>0</v>
      </c>
      <c r="C64" s="191">
        <f>'Functional Levels Drone Survey'!C64-'Existing Levels Drone Survey'!C64</f>
        <v>0</v>
      </c>
      <c r="D64" s="191">
        <f>'Functional Levels Drone Survey'!D64-'Existing Levels Drone Survey'!D64</f>
        <v>0</v>
      </c>
      <c r="E64" s="278">
        <f>'Functional Levels Drone Survey'!E64-'Existing Levels Drone Survey'!E64</f>
        <v>-0.219955555555714</v>
      </c>
      <c r="F64" s="191">
        <f>'Functional Levels Drone Survey'!F64-'Existing Levels Drone Survey'!F64</f>
        <v>-0.11665555555572382</v>
      </c>
      <c r="G64" s="191">
        <f>'Functional Levels Drone Survey'!G64-'Existing Levels Drone Survey'!G64</f>
        <v>-0.10975555555569372</v>
      </c>
      <c r="H64" s="191">
        <f>'Functional Levels Drone Survey'!H64-'Existing Levels Drone Survey'!H64</f>
        <v>-0.13315555555567471</v>
      </c>
      <c r="I64" s="191">
        <f>'Functional Levels Drone Survey'!I64-'Existing Levels Drone Survey'!I64</f>
        <v>-0.15305555555568162</v>
      </c>
      <c r="J64" s="191">
        <f>'Functional Levels Drone Survey'!J64-'Existing Levels Drone Survey'!J64</f>
        <v>-0.14405555555572391</v>
      </c>
      <c r="K64" s="191">
        <f>'Functional Levels Drone Survey'!K64-'Existing Levels Drone Survey'!K64</f>
        <v>-0.14675555555572828</v>
      </c>
      <c r="L64" s="191">
        <f>'Functional Levels Drone Survey'!L64-'Existing Levels Drone Survey'!L64</f>
        <v>-0.15485555555568453</v>
      </c>
      <c r="M64" s="191">
        <f>'Functional Levels Drone Survey'!M64-'Existing Levels Drone Survey'!M64</f>
        <v>-0.15285555555567498</v>
      </c>
      <c r="N64" s="191">
        <f>'Functional Levels Drone Survey'!N64-'Existing Levels Drone Survey'!N64</f>
        <v>-0.20645555555569217</v>
      </c>
      <c r="O64" s="191">
        <f>'Functional Levels Drone Survey'!O64-'Existing Levels Drone Survey'!O64</f>
        <v>-0.1605555555556748</v>
      </c>
      <c r="P64" s="191">
        <f>'Functional Levels Drone Survey'!P64-'Existing Levels Drone Survey'!P64</f>
        <v>-0.1604555555556999</v>
      </c>
      <c r="Q64" s="191">
        <f>'Functional Levels Drone Survey'!Q64-'Existing Levels Drone Survey'!Q64</f>
        <v>-0.15585555555571773</v>
      </c>
      <c r="R64" s="191">
        <f>'Functional Levels Drone Survey'!R64-'Existing Levels Drone Survey'!R64</f>
        <v>-0.18495555555568899</v>
      </c>
      <c r="S64" s="191">
        <f>'Functional Levels Drone Survey'!S64-'Existing Levels Drone Survey'!S64</f>
        <v>-0.13935555555571</v>
      </c>
      <c r="T64" s="191">
        <f>'Functional Levels Drone Survey'!T64-'Existing Levels Drone Survey'!T64</f>
        <v>-0.17125555555571736</v>
      </c>
      <c r="U64" s="191">
        <f>'Functional Levels Drone Survey'!U64-'Existing Levels Drone Survey'!U64</f>
        <v>-0.18105555555570163</v>
      </c>
      <c r="V64" s="191">
        <f>'Functional Levels Drone Survey'!V64-'Existing Levels Drone Survey'!V64</f>
        <v>-0.18225555555568462</v>
      </c>
      <c r="W64" s="191">
        <f>'Functional Levels Drone Survey'!W64-'Existing Levels Drone Survey'!W64</f>
        <v>-0.16285555555572273</v>
      </c>
      <c r="X64" s="191">
        <f>'Functional Levels Drone Survey'!X64-'Existing Levels Drone Survey'!X64</f>
        <v>-0.22975555555569827</v>
      </c>
      <c r="Y64" s="191">
        <f>'Functional Levels Drone Survey'!Y64-'Existing Levels Drone Survey'!Y64</f>
        <v>-1.1856555555556838</v>
      </c>
      <c r="Z64" s="191">
        <f>'Functional Levels Drone Survey'!Z64-'Existing Levels Drone Survey'!Z64</f>
        <v>-0.92875714285725053</v>
      </c>
      <c r="AA64" s="279">
        <f>'Functional Levels Drone Survey'!AA64-'Existing Levels Drone Survey'!AA64</f>
        <v>-2.5457142857305826E-2</v>
      </c>
      <c r="AB64" s="191">
        <f>'Functional Levels Drone Survey'!AB64-'Existing Levels Drone Survey'!AB64</f>
        <v>7.7742857142709454E-2</v>
      </c>
      <c r="AC64" s="191">
        <f>'Functional Levels Drone Survey'!AC64-'Existing Levels Drone Survey'!AC64</f>
        <v>7.9342857142705725E-2</v>
      </c>
      <c r="AD64" s="191">
        <f>'Functional Levels Drone Survey'!AD64-'Existing Levels Drone Survey'!AD64</f>
        <v>6.754285714271191E-2</v>
      </c>
      <c r="AE64" s="191">
        <f>'Functional Levels Drone Survey'!AE64-'Existing Levels Drone Survey'!AE64</f>
        <v>8.6542857142717367E-2</v>
      </c>
      <c r="AF64" s="191">
        <f>'Functional Levels Drone Survey'!AF64-'Existing Levels Drone Survey'!AF64</f>
        <v>8.1942857142735193E-2</v>
      </c>
      <c r="AG64" s="191">
        <f>'Functional Levels Drone Survey'!AG64-'Existing Levels Drone Survey'!AG64</f>
        <v>7.1642857142705907E-2</v>
      </c>
      <c r="AH64" s="191">
        <f>'Functional Levels Drone Survey'!AH64-'Existing Levels Drone Survey'!AH64</f>
        <v>9.9442857142719276E-2</v>
      </c>
      <c r="AI64" s="191">
        <f>'Functional Levels Drone Survey'!AI64-'Existing Levels Drone Survey'!AI64</f>
        <v>7.5242857142711728E-2</v>
      </c>
      <c r="AJ64" s="191">
        <f>'Functional Levels Drone Survey'!AJ64-'Existing Levels Drone Survey'!AJ64</f>
        <v>6.4142857142712728E-2</v>
      </c>
      <c r="AK64" s="191">
        <f>'Functional Levels Drone Survey'!AK64-'Existing Levels Drone Survey'!AK64</f>
        <v>6.4642857142700905E-2</v>
      </c>
      <c r="AL64" s="191">
        <f>'Functional Levels Drone Survey'!AL64-'Existing Levels Drone Survey'!AL64</f>
        <v>5.4842857142716639E-2</v>
      </c>
      <c r="AM64" s="191">
        <f>'Functional Levels Drone Survey'!AM64-'Existing Levels Drone Survey'!AM64</f>
        <v>6.3342857142743014E-2</v>
      </c>
      <c r="AN64" s="191">
        <f>'Functional Levels Drone Survey'!AN64-'Existing Levels Drone Survey'!AN64</f>
        <v>5.5942857142724733E-2</v>
      </c>
      <c r="AO64" s="191">
        <f>'Functional Levels Drone Survey'!AO64-'Existing Levels Drone Survey'!AO64</f>
        <v>4.3542857142711E-2</v>
      </c>
      <c r="AP64" s="191">
        <f>'Functional Levels Drone Survey'!AP64-'Existing Levels Drone Survey'!AP64</f>
        <v>3.5542857142729645E-2</v>
      </c>
      <c r="AQ64" s="191">
        <f>'Functional Levels Drone Survey'!AQ64-'Existing Levels Drone Survey'!AQ64</f>
        <v>3.3942857142733374E-2</v>
      </c>
      <c r="AR64" s="191">
        <f>'Functional Levels Drone Survey'!AR64-'Existing Levels Drone Survey'!AR64</f>
        <v>4.2642857142709545E-2</v>
      </c>
      <c r="AS64" s="191">
        <f>'Functional Levels Drone Survey'!AS64-'Existing Levels Drone Survey'!AS64</f>
        <v>1.6428571427127281E-3</v>
      </c>
      <c r="AT64" s="191">
        <f>'Functional Levels Drone Survey'!AT64-'Existing Levels Drone Survey'!AT64</f>
        <v>0.17684285714273074</v>
      </c>
      <c r="AU64" s="279">
        <f>'Functional Levels Drone Survey'!AU64-'Existing Levels Drone Survey'!AU64</f>
        <v>0.15614285714269727</v>
      </c>
      <c r="AV64" s="191">
        <f>'Functional Levels Drone Survey'!AV64-'Existing Levels Drone Survey'!AV64</f>
        <v>3.5042857142741468E-2</v>
      </c>
      <c r="AW64" s="191">
        <f>'Functional Levels Drone Survey'!AW64-'Existing Levels Drone Survey'!AW64</f>
        <v>1.1242857142747198E-2</v>
      </c>
      <c r="AX64" s="191">
        <f>'Functional Levels Drone Survey'!AX64-'Existing Levels Drone Survey'!AX64</f>
        <v>6.415238095218001E-2</v>
      </c>
      <c r="AY64" s="191">
        <f>'Functional Levels Drone Survey'!AY64-'Existing Levels Drone Survey'!AY64</f>
        <v>8.6552380952184649E-2</v>
      </c>
      <c r="AZ64" s="191">
        <f>'Functional Levels Drone Survey'!AZ64-'Existing Levels Drone Survey'!AZ64</f>
        <v>8.8652380952169096E-2</v>
      </c>
      <c r="BA64" s="191">
        <f>'Functional Levels Drone Survey'!BA64-'Existing Levels Drone Survey'!BA64</f>
        <v>6.6052380952214662E-2</v>
      </c>
      <c r="BB64" s="191">
        <f>'Functional Levels Drone Survey'!BB64-'Existing Levels Drone Survey'!BB64</f>
        <v>7.0952380952178373E-2</v>
      </c>
      <c r="BC64" s="191">
        <f>'Functional Levels Drone Survey'!BC64-'Existing Levels Drone Survey'!BC64</f>
        <v>7.7752380952176736E-2</v>
      </c>
      <c r="BD64" s="191">
        <f>'Functional Levels Drone Survey'!BD64-'Existing Levels Drone Survey'!BD64</f>
        <v>8.105238095220102E-2</v>
      </c>
      <c r="BE64" s="191">
        <f>'Functional Levels Drone Survey'!BE64-'Existing Levels Drone Survey'!BE64</f>
        <v>5.5952380952192016E-2</v>
      </c>
      <c r="BF64" s="191">
        <f>'Functional Levels Drone Survey'!BF64-'Existing Levels Drone Survey'!BF64</f>
        <v>7.7352380952163458E-2</v>
      </c>
      <c r="BG64" s="191">
        <f>'Functional Levels Drone Survey'!BG64-'Existing Levels Drone Survey'!BG64</f>
        <v>8.0152380952199564E-2</v>
      </c>
      <c r="BH64" s="191">
        <f>'Functional Levels Drone Survey'!BH64-'Existing Levels Drone Survey'!BH64</f>
        <v>5.1752380952166277E-2</v>
      </c>
      <c r="BI64" s="191">
        <f>'Functional Levels Drone Survey'!BI64-'Existing Levels Drone Survey'!BI64</f>
        <v>7.3652380952182739E-2</v>
      </c>
      <c r="BJ64" s="191">
        <f>'Functional Levels Drone Survey'!BJ64-'Existing Levels Drone Survey'!BJ64</f>
        <v>6.7852380952160729E-2</v>
      </c>
      <c r="BK64" s="191">
        <f>'Functional Levels Drone Survey'!BK64-'Existing Levels Drone Survey'!BK64</f>
        <v>2.9052380952180101E-2</v>
      </c>
      <c r="BL64" s="191">
        <f>'Functional Levels Drone Survey'!BL64-'Existing Levels Drone Survey'!BL64</f>
        <v>1.5752380952164913E-2</v>
      </c>
      <c r="BM64" s="191">
        <f>'Functional Levels Drone Survey'!BM64-'Existing Levels Drone Survey'!BM64</f>
        <v>6.6523809521754629E-3</v>
      </c>
      <c r="BN64" s="191">
        <f>'Functional Levels Drone Survey'!BN64-'Existing Levels Drone Survey'!BN64</f>
        <v>1.3652380952180465E-2</v>
      </c>
      <c r="BO64" s="191">
        <f>'Functional Levels Drone Survey'!BO64-'Existing Levels Drone Survey'!BO64</f>
        <v>1.8523809521866497E-3</v>
      </c>
      <c r="BP64" s="191">
        <f>'Functional Levels Drone Survey'!BP64-'Existing Levels Drone Survey'!BP64</f>
        <v>-2.3647619047835633E-2</v>
      </c>
      <c r="BQ64" s="191">
        <f>'Functional Levels Drone Survey'!BQ64-'Existing Levels Drone Survey'!BQ64</f>
        <v>-0.10614761904781744</v>
      </c>
      <c r="BR64" s="191">
        <f>'Functional Levels Drone Survey'!BR64-'Existing Levels Drone Survey'!BR64</f>
        <v>-0.1877476190477978</v>
      </c>
      <c r="BS64" s="191">
        <f>'Functional Levels Drone Survey'!BS64-'Existing Levels Drone Survey'!BS64</f>
        <v>-0.56743181818183075</v>
      </c>
      <c r="BT64" s="191">
        <f>'Functional Levels Drone Survey'!BT64-'Existing Levels Drone Survey'!BT64</f>
        <v>-0.55963181818179919</v>
      </c>
      <c r="BU64" s="191">
        <f>'Functional Levels Drone Survey'!BU64-'Existing Levels Drone Survey'!BU64</f>
        <v>-0.17183181818182902</v>
      </c>
      <c r="BV64" s="191">
        <f>'Functional Levels Drone Survey'!BV64-'Existing Levels Drone Survey'!BV64</f>
        <v>-0.1681318181818483</v>
      </c>
      <c r="BW64" s="191">
        <f>'Functional Levels Drone Survey'!BW64-'Existing Levels Drone Survey'!BW64</f>
        <v>-0.14013181818182829</v>
      </c>
      <c r="BX64" s="191">
        <f>'Functional Levels Drone Survey'!BX64-'Existing Levels Drone Survey'!BX64</f>
        <v>-0.16033181818181674</v>
      </c>
      <c r="BY64" s="191">
        <f>'Functional Levels Drone Survey'!BY64-'Existing Levels Drone Survey'!BY64</f>
        <v>-5.2931818181832568E-2</v>
      </c>
      <c r="BZ64" s="191">
        <f>'Functional Levels Drone Survey'!BZ64-'Existing Levels Drone Survey'!BZ64</f>
        <v>-3.3318181818344783E-3</v>
      </c>
      <c r="CA64" s="191">
        <f>'Functional Levels Drone Survey'!CA64-'Existing Levels Drone Survey'!CA64</f>
        <v>4.3681818181653398E-3</v>
      </c>
      <c r="CB64" s="191">
        <f>'Functional Levels Drone Survey'!CB64-'Existing Levels Drone Survey'!CB64</f>
        <v>6.1681818181682502E-3</v>
      </c>
      <c r="CC64" s="279">
        <f>'Functional Levels Drone Survey'!CC64-'Existing Levels Drone Survey'!CC64</f>
        <v>-0.10659523809533766</v>
      </c>
      <c r="CD64" s="279">
        <f>'Functional Levels Drone Survey'!CD64-'Existing Levels Drone Survey'!CD64</f>
        <v>-0.13839523809531329</v>
      </c>
      <c r="CE64" s="279">
        <f>'Functional Levels Drone Survey'!CE64-'Existing Levels Drone Survey'!CE64</f>
        <v>-0.12509523809535494</v>
      </c>
      <c r="CF64" s="279">
        <f>'Functional Levels Drone Survey'!CF64-'Existing Levels Drone Survey'!CF64</f>
        <v>-0.11599523809530865</v>
      </c>
      <c r="CG64" s="279">
        <f>'Functional Levels Drone Survey'!CG64-'Existing Levels Drone Survey'!CG64</f>
        <v>-0.13859523809531993</v>
      </c>
      <c r="CH64" s="279">
        <f>'Functional Levels Drone Survey'!CH64-'Existing Levels Drone Survey'!CH64</f>
        <v>-0.14079523809533612</v>
      </c>
      <c r="CI64" s="279">
        <f>'Functional Levels Drone Survey'!CI64-'Existing Levels Drone Survey'!CI64</f>
        <v>-1.699523809531911E-2</v>
      </c>
      <c r="CJ64" s="279">
        <f>'Functional Levels Drone Survey'!CJ64-'Existing Levels Drone Survey'!CJ64</f>
        <v>-1.8495238095340483E-2</v>
      </c>
      <c r="CK64" s="279">
        <f>'Functional Levels Drone Survey'!CK64-'Existing Levels Drone Survey'!CK64</f>
        <v>5.7047619046670661E-3</v>
      </c>
      <c r="CL64" s="279">
        <f>'Functional Levels Drone Survey'!CL64-'Existing Levels Drone Survey'!CL64</f>
        <v>-1.0495238095302284E-2</v>
      </c>
      <c r="CM64" s="279">
        <f>'Functional Levels Drone Survey'!CM64-'Existing Levels Drone Survey'!CM64</f>
        <v>-1.6395238095356035E-2</v>
      </c>
      <c r="CN64" s="279">
        <f>'Functional Levels Drone Survey'!CN64-'Existing Levels Drone Survey'!CN64</f>
        <v>1.2404761904690531E-2</v>
      </c>
      <c r="CO64" s="279">
        <f>'Functional Levels Drone Survey'!CO64-'Existing Levels Drone Survey'!CO64</f>
        <v>-7.0952380953031025E-3</v>
      </c>
      <c r="CP64" s="279">
        <f>'Functional Levels Drone Survey'!CP64-'Existing Levels Drone Survey'!CP64</f>
        <v>9.4047619046477848E-3</v>
      </c>
      <c r="CQ64" s="279">
        <f>'Functional Levels Drone Survey'!CQ64-'Existing Levels Drone Survey'!CQ64</f>
        <v>1.8004761904649058E-2</v>
      </c>
      <c r="CR64" s="279">
        <f>'Functional Levels Drone Survey'!CR64-'Existing Levels Drone Survey'!CR64</f>
        <v>-1.4895238095334662E-2</v>
      </c>
      <c r="CS64" s="279">
        <f>'Functional Levels Drone Survey'!CS64-'Existing Levels Drone Survey'!CS64</f>
        <v>0.19090476190467598</v>
      </c>
      <c r="CT64" s="279">
        <f>'Functional Levels Drone Survey'!CT64-'Existing Levels Drone Survey'!CT64</f>
        <v>0.19470476190468844</v>
      </c>
      <c r="CU64" s="279">
        <f>'Functional Levels Drone Survey'!CU64-'Existing Levels Drone Survey'!CU64</f>
        <v>0.14670476190468662</v>
      </c>
      <c r="CV64" s="279">
        <f>'Functional Levels Drone Survey'!CV64-'Existing Levels Drone Survey'!CV64</f>
        <v>1.3904761904655061E-2</v>
      </c>
      <c r="CW64" s="279">
        <f>'Functional Levels Drone Survey'!CW64-'Existing Levels Drone Survey'!CW64</f>
        <v>0.12160476190467762</v>
      </c>
      <c r="CX64" s="191">
        <f>'Functional Levels Drone Survey'!CX64-'Existing Levels Drone Survey'!CX64</f>
        <v>-5.173333333351593E-2</v>
      </c>
      <c r="CY64" s="279">
        <f>'Functional Levels Drone Survey'!CY64-'Existing Levels Drone Survey'!CY64</f>
        <v>1.0066666666489255E-2</v>
      </c>
      <c r="CZ64" s="279">
        <f>'Functional Levels Drone Survey'!CZ64-'Existing Levels Drone Survey'!CZ64</f>
        <v>8.7966666666488891E-2</v>
      </c>
      <c r="DA64" s="279">
        <f>'Functional Levels Drone Survey'!DA64-'Existing Levels Drone Survey'!DA64</f>
        <v>5.5966666666506626E-2</v>
      </c>
      <c r="DB64" s="279">
        <f>'Functional Levels Drone Survey'!DB64-'Existing Levels Drone Survey'!DB64</f>
        <v>8.5066666666534729E-2</v>
      </c>
      <c r="DC64" s="279">
        <f>'Functional Levels Drone Survey'!DC64-'Existing Levels Drone Survey'!DC64</f>
        <v>8.6166666666542824E-2</v>
      </c>
      <c r="DD64" s="279">
        <f>'Functional Levels Drone Survey'!DD64-'Existing Levels Drone Survey'!DD64</f>
        <v>8.9866666666523543E-2</v>
      </c>
      <c r="DE64" s="279">
        <f>'Functional Levels Drone Survey'!DE64-'Existing Levels Drone Survey'!DE64</f>
        <v>9.2666666666502806E-2</v>
      </c>
      <c r="DF64" s="279">
        <f>'Functional Levels Drone Survey'!DF64-'Existing Levels Drone Survey'!DF64</f>
        <v>4.2466666666541641E-2</v>
      </c>
      <c r="DG64" s="279">
        <f>'Functional Levels Drone Survey'!DG64-'Existing Levels Drone Survey'!DG64</f>
        <v>7.6066666666520177E-2</v>
      </c>
      <c r="DH64" s="279">
        <f>'Functional Levels Drone Survey'!DH64-'Existing Levels Drone Survey'!DH64</f>
        <v>0.19446666666652845</v>
      </c>
      <c r="DI64" s="279">
        <f>'Functional Levels Drone Survey'!DI64-'Existing Levels Drone Survey'!DI64</f>
        <v>6.9066666666515175E-2</v>
      </c>
      <c r="DJ64" s="279">
        <f>'Functional Levels Drone Survey'!DJ64-'Existing Levels Drone Survey'!DJ64</f>
        <v>0.13726666666650544</v>
      </c>
      <c r="DK64" s="279">
        <f>'Functional Levels Drone Survey'!DK64-'Existing Levels Drone Survey'!DK64</f>
        <v>5.9466666666537549E-2</v>
      </c>
      <c r="DL64" s="279">
        <f>'Functional Levels Drone Survey'!DL64-'Existing Levels Drone Survey'!DL64</f>
        <v>0.21656666666649471</v>
      </c>
      <c r="DM64" s="279">
        <f>'Functional Levels Drone Survey'!DM64-'Existing Levels Drone Survey'!DM64</f>
        <v>0.16366666666652918</v>
      </c>
      <c r="DN64" s="279">
        <f>'Functional Levels Drone Survey'!DN64-'Existing Levels Drone Survey'!DN64</f>
        <v>0.11146666666650162</v>
      </c>
      <c r="DO64" s="279">
        <f>'Functional Levels Drone Survey'!DO64-'Existing Levels Drone Survey'!DO64</f>
        <v>0.17796666666652072</v>
      </c>
      <c r="DP64" s="279">
        <f>'Functional Levels Drone Survey'!DP64-'Existing Levels Drone Survey'!DP64</f>
        <v>-4.7333333334904637E-3</v>
      </c>
      <c r="DQ64" s="279">
        <f>'Functional Levels Drone Survey'!DQ64-'Existing Levels Drone Survey'!DQ64</f>
        <v>-7.15333333334911E-2</v>
      </c>
      <c r="DR64" s="279">
        <f>'Functional Levels Drone Survey'!DR64-'Existing Levels Drone Survey'!DR64</f>
        <v>-3.7033333333511109E-2</v>
      </c>
      <c r="DS64" s="279">
        <f>'Functional Levels Drone Survey'!DS64-'Existing Levels Drone Survey'!DS64</f>
        <v>3.8666666666529181E-2</v>
      </c>
      <c r="DT64" s="191">
        <f>'Functional Levels Drone Survey'!DT64-'Existing Levels Drone Survey'!DT64</f>
        <v>-0.14563333333347828</v>
      </c>
      <c r="DU64" s="191">
        <f>'Functional Levels Drone Survey'!DU64-'Existing Levels Drone Survey'!DU64</f>
        <v>-0.13083333333349856</v>
      </c>
      <c r="DV64" s="191">
        <f>'Functional Levels Drone Survey'!DV64-'Existing Levels Drone Survey'!DV64</f>
        <v>-0.26073333333351911</v>
      </c>
      <c r="DW64" s="278">
        <f>'Functional Levels Drone Survey'!DW64-'Existing Levels Drone Survey'!DW64</f>
        <v>-0.31133333333349356</v>
      </c>
      <c r="DX64" s="191">
        <f>'Functional Levels Drone Survey'!DX64-'Existing Levels Drone Survey'!DX64</f>
        <v>0</v>
      </c>
      <c r="DY64" s="191">
        <f>'Functional Levels Drone Survey'!DY64-'Existing Levels Drone Survey'!DY64</f>
        <v>0</v>
      </c>
      <c r="DZ64" s="191">
        <f>'Functional Levels Drone Survey'!DZ64-'Existing Levels Drone Survey'!DZ64</f>
        <v>0</v>
      </c>
      <c r="EA64" s="191">
        <f>'Functional Levels Drone Survey'!EA64-'Existing Levels Drone Survey'!EA64</f>
        <v>0</v>
      </c>
      <c r="EB64" s="191">
        <f>'Functional Levels Drone Survey'!EB64-'Existing Levels Drone Survey'!EB64</f>
        <v>0</v>
      </c>
      <c r="EC64" s="191">
        <f>'Functional Levels Drone Survey'!EC64-'Existing Levels Drone Survey'!EC64</f>
        <v>0</v>
      </c>
      <c r="ED64" s="191">
        <f>'Functional Levels Drone Survey'!ED64-'Existing Levels Drone Survey'!ED64</f>
        <v>0</v>
      </c>
      <c r="EE64" s="191">
        <f>'Functional Levels Drone Survey'!EE64-'Existing Levels Drone Survey'!EE64</f>
        <v>0</v>
      </c>
      <c r="EF64" s="191">
        <f>'Functional Levels Drone Survey'!EF64-'Existing Levels Drone Survey'!EF64</f>
        <v>0</v>
      </c>
      <c r="EG64" s="191">
        <f>'Functional Levels Drone Survey'!EG64-'Existing Levels Drone Survey'!EG64</f>
        <v>0</v>
      </c>
      <c r="EH64" s="191">
        <f>'Functional Levels Drone Survey'!EH64-'Existing Levels Drone Survey'!EH64</f>
        <v>0</v>
      </c>
      <c r="EI64" s="191">
        <f>'Functional Levels Drone Survey'!EI64-'Existing Levels Drone Survey'!EI64</f>
        <v>0</v>
      </c>
      <c r="EJ64" s="191">
        <f>'Functional Levels Drone Survey'!EJ64-'Existing Levels Drone Survey'!EJ64</f>
        <v>0</v>
      </c>
      <c r="EK64" s="191">
        <f>'Functional Levels Drone Survey'!EK64-'Existing Levels Drone Survey'!EK64</f>
        <v>0</v>
      </c>
      <c r="EL64" s="191">
        <f>'Functional Levels Drone Survey'!EL64-'Existing Levels Drone Survey'!EL64</f>
        <v>0</v>
      </c>
      <c r="EM64" s="191">
        <f>'Functional Levels Drone Survey'!EM64-'Existing Levels Drone Survey'!EM64</f>
        <v>0</v>
      </c>
      <c r="EN64" s="191">
        <f>'Functional Levels Drone Survey'!EN64-'Existing Levels Drone Survey'!EN64</f>
        <v>0</v>
      </c>
      <c r="EO64" s="191">
        <f>'Functional Levels Drone Survey'!EO64-'Existing Levels Drone Survey'!EO64</f>
        <v>0</v>
      </c>
      <c r="EP64" s="191">
        <f>'Functional Levels Drone Survey'!EP64-'Existing Levels Drone Survey'!EP64</f>
        <v>0</v>
      </c>
      <c r="EQ64" s="191">
        <f>'Functional Levels Drone Survey'!EQ64-'Existing Levels Drone Survey'!EQ64</f>
        <v>0</v>
      </c>
      <c r="ER64" s="191">
        <f>'Functional Levels Drone Survey'!ER64-'Existing Levels Drone Survey'!ER64</f>
        <v>0</v>
      </c>
      <c r="ES64" s="191">
        <f>'Functional Levels Drone Survey'!ES64-'Existing Levels Drone Survey'!ES64</f>
        <v>0</v>
      </c>
      <c r="ET64" s="191">
        <f>'Functional Levels Drone Survey'!ET64-'Existing Levels Drone Survey'!ET64</f>
        <v>0</v>
      </c>
      <c r="EU64" s="191">
        <f>'Functional Levels Drone Survey'!EU64-'Existing Levels Drone Survey'!EU64</f>
        <v>0</v>
      </c>
      <c r="EV64" s="191">
        <f>'Functional Levels Drone Survey'!EV64-'Existing Levels Drone Survey'!EV64</f>
        <v>0</v>
      </c>
      <c r="EW64" s="191">
        <f>'Functional Levels Drone Survey'!EW64-'Existing Levels Drone Survey'!EW64</f>
        <v>0</v>
      </c>
      <c r="EX64" s="191">
        <f>'Functional Levels Drone Survey'!EX64-'Existing Levels Drone Survey'!EX64</f>
        <v>0</v>
      </c>
      <c r="EY64" s="191">
        <f>'Functional Levels Drone Survey'!EY64-'Existing Levels Drone Survey'!EY64</f>
        <v>0</v>
      </c>
    </row>
    <row r="65" spans="1:155" ht="45" customHeight="1" x14ac:dyDescent="0.45">
      <c r="A65" s="277">
        <v>320</v>
      </c>
      <c r="B65" s="191">
        <f>'Functional Levels Drone Survey'!B65-'Existing Levels Drone Survey'!B65</f>
        <v>0</v>
      </c>
      <c r="C65" s="191">
        <f>'Functional Levels Drone Survey'!C65-'Existing Levels Drone Survey'!C65</f>
        <v>0</v>
      </c>
      <c r="D65" s="191">
        <f>'Functional Levels Drone Survey'!D65-'Existing Levels Drone Survey'!D65</f>
        <v>0</v>
      </c>
      <c r="E65" s="278">
        <f>'Functional Levels Drone Survey'!E65-'Existing Levels Drone Survey'!E65</f>
        <v>-0.28725555555570281</v>
      </c>
      <c r="F65" s="191">
        <f>'Functional Levels Drone Survey'!F65-'Existing Levels Drone Survey'!F65</f>
        <v>-0.12645555555570809</v>
      </c>
      <c r="G65" s="191">
        <f>'Functional Levels Drone Survey'!G65-'Existing Levels Drone Survey'!G65</f>
        <v>-0.14095555555570627</v>
      </c>
      <c r="H65" s="279">
        <f>'Functional Levels Drone Survey'!H65-'Existing Levels Drone Survey'!H65</f>
        <v>-2.265555555567289E-2</v>
      </c>
      <c r="I65" s="279">
        <f>'Functional Levels Drone Survey'!I65-'Existing Levels Drone Survey'!I65</f>
        <v>-5.1455555555662613E-2</v>
      </c>
      <c r="J65" s="279">
        <f>'Functional Levels Drone Survey'!J65-'Existing Levels Drone Survey'!J65</f>
        <v>-5.6355555555683168E-2</v>
      </c>
      <c r="K65" s="279">
        <f>'Functional Levels Drone Survey'!K65-'Existing Levels Drone Survey'!K65</f>
        <v>-7.8155555555667888E-2</v>
      </c>
      <c r="L65" s="279">
        <f>'Functional Levels Drone Survey'!L65-'Existing Levels Drone Survey'!L65</f>
        <v>-0.10195555555566216</v>
      </c>
      <c r="M65" s="279">
        <f>'Functional Levels Drone Survey'!M65-'Existing Levels Drone Survey'!M65</f>
        <v>-9.6755555555660067E-2</v>
      </c>
      <c r="N65" s="279">
        <f>'Functional Levels Drone Survey'!N65-'Existing Levels Drone Survey'!N65</f>
        <v>-0.10375555555566507</v>
      </c>
      <c r="O65" s="279">
        <f>'Functional Levels Drone Survey'!O65-'Existing Levels Drone Survey'!O65</f>
        <v>-0.21945555555566898</v>
      </c>
      <c r="P65" s="279">
        <f>'Functional Levels Drone Survey'!P65-'Existing Levels Drone Survey'!P65</f>
        <v>-0.15415555555568972</v>
      </c>
      <c r="Q65" s="279">
        <f>'Functional Levels Drone Survey'!Q65-'Existing Levels Drone Survey'!Q65</f>
        <v>-8.8255555555690535E-2</v>
      </c>
      <c r="R65" s="279">
        <f>'Functional Levels Drone Survey'!R65-'Existing Levels Drone Survey'!R65</f>
        <v>-7.0655555555674709E-2</v>
      </c>
      <c r="S65" s="279">
        <f>'Functional Levels Drone Survey'!S65-'Existing Levels Drone Survey'!S65</f>
        <v>-6.3955555555651245E-2</v>
      </c>
      <c r="T65" s="279">
        <f>'Functional Levels Drone Survey'!T65-'Existing Levels Drone Survey'!T65</f>
        <v>-7.7255555555666433E-2</v>
      </c>
      <c r="U65" s="279">
        <f>'Functional Levels Drone Survey'!U65-'Existing Levels Drone Survey'!U65</f>
        <v>-8.5955555555699448E-2</v>
      </c>
      <c r="V65" s="279">
        <f>'Functional Levels Drone Survey'!V65-'Existing Levels Drone Survey'!V65</f>
        <v>-0.12145555555565579</v>
      </c>
      <c r="W65" s="279">
        <f>'Functional Levels Drone Survey'!W65-'Existing Levels Drone Survey'!W65</f>
        <v>-1.0650555555556593</v>
      </c>
      <c r="X65" s="279">
        <f>'Functional Levels Drone Survey'!X65-'Existing Levels Drone Survey'!X65</f>
        <v>-0.33555555555568617</v>
      </c>
      <c r="Y65" s="279">
        <f>'Functional Levels Drone Survey'!Y65-'Existing Levels Drone Survey'!Y65</f>
        <v>-0.29895555555566489</v>
      </c>
      <c r="Z65" s="191">
        <f>'Functional Levels Drone Survey'!Z65-'Existing Levels Drone Survey'!Z65</f>
        <v>-0.11395714285725944</v>
      </c>
      <c r="AA65" s="279">
        <f>'Functional Levels Drone Survey'!AA65-'Existing Levels Drone Survey'!AA65</f>
        <v>0.11634285714274029</v>
      </c>
      <c r="AB65" s="191">
        <f>'Functional Levels Drone Survey'!AB65-'Existing Levels Drone Survey'!AB65</f>
        <v>0.11314285714274774</v>
      </c>
      <c r="AC65" s="191">
        <f>'Functional Levels Drone Survey'!AC65-'Existing Levels Drone Survey'!AC65</f>
        <v>0.10794285714274565</v>
      </c>
      <c r="AD65" s="191">
        <f>'Functional Levels Drone Survey'!AD65-'Existing Levels Drone Survey'!AD65</f>
        <v>0.12674285714274447</v>
      </c>
      <c r="AE65" s="191">
        <f>'Functional Levels Drone Survey'!AE65-'Existing Levels Drone Survey'!AE65</f>
        <v>0.13734285714275529</v>
      </c>
      <c r="AF65" s="191">
        <f>'Functional Levels Drone Survey'!AF65-'Existing Levels Drone Survey'!AF65</f>
        <v>0.13324285714270445</v>
      </c>
      <c r="AG65" s="191">
        <f>'Functional Levels Drone Survey'!AG65-'Existing Levels Drone Survey'!AG65</f>
        <v>0.14574285714274993</v>
      </c>
      <c r="AH65" s="191">
        <f>'Functional Levels Drone Survey'!AH65-'Existing Levels Drone Survey'!AH65</f>
        <v>0.15664285714274229</v>
      </c>
      <c r="AI65" s="191">
        <f>'Functional Levels Drone Survey'!AI65-'Existing Levels Drone Survey'!AI65</f>
        <v>0.12844285714271564</v>
      </c>
      <c r="AJ65" s="191">
        <f>'Functional Levels Drone Survey'!AJ65-'Existing Levels Drone Survey'!AJ65</f>
        <v>0.12634285714273119</v>
      </c>
      <c r="AK65" s="191">
        <f>'Functional Levels Drone Survey'!AK65-'Existing Levels Drone Survey'!AK65</f>
        <v>0.10374285714271991</v>
      </c>
      <c r="AL65" s="191">
        <f>'Functional Levels Drone Survey'!AL65-'Existing Levels Drone Survey'!AL65</f>
        <v>0.10754285714273237</v>
      </c>
      <c r="AM65" s="191">
        <f>'Functional Levels Drone Survey'!AM65-'Existing Levels Drone Survey'!AM65</f>
        <v>0.11774285714272992</v>
      </c>
      <c r="AN65" s="191">
        <f>'Functional Levels Drone Survey'!AN65-'Existing Levels Drone Survey'!AN65</f>
        <v>0.10864285714274047</v>
      </c>
      <c r="AO65" s="191">
        <f>'Functional Levels Drone Survey'!AO65-'Existing Levels Drone Survey'!AO65</f>
        <v>7.2542857142707362E-2</v>
      </c>
      <c r="AP65" s="191">
        <f>'Functional Levels Drone Survey'!AP65-'Existing Levels Drone Survey'!AP65</f>
        <v>7.7842857142741195E-2</v>
      </c>
      <c r="AQ65" s="191">
        <f>'Functional Levels Drone Survey'!AQ65-'Existing Levels Drone Survey'!AQ65</f>
        <v>7.7642857142734556E-2</v>
      </c>
      <c r="AR65" s="191">
        <f>'Functional Levels Drone Survey'!AR65-'Existing Levels Drone Survey'!AR65</f>
        <v>7.2042857142719186E-2</v>
      </c>
      <c r="AS65" s="191">
        <f>'Functional Levels Drone Survey'!AS65-'Existing Levels Drone Survey'!AS65</f>
        <v>6.6942857142748835E-2</v>
      </c>
      <c r="AT65" s="191">
        <f>'Functional Levels Drone Survey'!AT65-'Existing Levels Drone Survey'!AT65</f>
        <v>0.20704285714271009</v>
      </c>
      <c r="AU65" s="279">
        <f>'Functional Levels Drone Survey'!AU65-'Existing Levels Drone Survey'!AU65</f>
        <v>0.20214285714274638</v>
      </c>
      <c r="AV65" s="191">
        <f>'Functional Levels Drone Survey'!AV65-'Existing Levels Drone Survey'!AV65</f>
        <v>1.644285714274929E-2</v>
      </c>
      <c r="AW65" s="191">
        <f>'Functional Levels Drone Survey'!AW65-'Existing Levels Drone Survey'!AW65</f>
        <v>2.0442857142711546E-2</v>
      </c>
      <c r="AX65" s="191">
        <f>'Functional Levels Drone Survey'!AX65-'Existing Levels Drone Survey'!AX65</f>
        <v>5.2752380952199474E-2</v>
      </c>
      <c r="AY65" s="191">
        <f>'Functional Levels Drone Survey'!AY65-'Existing Levels Drone Survey'!AY65</f>
        <v>8.3652380952173644E-2</v>
      </c>
      <c r="AZ65" s="191">
        <f>'Functional Levels Drone Survey'!AZ65-'Existing Levels Drone Survey'!AZ65</f>
        <v>5.8452380952189742E-2</v>
      </c>
      <c r="BA65" s="191">
        <f>'Functional Levels Drone Survey'!BA65-'Existing Levels Drone Survey'!BA65</f>
        <v>7.34523809521761E-2</v>
      </c>
      <c r="BB65" s="191">
        <f>'Functional Levels Drone Survey'!BB65-'Existing Levels Drone Survey'!BB65</f>
        <v>6.9152380952175463E-2</v>
      </c>
      <c r="BC65" s="191">
        <f>'Functional Levels Drone Survey'!BC65-'Existing Levels Drone Survey'!BC65</f>
        <v>4.41523809521982E-2</v>
      </c>
      <c r="BD65" s="191">
        <f>'Functional Levels Drone Survey'!BD65-'Existing Levels Drone Survey'!BD65</f>
        <v>2.9952380952181556E-2</v>
      </c>
      <c r="BE65" s="191">
        <f>'Functional Levels Drone Survey'!BE65-'Existing Levels Drone Survey'!BE65</f>
        <v>3.6052380952185104E-2</v>
      </c>
      <c r="BF65" s="191">
        <f>'Functional Levels Drone Survey'!BF65-'Existing Levels Drone Survey'!BF65</f>
        <v>7.3052380952162821E-2</v>
      </c>
      <c r="BG65" s="191">
        <f>'Functional Levels Drone Survey'!BG65-'Existing Levels Drone Survey'!BG65</f>
        <v>5.1952380952172916E-2</v>
      </c>
      <c r="BH65" s="191">
        <f>'Functional Levels Drone Survey'!BH65-'Existing Levels Drone Survey'!BH65</f>
        <v>3.7652380952181375E-2</v>
      </c>
      <c r="BI65" s="191">
        <f>'Functional Levels Drone Survey'!BI65-'Existing Levels Drone Survey'!BI65</f>
        <v>5.4352380952195745E-2</v>
      </c>
      <c r="BJ65" s="191">
        <f>'Functional Levels Drone Survey'!BJ65-'Existing Levels Drone Survey'!BJ65</f>
        <v>5.9252380952216299E-2</v>
      </c>
      <c r="BK65" s="191">
        <f>'Functional Levels Drone Survey'!BK65-'Existing Levels Drone Survey'!BK65</f>
        <v>4.9352380952200292E-2</v>
      </c>
      <c r="BL65" s="191">
        <f>'Functional Levels Drone Survey'!BL65-'Existing Levels Drone Survey'!BL65</f>
        <v>1.0552380952162821E-2</v>
      </c>
      <c r="BM65" s="191">
        <f>'Functional Levels Drone Survey'!BM65-'Existing Levels Drone Survey'!BM65</f>
        <v>2.0152380952197291E-2</v>
      </c>
      <c r="BN65" s="191">
        <f>'Functional Levels Drone Survey'!BN65-'Existing Levels Drone Survey'!BN65</f>
        <v>6.6523809521754629E-3</v>
      </c>
      <c r="BO65" s="191">
        <f>'Functional Levels Drone Survey'!BO65-'Existing Levels Drone Survey'!BO65</f>
        <v>-4.2647619047784247E-2</v>
      </c>
      <c r="BP65" s="191">
        <f>'Functional Levels Drone Survey'!BP65-'Existing Levels Drone Survey'!BP65</f>
        <v>-8.3147619047792887E-2</v>
      </c>
      <c r="BQ65" s="191">
        <f>'Functional Levels Drone Survey'!BQ65-'Existing Levels Drone Survey'!BQ65</f>
        <v>-6.4947619047813987E-2</v>
      </c>
      <c r="BR65" s="191">
        <f>'Functional Levels Drone Survey'!BR65-'Existing Levels Drone Survey'!BR65</f>
        <v>-0.14944761904780535</v>
      </c>
      <c r="BS65" s="191">
        <f>'Functional Levels Drone Survey'!BS65-'Existing Levels Drone Survey'!BS65</f>
        <v>-0.34883181818184994</v>
      </c>
      <c r="BT65" s="191">
        <f>'Functional Levels Drone Survey'!BT65-'Existing Levels Drone Survey'!BT65</f>
        <v>-0.47043181818179391</v>
      </c>
      <c r="BU65" s="191">
        <f>'Functional Levels Drone Survey'!BU65-'Existing Levels Drone Survey'!BU65</f>
        <v>-0.35913181818182238</v>
      </c>
      <c r="BV65" s="191">
        <f>'Functional Levels Drone Survey'!BV65-'Existing Levels Drone Survey'!BV65</f>
        <v>-0.30293181818183257</v>
      </c>
      <c r="BW65" s="191">
        <f>'Functional Levels Drone Survey'!BW65-'Existing Levels Drone Survey'!BW65</f>
        <v>-0.15783181818181902</v>
      </c>
      <c r="BX65" s="191">
        <f>'Functional Levels Drone Survey'!BX65-'Existing Levels Drone Survey'!BX65</f>
        <v>-0.1753318181818031</v>
      </c>
      <c r="BY65" s="191">
        <f>'Functional Levels Drone Survey'!BY65-'Existing Levels Drone Survey'!BY65</f>
        <v>-0.10593181818182984</v>
      </c>
      <c r="BZ65" s="191">
        <f>'Functional Levels Drone Survey'!BZ65-'Existing Levels Drone Survey'!BZ65</f>
        <v>-3.0431818181796189E-2</v>
      </c>
      <c r="CA65" s="191">
        <f>'Functional Levels Drone Survey'!CA65-'Existing Levels Drone Survey'!CA65</f>
        <v>-8.1318181818232915E-3</v>
      </c>
      <c r="CB65" s="191">
        <f>'Functional Levels Drone Survey'!CB65-'Existing Levels Drone Survey'!CB65</f>
        <v>-2.273181818179637E-2</v>
      </c>
      <c r="CC65" s="191">
        <f>'Functional Levels Drone Survey'!CC65-'Existing Levels Drone Survey'!CC65</f>
        <v>-0.21529523809533657</v>
      </c>
      <c r="CD65" s="191">
        <f>'Functional Levels Drone Survey'!CD65-'Existing Levels Drone Survey'!CD65</f>
        <v>-0.21999523809535049</v>
      </c>
      <c r="CE65" s="191">
        <f>'Functional Levels Drone Survey'!CE65-'Existing Levels Drone Survey'!CE65</f>
        <v>-0.2166952380953262</v>
      </c>
      <c r="CF65" s="191">
        <f>'Functional Levels Drone Survey'!CF65-'Existing Levels Drone Survey'!CF65</f>
        <v>-0.21439523809533512</v>
      </c>
      <c r="CG65" s="191">
        <f>'Functional Levels Drone Survey'!CG65-'Existing Levels Drone Survey'!CG65</f>
        <v>-0.22449523809535776</v>
      </c>
      <c r="CH65" s="191">
        <f>'Functional Levels Drone Survey'!CH65-'Existing Levels Drone Survey'!CH65</f>
        <v>-0.25819523809536804</v>
      </c>
      <c r="CI65" s="191">
        <f>'Functional Levels Drone Survey'!CI65-'Existing Levels Drone Survey'!CI65</f>
        <v>-0.14189523809534421</v>
      </c>
      <c r="CJ65" s="191">
        <f>'Functional Levels Drone Survey'!CJ65-'Existing Levels Drone Survey'!CJ65</f>
        <v>-0.13939523809534649</v>
      </c>
      <c r="CK65" s="191">
        <f>'Functional Levels Drone Survey'!CK65-'Existing Levels Drone Survey'!CK65</f>
        <v>-9.649523809537186E-2</v>
      </c>
      <c r="CL65" s="191">
        <f>'Functional Levels Drone Survey'!CL65-'Existing Levels Drone Survey'!CL65</f>
        <v>-0.11219523809535303</v>
      </c>
      <c r="CM65" s="191">
        <f>'Functional Levels Drone Survey'!CM65-'Existing Levels Drone Survey'!CM65</f>
        <v>-0.11699523809534185</v>
      </c>
      <c r="CN65" s="191">
        <f>'Functional Levels Drone Survey'!CN65-'Existing Levels Drone Survey'!CN65</f>
        <v>-0.10989523809536195</v>
      </c>
      <c r="CO65" s="191">
        <f>'Functional Levels Drone Survey'!CO65-'Existing Levels Drone Survey'!CO65</f>
        <v>-0.10549523809532957</v>
      </c>
      <c r="CP65" s="191">
        <f>'Functional Levels Drone Survey'!CP65-'Existing Levels Drone Survey'!CP65</f>
        <v>-0.10539523809535467</v>
      </c>
      <c r="CQ65" s="191">
        <f>'Functional Levels Drone Survey'!CQ65-'Existing Levels Drone Survey'!CQ65</f>
        <v>-0.24643333333347073</v>
      </c>
      <c r="CR65" s="191">
        <f>'Functional Levels Drone Survey'!CR65-'Existing Levels Drone Survey'!CR65</f>
        <v>-0.28543333333351484</v>
      </c>
      <c r="CS65" s="191">
        <f>'Functional Levels Drone Survey'!CS65-'Existing Levels Drone Survey'!CS65</f>
        <v>-3.683333333350447E-2</v>
      </c>
      <c r="CT65" s="191">
        <f>'Functional Levels Drone Survey'!CT65-'Existing Levels Drone Survey'!CT65</f>
        <v>-0.16193333333347937</v>
      </c>
      <c r="CU65" s="191">
        <f>'Functional Levels Drone Survey'!CU65-'Existing Levels Drone Survey'!CU65</f>
        <v>-0.10863333333350056</v>
      </c>
      <c r="CV65" s="191">
        <f>'Functional Levels Drone Survey'!CV65-'Existing Levels Drone Survey'!CV65</f>
        <v>-0.1159333333334871</v>
      </c>
      <c r="CW65" s="191">
        <f>'Functional Levels Drone Survey'!CW65-'Existing Levels Drone Survey'!CW65</f>
        <v>-0.10923333333352048</v>
      </c>
      <c r="CX65" s="191">
        <f>'Functional Levels Drone Survey'!CX65-'Existing Levels Drone Survey'!CX65</f>
        <v>-0.11413333333348419</v>
      </c>
      <c r="CY65" s="191">
        <f>'Functional Levels Drone Survey'!CY65-'Existing Levels Drone Survey'!CY65</f>
        <v>-0.14193333333349756</v>
      </c>
      <c r="CZ65" s="191">
        <f>'Functional Levels Drone Survey'!CZ65-'Existing Levels Drone Survey'!CZ65</f>
        <v>1.2066666666498804E-2</v>
      </c>
      <c r="DA65" s="191">
        <f>'Functional Levels Drone Survey'!DA65-'Existing Levels Drone Survey'!DA65</f>
        <v>-5.4333333333488554E-2</v>
      </c>
      <c r="DB65" s="191">
        <f>'Functional Levels Drone Survey'!DB65-'Existing Levels Drone Survey'!DB65</f>
        <v>1.5466666666497986E-2</v>
      </c>
      <c r="DC65" s="191">
        <f>'Functional Levels Drone Survey'!DC65-'Existing Levels Drone Survey'!DC65</f>
        <v>1.0666666666509173E-2</v>
      </c>
      <c r="DD65" s="191">
        <f>'Functional Levels Drone Survey'!DD65-'Existing Levels Drone Survey'!DD65</f>
        <v>1.9966666666505262E-2</v>
      </c>
      <c r="DE65" s="191">
        <f>'Functional Levels Drone Survey'!DE65-'Existing Levels Drone Survey'!DE65</f>
        <v>4.3466666666517995E-2</v>
      </c>
      <c r="DF65" s="191">
        <f>'Functional Levels Drone Survey'!DF65-'Existing Levels Drone Survey'!DF65</f>
        <v>4.7466666666480251E-2</v>
      </c>
      <c r="DG65" s="191">
        <f>'Functional Levels Drone Survey'!DG65-'Existing Levels Drone Survey'!DG65</f>
        <v>-4.3333333348982706E-4</v>
      </c>
      <c r="DH65" s="191">
        <f>'Functional Levels Drone Survey'!DH65-'Existing Levels Drone Survey'!DH65</f>
        <v>5.4966666666530273E-2</v>
      </c>
      <c r="DI65" s="191">
        <f>'Functional Levels Drone Survey'!DI65-'Existing Levels Drone Survey'!DI65</f>
        <v>5.9366666666505807E-2</v>
      </c>
      <c r="DJ65" s="191">
        <f>'Functional Levels Drone Survey'!DJ65-'Existing Levels Drone Survey'!DJ65</f>
        <v>-2.3233333333507744E-2</v>
      </c>
      <c r="DK65" s="191">
        <f>'Functional Levels Drone Survey'!DK65-'Existing Levels Drone Survey'!DK65</f>
        <v>-4.013333333347191E-2</v>
      </c>
      <c r="DL65" s="191">
        <f>'Functional Levels Drone Survey'!DL65-'Existing Levels Drone Survey'!DL65</f>
        <v>0.23102380952394697</v>
      </c>
      <c r="DM65" s="191">
        <f>'Functional Levels Drone Survey'!DM65-'Existing Levels Drone Survey'!DM65</f>
        <v>0.22102380952389922</v>
      </c>
      <c r="DN65" s="191">
        <f>'Functional Levels Drone Survey'!DN65-'Existing Levels Drone Survey'!DN65</f>
        <v>0.10362380952392414</v>
      </c>
      <c r="DO65" s="191">
        <f>'Functional Levels Drone Survey'!DO65-'Existing Levels Drone Survey'!DO65</f>
        <v>0.19482380952393896</v>
      </c>
      <c r="DP65" s="191">
        <f>'Functional Levels Drone Survey'!DP65-'Existing Levels Drone Survey'!DP65</f>
        <v>0.14702380952394378</v>
      </c>
      <c r="DQ65" s="191">
        <f>'Functional Levels Drone Survey'!DQ65-'Existing Levels Drone Survey'!DQ65</f>
        <v>7.4323809523946238E-2</v>
      </c>
      <c r="DR65" s="191">
        <f>'Functional Levels Drone Survey'!DR65-'Existing Levels Drone Survey'!DR65</f>
        <v>8.7223809523891305E-2</v>
      </c>
      <c r="DS65" s="191">
        <f>'Functional Levels Drone Survey'!DS65-'Existing Levels Drone Survey'!DS65</f>
        <v>4.0923809523917498E-2</v>
      </c>
      <c r="DT65" s="191">
        <f>'Functional Levels Drone Survey'!DT65-'Existing Levels Drone Survey'!DT65</f>
        <v>-2.1076190476094325E-2</v>
      </c>
      <c r="DU65" s="191">
        <f>'Functional Levels Drone Survey'!DU65-'Existing Levels Drone Survey'!DU65</f>
        <v>-6.4076190476100692E-2</v>
      </c>
      <c r="DV65" s="191">
        <f>'Functional Levels Drone Survey'!DV65-'Existing Levels Drone Survey'!DV65</f>
        <v>-0.1133761904760604</v>
      </c>
      <c r="DW65" s="278">
        <f>'Functional Levels Drone Survey'!DW65-'Existing Levels Drone Survey'!DW65</f>
        <v>-0.10317619047606286</v>
      </c>
      <c r="DX65" s="191">
        <f>'Functional Levels Drone Survey'!DX65-'Existing Levels Drone Survey'!DX65</f>
        <v>0</v>
      </c>
      <c r="DY65" s="191">
        <f>'Functional Levels Drone Survey'!DY65-'Existing Levels Drone Survey'!DY65</f>
        <v>0</v>
      </c>
      <c r="DZ65" s="191">
        <f>'Functional Levels Drone Survey'!DZ65-'Existing Levels Drone Survey'!DZ65</f>
        <v>0</v>
      </c>
      <c r="EA65" s="191">
        <f>'Functional Levels Drone Survey'!EA65-'Existing Levels Drone Survey'!EA65</f>
        <v>0</v>
      </c>
      <c r="EB65" s="191">
        <f>'Functional Levels Drone Survey'!EB65-'Existing Levels Drone Survey'!EB65</f>
        <v>0</v>
      </c>
      <c r="EC65" s="191">
        <f>'Functional Levels Drone Survey'!EC65-'Existing Levels Drone Survey'!EC65</f>
        <v>0</v>
      </c>
      <c r="ED65" s="191">
        <f>'Functional Levels Drone Survey'!ED65-'Existing Levels Drone Survey'!ED65</f>
        <v>0</v>
      </c>
      <c r="EE65" s="191">
        <f>'Functional Levels Drone Survey'!EE65-'Existing Levels Drone Survey'!EE65</f>
        <v>0</v>
      </c>
      <c r="EF65" s="191">
        <f>'Functional Levels Drone Survey'!EF65-'Existing Levels Drone Survey'!EF65</f>
        <v>0</v>
      </c>
      <c r="EG65" s="191">
        <f>'Functional Levels Drone Survey'!EG65-'Existing Levels Drone Survey'!EG65</f>
        <v>0</v>
      </c>
      <c r="EH65" s="191">
        <f>'Functional Levels Drone Survey'!EH65-'Existing Levels Drone Survey'!EH65</f>
        <v>0</v>
      </c>
      <c r="EI65" s="191">
        <f>'Functional Levels Drone Survey'!EI65-'Existing Levels Drone Survey'!EI65</f>
        <v>0</v>
      </c>
      <c r="EJ65" s="191">
        <f>'Functional Levels Drone Survey'!EJ65-'Existing Levels Drone Survey'!EJ65</f>
        <v>0</v>
      </c>
      <c r="EK65" s="191">
        <f>'Functional Levels Drone Survey'!EK65-'Existing Levels Drone Survey'!EK65</f>
        <v>0</v>
      </c>
      <c r="EL65" s="191">
        <f>'Functional Levels Drone Survey'!EL65-'Existing Levels Drone Survey'!EL65</f>
        <v>0</v>
      </c>
      <c r="EM65" s="191">
        <f>'Functional Levels Drone Survey'!EM65-'Existing Levels Drone Survey'!EM65</f>
        <v>0</v>
      </c>
      <c r="EN65" s="191">
        <f>'Functional Levels Drone Survey'!EN65-'Existing Levels Drone Survey'!EN65</f>
        <v>0</v>
      </c>
      <c r="EO65" s="191">
        <f>'Functional Levels Drone Survey'!EO65-'Existing Levels Drone Survey'!EO65</f>
        <v>0</v>
      </c>
      <c r="EP65" s="191">
        <f>'Functional Levels Drone Survey'!EP65-'Existing Levels Drone Survey'!EP65</f>
        <v>0</v>
      </c>
      <c r="EQ65" s="191">
        <f>'Functional Levels Drone Survey'!EQ65-'Existing Levels Drone Survey'!EQ65</f>
        <v>0</v>
      </c>
      <c r="ER65" s="191">
        <f>'Functional Levels Drone Survey'!ER65-'Existing Levels Drone Survey'!ER65</f>
        <v>0</v>
      </c>
      <c r="ES65" s="191">
        <f>'Functional Levels Drone Survey'!ES65-'Existing Levels Drone Survey'!ES65</f>
        <v>0</v>
      </c>
      <c r="ET65" s="191">
        <f>'Functional Levels Drone Survey'!ET65-'Existing Levels Drone Survey'!ET65</f>
        <v>0</v>
      </c>
      <c r="EU65" s="191">
        <f>'Functional Levels Drone Survey'!EU65-'Existing Levels Drone Survey'!EU65</f>
        <v>0</v>
      </c>
      <c r="EV65" s="191">
        <f>'Functional Levels Drone Survey'!EV65-'Existing Levels Drone Survey'!EV65</f>
        <v>0</v>
      </c>
      <c r="EW65" s="191">
        <f>'Functional Levels Drone Survey'!EW65-'Existing Levels Drone Survey'!EW65</f>
        <v>0</v>
      </c>
      <c r="EX65" s="191">
        <f>'Functional Levels Drone Survey'!EX65-'Existing Levels Drone Survey'!EX65</f>
        <v>0</v>
      </c>
      <c r="EY65" s="191">
        <f>'Functional Levels Drone Survey'!EY65-'Existing Levels Drone Survey'!EY65</f>
        <v>0</v>
      </c>
    </row>
    <row r="66" spans="1:155" ht="45" customHeight="1" x14ac:dyDescent="0.45">
      <c r="A66" s="277">
        <v>325</v>
      </c>
      <c r="B66" s="191">
        <f>'Functional Levels Drone Survey'!B66-'Existing Levels Drone Survey'!B66</f>
        <v>0</v>
      </c>
      <c r="C66" s="191">
        <f>'Functional Levels Drone Survey'!C66-'Existing Levels Drone Survey'!C66</f>
        <v>0</v>
      </c>
      <c r="D66" s="191">
        <f>'Functional Levels Drone Survey'!D66-'Existing Levels Drone Survey'!D66</f>
        <v>0</v>
      </c>
      <c r="E66" s="278">
        <f>'Functional Levels Drone Survey'!E66-'Existing Levels Drone Survey'!E66</f>
        <v>-0.4799555555557049</v>
      </c>
      <c r="F66" s="191">
        <f>'Functional Levels Drone Survey'!F66-'Existing Levels Drone Survey'!F66</f>
        <v>-7.3455555555710816E-2</v>
      </c>
      <c r="G66" s="191">
        <f>'Functional Levels Drone Survey'!G66-'Existing Levels Drone Survey'!G66</f>
        <v>-9.3355555555660885E-2</v>
      </c>
      <c r="H66" s="279">
        <f>'Functional Levels Drone Survey'!H66-'Existing Levels Drone Survey'!H66</f>
        <v>-5.1555555556888066E-3</v>
      </c>
      <c r="I66" s="191">
        <f>'Functional Levels Drone Survey'!I66-'Existing Levels Drone Survey'!I66</f>
        <v>-3.1055555555667524E-2</v>
      </c>
      <c r="J66" s="191">
        <f>'Functional Levels Drone Survey'!J66-'Existing Levels Drone Survey'!J66</f>
        <v>-2.5155555555670617E-2</v>
      </c>
      <c r="K66" s="191">
        <f>'Functional Levels Drone Survey'!K66-'Existing Levels Drone Survey'!K66</f>
        <v>-4.6855555555680439E-2</v>
      </c>
      <c r="L66" s="191">
        <f>'Functional Levels Drone Survey'!L66-'Existing Levels Drone Survey'!L66</f>
        <v>-7.2755555555659157E-2</v>
      </c>
      <c r="M66" s="191">
        <f>'Functional Levels Drone Survey'!M66-'Existing Levels Drone Survey'!M66</f>
        <v>-8.4155555555639694E-2</v>
      </c>
      <c r="N66" s="191">
        <f>'Functional Levels Drone Survey'!N66-'Existing Levels Drone Survey'!N66</f>
        <v>-0.23755555555567298</v>
      </c>
      <c r="O66" s="191">
        <f>'Functional Levels Drone Survey'!O66-'Existing Levels Drone Survey'!O66</f>
        <v>-0.16445555555566216</v>
      </c>
      <c r="P66" s="191">
        <f>'Functional Levels Drone Survey'!P66-'Existing Levels Drone Survey'!P66</f>
        <v>-0.2452555555556728</v>
      </c>
      <c r="Q66" s="191">
        <f>'Functional Levels Drone Survey'!Q66-'Existing Levels Drone Survey'!Q66</f>
        <v>-1.6755555555675983E-2</v>
      </c>
      <c r="R66" s="191">
        <f>'Functional Levels Drone Survey'!R66-'Existing Levels Drone Survey'!R66</f>
        <v>-6.2955555555674891E-2</v>
      </c>
      <c r="S66" s="191">
        <f>'Functional Levels Drone Survey'!S66-'Existing Levels Drone Survey'!S66</f>
        <v>2.7244444444306737E-2</v>
      </c>
      <c r="T66" s="191">
        <f>'Functional Levels Drone Survey'!T66-'Existing Levels Drone Survey'!T66</f>
        <v>-5.9455555555643969E-2</v>
      </c>
      <c r="U66" s="191">
        <f>'Functional Levels Drone Survey'!U66-'Existing Levels Drone Survey'!U66</f>
        <v>-0.16925555555565097</v>
      </c>
      <c r="V66" s="191">
        <f>'Functional Levels Drone Survey'!V66-'Existing Levels Drone Survey'!V66</f>
        <v>2.1244444444334931E-2</v>
      </c>
      <c r="W66" s="191">
        <f>'Functional Levels Drone Survey'!W66-'Existing Levels Drone Survey'!W66</f>
        <v>-4.4355555555682713E-2</v>
      </c>
      <c r="X66" s="191">
        <f>'Functional Levels Drone Survey'!X66-'Existing Levels Drone Survey'!X66</f>
        <v>-3.175555555566234E-2</v>
      </c>
      <c r="Y66" s="279">
        <f>'Functional Levels Drone Survey'!Y66-'Existing Levels Drone Survey'!Y66</f>
        <v>-0.12485555555565497</v>
      </c>
      <c r="Z66" s="191">
        <f>'Functional Levels Drone Survey'!Z66-'Existing Levels Drone Survey'!Z66</f>
        <v>-9.0757142857228246E-2</v>
      </c>
      <c r="AA66" s="279">
        <f>'Functional Levels Drone Survey'!AA66-'Existing Levels Drone Survey'!AA66</f>
        <v>0.14934285714275575</v>
      </c>
      <c r="AB66" s="191">
        <f>'Functional Levels Drone Survey'!AB66-'Existing Levels Drone Survey'!AB66</f>
        <v>0.14564285714271819</v>
      </c>
      <c r="AC66" s="191">
        <f>'Functional Levels Drone Survey'!AC66-'Existing Levels Drone Survey'!AC66</f>
        <v>0.15004285714275056</v>
      </c>
      <c r="AD66" s="191">
        <f>'Functional Levels Drone Survey'!AD66-'Existing Levels Drone Survey'!AD66</f>
        <v>0.1683428571427612</v>
      </c>
      <c r="AE66" s="191">
        <f>'Functional Levels Drone Survey'!AE66-'Existing Levels Drone Survey'!AE66</f>
        <v>0.17174285714276039</v>
      </c>
      <c r="AF66" s="191">
        <f>'Functional Levels Drone Survey'!AF66-'Existing Levels Drone Survey'!AF66</f>
        <v>0.16804285714272282</v>
      </c>
      <c r="AG66" s="191">
        <f>'Functional Levels Drone Survey'!AG66-'Existing Levels Drone Survey'!AG66</f>
        <v>0.19044285714272746</v>
      </c>
      <c r="AH66" s="191">
        <f>'Functional Levels Drone Survey'!AH66-'Existing Levels Drone Survey'!AH66</f>
        <v>0.2099428571427211</v>
      </c>
      <c r="AI66" s="191">
        <f>'Functional Levels Drone Survey'!AI66-'Existing Levels Drone Survey'!AI66</f>
        <v>0.18684285714272164</v>
      </c>
      <c r="AJ66" s="191">
        <f>'Functional Levels Drone Survey'!AJ66-'Existing Levels Drone Survey'!AJ66</f>
        <v>0.18504285714271873</v>
      </c>
      <c r="AK66" s="191">
        <f>'Functional Levels Drone Survey'!AK66-'Existing Levels Drone Survey'!AK66</f>
        <v>0.16774285714274129</v>
      </c>
      <c r="AL66" s="191">
        <f>'Functional Levels Drone Survey'!AL66-'Existing Levels Drone Survey'!AL66</f>
        <v>0.14904285714271737</v>
      </c>
      <c r="AM66" s="191">
        <f>'Functional Levels Drone Survey'!AM66-'Existing Levels Drone Survey'!AM66</f>
        <v>0.15584285714271573</v>
      </c>
      <c r="AN66" s="191">
        <f>'Functional Levels Drone Survey'!AN66-'Existing Levels Drone Survey'!AN66</f>
        <v>0.15104285714272692</v>
      </c>
      <c r="AO66" s="191">
        <f>'Functional Levels Drone Survey'!AO66-'Existing Levels Drone Survey'!AO66</f>
        <v>0.14394285714274702</v>
      </c>
      <c r="AP66" s="191">
        <f>'Functional Levels Drone Survey'!AP66-'Existing Levels Drone Survey'!AP66</f>
        <v>0.12324285714271355</v>
      </c>
      <c r="AQ66" s="191">
        <f>'Functional Levels Drone Survey'!AQ66-'Existing Levels Drone Survey'!AQ66</f>
        <v>0.10634285714274938</v>
      </c>
      <c r="AR66" s="191">
        <f>'Functional Levels Drone Survey'!AR66-'Existing Levels Drone Survey'!AR66</f>
        <v>9.5242857142750381E-2</v>
      </c>
      <c r="AS66" s="191">
        <f>'Functional Levels Drone Survey'!AS66-'Existing Levels Drone Survey'!AS66</f>
        <v>0.11314285714274774</v>
      </c>
      <c r="AT66" s="191">
        <f>'Functional Levels Drone Survey'!AT66-'Existing Levels Drone Survey'!AT66</f>
        <v>0.22944285714271473</v>
      </c>
      <c r="AU66" s="279">
        <f>'Functional Levels Drone Survey'!AU66-'Existing Levels Drone Survey'!AU66</f>
        <v>0.22874285714271991</v>
      </c>
      <c r="AV66" s="191">
        <f>'Functional Levels Drone Survey'!AV66-'Existing Levels Drone Survey'!AV66</f>
        <v>2.0642857142718185E-2</v>
      </c>
      <c r="AW66" s="191">
        <f>'Functional Levels Drone Survey'!AW66-'Existing Levels Drone Survey'!AW66</f>
        <v>9.5428571427191855E-3</v>
      </c>
      <c r="AX66" s="191">
        <f>'Functional Levels Drone Survey'!AX66-'Existing Levels Drone Survey'!AX66</f>
        <v>5.3523809521607291E-3</v>
      </c>
      <c r="AY66" s="191">
        <f>'Functional Levels Drone Survey'!AY66-'Existing Levels Drone Survey'!AY66</f>
        <v>7.195238095221157E-2</v>
      </c>
      <c r="AZ66" s="191">
        <f>'Functional Levels Drone Survey'!AZ66-'Existing Levels Drone Survey'!AZ66</f>
        <v>4.1152380952212297E-2</v>
      </c>
      <c r="BA66" s="191">
        <f>'Functional Levels Drone Survey'!BA66-'Existing Levels Drone Survey'!BA66</f>
        <v>5.5352380952172098E-2</v>
      </c>
      <c r="BB66" s="191">
        <f>'Functional Levels Drone Survey'!BB66-'Existing Levels Drone Survey'!BB66</f>
        <v>5.2852380952174371E-2</v>
      </c>
      <c r="BC66" s="191">
        <f>'Functional Levels Drone Survey'!BC66-'Existing Levels Drone Survey'!BC66</f>
        <v>7.9452380952204749E-2</v>
      </c>
      <c r="BD66" s="191">
        <f>'Functional Levels Drone Survey'!BD66-'Existing Levels Drone Survey'!BD66</f>
        <v>4.523809521970179E-4</v>
      </c>
      <c r="BE66" s="191">
        <f>'Functional Levels Drone Survey'!BE66-'Existing Levels Drone Survey'!BE66</f>
        <v>1.6052380952203293E-2</v>
      </c>
      <c r="BF66" s="191">
        <f>'Functional Levels Drone Survey'!BF66-'Existing Levels Drone Survey'!BF66</f>
        <v>4.1452380952193835E-2</v>
      </c>
      <c r="BG66" s="191">
        <f>'Functional Levels Drone Survey'!BG66-'Existing Levels Drone Survey'!BG66</f>
        <v>2.1352380952180283E-2</v>
      </c>
      <c r="BH66" s="191">
        <f>'Functional Levels Drone Survey'!BH66-'Existing Levels Drone Survey'!BH66</f>
        <v>1.2452380952197473E-2</v>
      </c>
      <c r="BI66" s="191">
        <f>'Functional Levels Drone Survey'!BI66-'Existing Levels Drone Survey'!BI66</f>
        <v>4.1052380952180556E-2</v>
      </c>
      <c r="BJ66" s="191">
        <f>'Functional Levels Drone Survey'!BJ66-'Existing Levels Drone Survey'!BJ66</f>
        <v>2.2752380952169915E-2</v>
      </c>
      <c r="BK66" s="191">
        <f>'Functional Levels Drone Survey'!BK66-'Existing Levels Drone Survey'!BK66</f>
        <v>1.2652380952204112E-2</v>
      </c>
      <c r="BL66" s="191">
        <f>'Functional Levels Drone Survey'!BL66-'Existing Levels Drone Survey'!BL66</f>
        <v>2.0752380952160365E-2</v>
      </c>
      <c r="BM66" s="191">
        <f>'Functional Levels Drone Survey'!BM66-'Existing Levels Drone Survey'!BM66</f>
        <v>2.9952380952181556E-2</v>
      </c>
      <c r="BN66" s="191">
        <f>'Functional Levels Drone Survey'!BN66-'Existing Levels Drone Survey'!BN66</f>
        <v>-4.4476190478235367E-3</v>
      </c>
      <c r="BO66" s="191">
        <f>'Functional Levels Drone Survey'!BO66-'Existing Levels Drone Survey'!BO66</f>
        <v>-2.6347619047783155E-2</v>
      </c>
      <c r="BP66" s="191">
        <f>'Functional Levels Drone Survey'!BP66-'Existing Levels Drone Survey'!BP66</f>
        <v>-0.23634761904781953</v>
      </c>
      <c r="BQ66" s="191">
        <f>'Functional Levels Drone Survey'!BQ66-'Existing Levels Drone Survey'!BQ66</f>
        <v>-5.0747619047797343E-2</v>
      </c>
      <c r="BR66" s="191">
        <f>'Functional Levels Drone Survey'!BR66-'Existing Levels Drone Survey'!BR66</f>
        <v>0.1096523809521841</v>
      </c>
      <c r="BS66" s="191">
        <f>'Functional Levels Drone Survey'!BS66-'Existing Levels Drone Survey'!BS66</f>
        <v>-0.1863318181818272</v>
      </c>
      <c r="BT66" s="191">
        <f>'Functional Levels Drone Survey'!BT66-'Existing Levels Drone Survey'!BT66</f>
        <v>-0.19023181818181456</v>
      </c>
      <c r="BU66" s="191">
        <f>'Functional Levels Drone Survey'!BU66-'Existing Levels Drone Survey'!BU66</f>
        <v>-0.18183181818181993</v>
      </c>
      <c r="BV66" s="191">
        <f>'Functional Levels Drone Survey'!BV66-'Existing Levels Drone Survey'!BV66</f>
        <v>-0.21393181818183393</v>
      </c>
      <c r="BW66" s="191">
        <f>'Functional Levels Drone Survey'!BW66-'Existing Levels Drone Survey'!BW66</f>
        <v>-0.15193181818182211</v>
      </c>
      <c r="BX66" s="191">
        <f>'Functional Levels Drone Survey'!BX66-'Existing Levels Drone Survey'!BX66</f>
        <v>-0.15923181818180865</v>
      </c>
      <c r="BY66" s="191">
        <f>'Functional Levels Drone Survey'!BY66-'Existing Levels Drone Survey'!BY66</f>
        <v>-9.9431818181813014E-2</v>
      </c>
      <c r="BZ66" s="191">
        <f>'Functional Levels Drone Survey'!BZ66-'Existing Levels Drone Survey'!BZ66</f>
        <v>-3.7931818181846211E-2</v>
      </c>
      <c r="CA66" s="191">
        <f>'Functional Levels Drone Survey'!CA66-'Existing Levels Drone Survey'!CA66</f>
        <v>-4.0131818181805556E-2</v>
      </c>
      <c r="CB66" s="191">
        <f>'Functional Levels Drone Survey'!CB66-'Existing Levels Drone Survey'!CB66</f>
        <v>9.4681818181925337E-3</v>
      </c>
      <c r="CC66" s="191">
        <f>'Functional Levels Drone Survey'!CC66-'Existing Levels Drone Survey'!CC66</f>
        <v>-0.22619523809532893</v>
      </c>
      <c r="CD66" s="191">
        <f>'Functional Levels Drone Survey'!CD66-'Existing Levels Drone Survey'!CD66</f>
        <v>-0.23499523809533684</v>
      </c>
      <c r="CE66" s="191">
        <f>'Functional Levels Drone Survey'!CE66-'Existing Levels Drone Survey'!CE66</f>
        <v>-0.24379523809534476</v>
      </c>
      <c r="CF66" s="191">
        <f>'Functional Levels Drone Survey'!CF66-'Existing Levels Drone Survey'!CF66</f>
        <v>-0.22809523809536358</v>
      </c>
      <c r="CG66" s="191">
        <f>'Functional Levels Drone Survey'!CG66-'Existing Levels Drone Survey'!CG66</f>
        <v>-0.21749523809535276</v>
      </c>
      <c r="CH66" s="191">
        <f>'Functional Levels Drone Survey'!CH66-'Existing Levels Drone Survey'!CH66</f>
        <v>-0.24999523809538005</v>
      </c>
      <c r="CI66" s="191">
        <f>'Functional Levels Drone Survey'!CI66-'Existing Levels Drone Survey'!CI66</f>
        <v>-0.15889523809534012</v>
      </c>
      <c r="CJ66" s="191">
        <f>'Functional Levels Drone Survey'!CJ66-'Existing Levels Drone Survey'!CJ66</f>
        <v>-0.14479523809535522</v>
      </c>
      <c r="CK66" s="191">
        <f>'Functional Levels Drone Survey'!CK66-'Existing Levels Drone Survey'!CK66</f>
        <v>-0.12539523809533648</v>
      </c>
      <c r="CL66" s="191">
        <f>'Functional Levels Drone Survey'!CL66-'Existing Levels Drone Survey'!CL66</f>
        <v>-0.13519523809537759</v>
      </c>
      <c r="CM66" s="191">
        <f>'Functional Levels Drone Survey'!CM66-'Existing Levels Drone Survey'!CM66</f>
        <v>-0.11819523809532484</v>
      </c>
      <c r="CN66" s="191">
        <f>'Functional Levels Drone Survey'!CN66-'Existing Levels Drone Survey'!CN66</f>
        <v>-0.11199523809534639</v>
      </c>
      <c r="CO66" s="191">
        <f>'Functional Levels Drone Survey'!CO66-'Existing Levels Drone Survey'!CO66</f>
        <v>-0.13019523809532529</v>
      </c>
      <c r="CP66" s="191">
        <f>'Functional Levels Drone Survey'!CP66-'Existing Levels Drone Survey'!CP66</f>
        <v>-0.1259952380953564</v>
      </c>
      <c r="CQ66" s="279">
        <f>'Functional Levels Drone Survey'!CQ66-'Existing Levels Drone Survey'!CQ66</f>
        <v>-3.2676190476081501E-2</v>
      </c>
      <c r="CR66" s="279">
        <f>'Functional Levels Drone Survey'!CR66-'Existing Levels Drone Survey'!CR66</f>
        <v>-7.687619047607086E-2</v>
      </c>
      <c r="CS66" s="279">
        <f>'Functional Levels Drone Survey'!CS66-'Existing Levels Drone Survey'!CS66</f>
        <v>0.16332380952388803</v>
      </c>
      <c r="CT66" s="279">
        <f>'Functional Levels Drone Survey'!CT66-'Existing Levels Drone Survey'!CT66</f>
        <v>-3.2876190476088141E-2</v>
      </c>
      <c r="CU66" s="279">
        <f>'Functional Levels Drone Survey'!CU66-'Existing Levels Drone Survey'!CU66</f>
        <v>0.17232380952390258</v>
      </c>
      <c r="CV66" s="279">
        <f>'Functional Levels Drone Survey'!CV66-'Existing Levels Drone Survey'!CV66</f>
        <v>0.10192380952389613</v>
      </c>
      <c r="CW66" s="279">
        <f>'Functional Levels Drone Survey'!CW66-'Existing Levels Drone Survey'!CW66</f>
        <v>-7.9176190476118791E-2</v>
      </c>
      <c r="CX66" s="279">
        <f>'Functional Levels Drone Survey'!CX66-'Existing Levels Drone Survey'!CX66</f>
        <v>2.9123809523923683E-2</v>
      </c>
      <c r="CY66" s="279">
        <f>'Functional Levels Drone Survey'!CY66-'Existing Levels Drone Survey'!CY66</f>
        <v>-3.9176190476098327E-2</v>
      </c>
      <c r="CZ66" s="279">
        <f>'Functional Levels Drone Survey'!CZ66-'Existing Levels Drone Survey'!CZ66</f>
        <v>0.21712380952391186</v>
      </c>
      <c r="DA66" s="279">
        <f>'Functional Levels Drone Survey'!DA66-'Existing Levels Drone Survey'!DA66</f>
        <v>0.20452380952389149</v>
      </c>
      <c r="DB66" s="279">
        <f>'Functional Levels Drone Survey'!DB66-'Existing Levels Drone Survey'!DB66</f>
        <v>0.22482380952391168</v>
      </c>
      <c r="DC66" s="279">
        <f>'Functional Levels Drone Survey'!DC66-'Existing Levels Drone Survey'!DC66</f>
        <v>0.19202380952390286</v>
      </c>
      <c r="DD66" s="279">
        <f>'Functional Levels Drone Survey'!DD66-'Existing Levels Drone Survey'!DD66</f>
        <v>0.19972380952390267</v>
      </c>
      <c r="DE66" s="279">
        <f>'Functional Levels Drone Survey'!DE66-'Existing Levels Drone Survey'!DE66</f>
        <v>0.23752380952390695</v>
      </c>
      <c r="DF66" s="279">
        <f>'Functional Levels Drone Survey'!DF66-'Existing Levels Drone Survey'!DF66</f>
        <v>0.21852380952390149</v>
      </c>
      <c r="DG66" s="279">
        <f>'Functional Levels Drone Survey'!DG66-'Existing Levels Drone Survey'!DG66</f>
        <v>0.1497238095238913</v>
      </c>
      <c r="DH66" s="279">
        <f>'Functional Levels Drone Survey'!DH66-'Existing Levels Drone Survey'!DH66</f>
        <v>0.12892380952388294</v>
      </c>
      <c r="DI66" s="279">
        <f>'Functional Levels Drone Survey'!DI66-'Existing Levels Drone Survey'!DI66</f>
        <v>0.3342238095239054</v>
      </c>
      <c r="DJ66" s="279">
        <f>'Functional Levels Drone Survey'!DJ66-'Existing Levels Drone Survey'!DJ66</f>
        <v>0.16442380952389613</v>
      </c>
      <c r="DK66" s="279">
        <f>'Functional Levels Drone Survey'!DK66-'Existing Levels Drone Survey'!DK66</f>
        <v>0.12652380952391695</v>
      </c>
      <c r="DL66" s="191">
        <f>'Functional Levels Drone Survey'!DL66-'Existing Levels Drone Survey'!DL66</f>
        <v>0.11692380952393933</v>
      </c>
      <c r="DM66" s="191">
        <f>'Functional Levels Drone Survey'!DM66-'Existing Levels Drone Survey'!DM66</f>
        <v>0.20032380952392259</v>
      </c>
      <c r="DN66" s="191">
        <f>'Functional Levels Drone Survey'!DN66-'Existing Levels Drone Survey'!DN66</f>
        <v>0.33812380952389276</v>
      </c>
      <c r="DO66" s="191">
        <f>'Functional Levels Drone Survey'!DO66-'Existing Levels Drone Survey'!DO66</f>
        <v>5.8923809523946602E-2</v>
      </c>
      <c r="DP66" s="191">
        <f>'Functional Levels Drone Survey'!DP66-'Existing Levels Drone Survey'!DP66</f>
        <v>-1.7276190476081865E-2</v>
      </c>
      <c r="DQ66" s="191">
        <f>'Functional Levels Drone Survey'!DQ66-'Existing Levels Drone Survey'!DQ66</f>
        <v>-1.5876190476092233E-2</v>
      </c>
      <c r="DR66" s="191">
        <f>'Functional Levels Drone Survey'!DR66-'Existing Levels Drone Survey'!DR66</f>
        <v>-9.0376190476092688E-2</v>
      </c>
      <c r="DS66" s="191">
        <f>'Functional Levels Drone Survey'!DS66-'Existing Levels Drone Survey'!DS66</f>
        <v>2.4423809523909767E-2</v>
      </c>
      <c r="DT66" s="191">
        <f>'Functional Levels Drone Survey'!DT66-'Existing Levels Drone Survey'!DT66</f>
        <v>-3.307619047609478E-2</v>
      </c>
      <c r="DU66" s="191">
        <f>'Functional Levels Drone Survey'!DU66-'Existing Levels Drone Survey'!DU66</f>
        <v>-2.8776190476094143E-2</v>
      </c>
      <c r="DV66" s="191">
        <f>'Functional Levels Drone Survey'!DV66-'Existing Levels Drone Survey'!DV66</f>
        <v>-0.11297619047610397</v>
      </c>
      <c r="DW66" s="191">
        <f>'Functional Levels Drone Survey'!DW66-'Existing Levels Drone Survey'!DW66</f>
        <v>-0.17247619047606122</v>
      </c>
      <c r="DX66" s="278">
        <f>'Functional Levels Drone Survey'!DX66-'Existing Levels Drone Survey'!DX66</f>
        <v>-0.24317619047610606</v>
      </c>
      <c r="DY66" s="191">
        <f>'Functional Levels Drone Survey'!DY66-'Existing Levels Drone Survey'!DY66</f>
        <v>0</v>
      </c>
      <c r="DZ66" s="191">
        <f>'Functional Levels Drone Survey'!DZ66-'Existing Levels Drone Survey'!DZ66</f>
        <v>0</v>
      </c>
      <c r="EA66" s="191">
        <f>'Functional Levels Drone Survey'!EA66-'Existing Levels Drone Survey'!EA66</f>
        <v>0</v>
      </c>
      <c r="EB66" s="191">
        <f>'Functional Levels Drone Survey'!EB66-'Existing Levels Drone Survey'!EB66</f>
        <v>0</v>
      </c>
      <c r="EC66" s="191">
        <f>'Functional Levels Drone Survey'!EC66-'Existing Levels Drone Survey'!EC66</f>
        <v>0</v>
      </c>
      <c r="ED66" s="191">
        <f>'Functional Levels Drone Survey'!ED66-'Existing Levels Drone Survey'!ED66</f>
        <v>0</v>
      </c>
      <c r="EE66" s="191">
        <f>'Functional Levels Drone Survey'!EE66-'Existing Levels Drone Survey'!EE66</f>
        <v>0</v>
      </c>
      <c r="EF66" s="191">
        <f>'Functional Levels Drone Survey'!EF66-'Existing Levels Drone Survey'!EF66</f>
        <v>0</v>
      </c>
      <c r="EG66" s="191">
        <f>'Functional Levels Drone Survey'!EG66-'Existing Levels Drone Survey'!EG66</f>
        <v>0</v>
      </c>
      <c r="EH66" s="191">
        <f>'Functional Levels Drone Survey'!EH66-'Existing Levels Drone Survey'!EH66</f>
        <v>0</v>
      </c>
      <c r="EI66" s="191">
        <f>'Functional Levels Drone Survey'!EI66-'Existing Levels Drone Survey'!EI66</f>
        <v>0</v>
      </c>
      <c r="EJ66" s="191">
        <f>'Functional Levels Drone Survey'!EJ66-'Existing Levels Drone Survey'!EJ66</f>
        <v>0</v>
      </c>
      <c r="EK66" s="191">
        <f>'Functional Levels Drone Survey'!EK66-'Existing Levels Drone Survey'!EK66</f>
        <v>0</v>
      </c>
      <c r="EL66" s="191">
        <f>'Functional Levels Drone Survey'!EL66-'Existing Levels Drone Survey'!EL66</f>
        <v>0</v>
      </c>
      <c r="EM66" s="191">
        <f>'Functional Levels Drone Survey'!EM66-'Existing Levels Drone Survey'!EM66</f>
        <v>0</v>
      </c>
      <c r="EN66" s="191">
        <f>'Functional Levels Drone Survey'!EN66-'Existing Levels Drone Survey'!EN66</f>
        <v>0</v>
      </c>
      <c r="EO66" s="191">
        <f>'Functional Levels Drone Survey'!EO66-'Existing Levels Drone Survey'!EO66</f>
        <v>0</v>
      </c>
      <c r="EP66" s="191">
        <f>'Functional Levels Drone Survey'!EP66-'Existing Levels Drone Survey'!EP66</f>
        <v>0</v>
      </c>
      <c r="EQ66" s="191">
        <f>'Functional Levels Drone Survey'!EQ66-'Existing Levels Drone Survey'!EQ66</f>
        <v>0</v>
      </c>
      <c r="ER66" s="191">
        <f>'Functional Levels Drone Survey'!ER66-'Existing Levels Drone Survey'!ER66</f>
        <v>0</v>
      </c>
      <c r="ES66" s="191">
        <f>'Functional Levels Drone Survey'!ES66-'Existing Levels Drone Survey'!ES66</f>
        <v>0</v>
      </c>
      <c r="ET66" s="191">
        <f>'Functional Levels Drone Survey'!ET66-'Existing Levels Drone Survey'!ET66</f>
        <v>0</v>
      </c>
      <c r="EU66" s="191">
        <f>'Functional Levels Drone Survey'!EU66-'Existing Levels Drone Survey'!EU66</f>
        <v>0</v>
      </c>
      <c r="EV66" s="191">
        <f>'Functional Levels Drone Survey'!EV66-'Existing Levels Drone Survey'!EV66</f>
        <v>0</v>
      </c>
      <c r="EW66" s="191">
        <f>'Functional Levels Drone Survey'!EW66-'Existing Levels Drone Survey'!EW66</f>
        <v>0</v>
      </c>
      <c r="EX66" s="191">
        <f>'Functional Levels Drone Survey'!EX66-'Existing Levels Drone Survey'!EX66</f>
        <v>0</v>
      </c>
      <c r="EY66" s="191">
        <f>'Functional Levels Drone Survey'!EY66-'Existing Levels Drone Survey'!EY66</f>
        <v>0</v>
      </c>
    </row>
    <row r="67" spans="1:155" ht="45" customHeight="1" x14ac:dyDescent="0.45">
      <c r="A67" s="277">
        <v>330</v>
      </c>
      <c r="B67" s="191">
        <f>'Functional Levels Drone Survey'!B67-'Existing Levels Drone Survey'!B67</f>
        <v>0</v>
      </c>
      <c r="C67" s="191">
        <f>'Functional Levels Drone Survey'!C67-'Existing Levels Drone Survey'!C67</f>
        <v>0</v>
      </c>
      <c r="D67" s="191">
        <f>'Functional Levels Drone Survey'!D67-'Existing Levels Drone Survey'!D67</f>
        <v>0</v>
      </c>
      <c r="E67" s="278">
        <f>'Functional Levels Drone Survey'!E67-'Existing Levels Drone Survey'!E67</f>
        <v>-0.46155555555566252</v>
      </c>
      <c r="F67" s="191">
        <f>'Functional Levels Drone Survey'!F67-'Existing Levels Drone Survey'!F67</f>
        <v>-4.5655555555697447E-2</v>
      </c>
      <c r="G67" s="191">
        <f>'Functional Levels Drone Survey'!G67-'Existing Levels Drone Survey'!G67</f>
        <v>-5.3855555555685442E-2</v>
      </c>
      <c r="H67" s="279">
        <f>'Functional Levels Drone Survey'!H67-'Existing Levels Drone Survey'!H67</f>
        <v>2.344444444435112E-2</v>
      </c>
      <c r="I67" s="191">
        <f>'Functional Levels Drone Survey'!I67-'Existing Levels Drone Survey'!I67</f>
        <v>5.0544444444369674E-2</v>
      </c>
      <c r="J67" s="191">
        <f>'Functional Levels Drone Survey'!J67-'Existing Levels Drone Survey'!J67</f>
        <v>3.3444444443375687E-3</v>
      </c>
      <c r="K67" s="191">
        <f>'Functional Levels Drone Survey'!K67-'Existing Levels Drone Survey'!K67</f>
        <v>-4.0555555556807121E-3</v>
      </c>
      <c r="L67" s="191">
        <f>'Functional Levels Drone Survey'!L67-'Existing Levels Drone Survey'!L67</f>
        <v>-0.24375555555565143</v>
      </c>
      <c r="M67" s="191">
        <f>'Functional Levels Drone Survey'!M67-'Existing Levels Drone Survey'!M67</f>
        <v>-0.37375555555564688</v>
      </c>
      <c r="N67" s="191">
        <f>'Functional Levels Drone Survey'!N67-'Existing Levels Drone Survey'!N67</f>
        <v>-0.30595555555566989</v>
      </c>
      <c r="O67" s="191">
        <f>'Functional Levels Drone Survey'!O67-'Existing Levels Drone Survey'!O67</f>
        <v>-0.57115555555566289</v>
      </c>
      <c r="P67" s="191">
        <f>'Functional Levels Drone Survey'!P67-'Existing Levels Drone Survey'!P67</f>
        <v>-0.5748555555556436</v>
      </c>
      <c r="Q67" s="191">
        <f>'Functional Levels Drone Survey'!Q67-'Existing Levels Drone Survey'!Q67</f>
        <v>-8.8555555555672072E-2</v>
      </c>
      <c r="R67" s="191">
        <f>'Functional Levels Drone Survey'!R67-'Existing Levels Drone Survey'!R67</f>
        <v>-6.0755555555658702E-2</v>
      </c>
      <c r="S67" s="191">
        <f>'Functional Levels Drone Survey'!S67-'Existing Levels Drone Survey'!S67</f>
        <v>0.11584444444434894</v>
      </c>
      <c r="T67" s="191">
        <f>'Functional Levels Drone Survey'!T67-'Existing Levels Drone Survey'!T67</f>
        <v>-1.4555555556512445E-3</v>
      </c>
      <c r="U67" s="191">
        <f>'Functional Levels Drone Survey'!U67-'Existing Levels Drone Survey'!U67</f>
        <v>5.3244444444317196E-2</v>
      </c>
      <c r="V67" s="191">
        <f>'Functional Levels Drone Survey'!V67-'Existing Levels Drone Survey'!V67</f>
        <v>4.924444444435494E-2</v>
      </c>
      <c r="W67" s="191">
        <f>'Functional Levels Drone Survey'!W67-'Existing Levels Drone Survey'!W67</f>
        <v>3.3244444444335386E-2</v>
      </c>
      <c r="X67" s="191">
        <f>'Functional Levels Drone Survey'!X67-'Existing Levels Drone Survey'!X67</f>
        <v>2.674444444431856E-2</v>
      </c>
      <c r="Y67" s="279">
        <f>'Functional Levels Drone Survey'!Y67-'Existing Levels Drone Survey'!Y67</f>
        <v>-0.14075555555564279</v>
      </c>
      <c r="Z67" s="191">
        <f>'Functional Levels Drone Survey'!Z67-'Existing Levels Drone Survey'!Z67</f>
        <v>-3.4957142857251711E-2</v>
      </c>
      <c r="AA67" s="279">
        <f>'Functional Levels Drone Survey'!AA67-'Existing Levels Drone Survey'!AA67</f>
        <v>0.16324285714273401</v>
      </c>
      <c r="AB67" s="191">
        <f>'Functional Levels Drone Survey'!AB67-'Existing Levels Drone Survey'!AB67</f>
        <v>0.17124285714277221</v>
      </c>
      <c r="AC67" s="191">
        <f>'Functional Levels Drone Survey'!AC67-'Existing Levels Drone Survey'!AC67</f>
        <v>0.18084285714274984</v>
      </c>
      <c r="AD67" s="191">
        <f>'Functional Levels Drone Survey'!AD67-'Existing Levels Drone Survey'!AD67</f>
        <v>0.20614285714276548</v>
      </c>
      <c r="AE67" s="191">
        <f>'Functional Levels Drone Survey'!AE67-'Existing Levels Drone Survey'!AE67</f>
        <v>0.20594285714275884</v>
      </c>
      <c r="AF67" s="191">
        <f>'Functional Levels Drone Survey'!AF67-'Existing Levels Drone Survey'!AF67</f>
        <v>0.18514285714275047</v>
      </c>
      <c r="AG67" s="191">
        <f>'Functional Levels Drone Survey'!AG67-'Existing Levels Drone Survey'!AG67</f>
        <v>0.20804285714274329</v>
      </c>
      <c r="AH67" s="191">
        <f>'Functional Levels Drone Survey'!AH67-'Existing Levels Drone Survey'!AH67</f>
        <v>0.24734285714276893</v>
      </c>
      <c r="AI67" s="191">
        <f>'Functional Levels Drone Survey'!AI67-'Existing Levels Drone Survey'!AI67</f>
        <v>0.23664285714272637</v>
      </c>
      <c r="AJ67" s="191">
        <f>'Functional Levels Drone Survey'!AJ67-'Existing Levels Drone Survey'!AJ67</f>
        <v>0.2268428571427421</v>
      </c>
      <c r="AK67" s="191">
        <f>'Functional Levels Drone Survey'!AK67-'Existing Levels Drone Survey'!AK67</f>
        <v>0.2419428571427602</v>
      </c>
      <c r="AL67" s="191">
        <f>'Functional Levels Drone Survey'!AL67-'Existing Levels Drone Survey'!AL67</f>
        <v>0.23014285714276639</v>
      </c>
      <c r="AM67" s="191">
        <f>'Functional Levels Drone Survey'!AM67-'Existing Levels Drone Survey'!AM67</f>
        <v>0.21374285714273356</v>
      </c>
      <c r="AN67" s="191">
        <f>'Functional Levels Drone Survey'!AN67-'Existing Levels Drone Survey'!AN67</f>
        <v>0.19004285714277103</v>
      </c>
      <c r="AO67" s="191">
        <f>'Functional Levels Drone Survey'!AO67-'Existing Levels Drone Survey'!AO67</f>
        <v>0.18794285714272974</v>
      </c>
      <c r="AP67" s="191">
        <f>'Functional Levels Drone Survey'!AP67-'Existing Levels Drone Survey'!AP67</f>
        <v>0.1805428571427683</v>
      </c>
      <c r="AQ67" s="191">
        <f>'Functional Levels Drone Survey'!AQ67-'Existing Levels Drone Survey'!AQ67</f>
        <v>0.16974285714275084</v>
      </c>
      <c r="AR67" s="191">
        <f>'Functional Levels Drone Survey'!AR67-'Existing Levels Drone Survey'!AR67</f>
        <v>0.16204285714275102</v>
      </c>
      <c r="AS67" s="191">
        <f>'Functional Levels Drone Survey'!AS67-'Existing Levels Drone Survey'!AS67</f>
        <v>0.18094285714272473</v>
      </c>
      <c r="AT67" s="191">
        <f>'Functional Levels Drone Survey'!AT67-'Existing Levels Drone Survey'!AT67</f>
        <v>0.27194285714273292</v>
      </c>
      <c r="AU67" s="279">
        <f>'Functional Levels Drone Survey'!AU67-'Existing Levels Drone Survey'!AU67</f>
        <v>0.2541428571427673</v>
      </c>
      <c r="AV67" s="191">
        <f>'Functional Levels Drone Survey'!AV67-'Existing Levels Drone Survey'!AV67</f>
        <v>2.6542857142715093E-2</v>
      </c>
      <c r="AW67" s="191">
        <f>'Functional Levels Drone Survey'!AW67-'Existing Levels Drone Survey'!AW67</f>
        <v>-8.5571428572848163E-3</v>
      </c>
      <c r="AX67" s="279">
        <f>'Functional Levels Drone Survey'!AX67-'Existing Levels Drone Survey'!AX67</f>
        <v>3.9152380952202748E-2</v>
      </c>
      <c r="AY67" s="279">
        <f>'Functional Levels Drone Survey'!AY67-'Existing Levels Drone Survey'!AY67</f>
        <v>5.9552380952197836E-2</v>
      </c>
      <c r="AZ67" s="279">
        <f>'Functional Levels Drone Survey'!AZ67-'Existing Levels Drone Survey'!AZ67</f>
        <v>7.5052380952172371E-2</v>
      </c>
      <c r="BA67" s="279">
        <f>'Functional Levels Drone Survey'!BA67-'Existing Levels Drone Survey'!BA67</f>
        <v>9.5452380952224303E-2</v>
      </c>
      <c r="BB67" s="279">
        <f>'Functional Levels Drone Survey'!BB67-'Existing Levels Drone Survey'!BB67</f>
        <v>8.7752380952224485E-2</v>
      </c>
      <c r="BC67" s="279">
        <f>'Functional Levels Drone Survey'!BC67-'Existing Levels Drone Survey'!BC67</f>
        <v>7.7852380952208478E-2</v>
      </c>
      <c r="BD67" s="279">
        <f>'Functional Levels Drone Survey'!BD67-'Existing Levels Drone Survey'!BD67</f>
        <v>-2.6447619047814896E-2</v>
      </c>
      <c r="BE67" s="279">
        <f>'Functional Levels Drone Survey'!BE67-'Existing Levels Drone Survey'!BE67</f>
        <v>6.3752380952223575E-2</v>
      </c>
      <c r="BF67" s="279">
        <f>'Functional Levels Drone Survey'!BF67-'Existing Levels Drone Survey'!BF67</f>
        <v>4.4552380952211479E-2</v>
      </c>
      <c r="BG67" s="279">
        <f>'Functional Levels Drone Survey'!BG67-'Existing Levels Drone Survey'!BG67</f>
        <v>3.6952380952186559E-2</v>
      </c>
      <c r="BH67" s="279">
        <f>'Functional Levels Drone Survey'!BH67-'Existing Levels Drone Survey'!BH67</f>
        <v>3.2252380952172643E-2</v>
      </c>
      <c r="BI67" s="279">
        <f>'Functional Levels Drone Survey'!BI67-'Existing Levels Drone Survey'!BI67</f>
        <v>6.8252380952174008E-2</v>
      </c>
      <c r="BJ67" s="279">
        <f>'Functional Levels Drone Survey'!BJ67-'Existing Levels Drone Survey'!BJ67</f>
        <v>4.8352380952223939E-2</v>
      </c>
      <c r="BK67" s="279">
        <f>'Functional Levels Drone Survey'!BK67-'Existing Levels Drone Survey'!BK67</f>
        <v>2.945238095219338E-2</v>
      </c>
      <c r="BL67" s="279">
        <f>'Functional Levels Drone Survey'!BL67-'Existing Levels Drone Survey'!BL67</f>
        <v>6.995238095220202E-2</v>
      </c>
      <c r="BM67" s="279">
        <f>'Functional Levels Drone Survey'!BM67-'Existing Levels Drone Survey'!BM67</f>
        <v>4.8052380952185558E-2</v>
      </c>
      <c r="BN67" s="279">
        <f>'Functional Levels Drone Survey'!BN67-'Existing Levels Drone Survey'!BN67</f>
        <v>3.5852380952178464E-2</v>
      </c>
      <c r="BO67" s="279">
        <f>'Functional Levels Drone Survey'!BO67-'Existing Levels Drone Survey'!BO67</f>
        <v>3.4452380952188832E-2</v>
      </c>
      <c r="BP67" s="279">
        <f>'Functional Levels Drone Survey'!BP67-'Existing Levels Drone Survey'!BP67</f>
        <v>-2.9647619047807439E-2</v>
      </c>
      <c r="BQ67" s="279">
        <f>'Functional Levels Drone Survey'!BQ67-'Existing Levels Drone Survey'!BQ67</f>
        <v>0.1399523809521952</v>
      </c>
      <c r="BR67" s="279">
        <f>'Functional Levels Drone Survey'!BR67-'Existing Levels Drone Survey'!BR67</f>
        <v>0.1318523809521821</v>
      </c>
      <c r="BS67" s="191">
        <f>'Functional Levels Drone Survey'!BS67-'Existing Levels Drone Survey'!BS67</f>
        <v>-0.10053181818182111</v>
      </c>
      <c r="BT67" s="279">
        <f>'Functional Levels Drone Survey'!BT67-'Existing Levels Drone Survey'!BT67</f>
        <v>-0.10193181818181074</v>
      </c>
      <c r="BU67" s="279">
        <f>'Functional Levels Drone Survey'!BU67-'Existing Levels Drone Survey'!BU67</f>
        <v>-8.7631818181819199E-2</v>
      </c>
      <c r="BV67" s="279">
        <f>'Functional Levels Drone Survey'!BV67-'Existing Levels Drone Survey'!BV67</f>
        <v>-6.5631818181827839E-2</v>
      </c>
      <c r="BW67" s="279">
        <f>'Functional Levels Drone Survey'!BW67-'Existing Levels Drone Survey'!BW67</f>
        <v>-6.0031818181812469E-2</v>
      </c>
      <c r="BX67" s="279">
        <f>'Functional Levels Drone Survey'!BX67-'Existing Levels Drone Survey'!BX67</f>
        <v>-5.2831818181800827E-2</v>
      </c>
      <c r="BY67" s="279">
        <f>'Functional Levels Drone Survey'!BY67-'Existing Levels Drone Survey'!BY67</f>
        <v>-2.5831818181814015E-2</v>
      </c>
      <c r="BZ67" s="279">
        <f>'Functional Levels Drone Survey'!BZ67-'Existing Levels Drone Survey'!BZ67</f>
        <v>0.10446818181821982</v>
      </c>
      <c r="CA67" s="279">
        <f>'Functional Levels Drone Survey'!CA67-'Existing Levels Drone Survey'!CA67</f>
        <v>0.11536818181821218</v>
      </c>
      <c r="CB67" s="279">
        <f>'Functional Levels Drone Survey'!CB67-'Existing Levels Drone Survey'!CB67</f>
        <v>0.10516818181821463</v>
      </c>
      <c r="CC67" s="279">
        <f>'Functional Levels Drone Survey'!CC67-'Existing Levels Drone Survey'!CC67</f>
        <v>0.10906818181820199</v>
      </c>
      <c r="CD67" s="279">
        <f>'Functional Levels Drone Survey'!CD67-'Existing Levels Drone Survey'!CD67</f>
        <v>8.9068181818220182E-2</v>
      </c>
      <c r="CE67" s="279">
        <f>'Functional Levels Drone Survey'!CE67-'Existing Levels Drone Survey'!CE67</f>
        <v>7.9868181818198991E-2</v>
      </c>
      <c r="CF67" s="279">
        <f>'Functional Levels Drone Survey'!CF67-'Existing Levels Drone Survey'!CF67</f>
        <v>9.9968181818212543E-2</v>
      </c>
      <c r="CG67" s="279">
        <f>'Functional Levels Drone Survey'!CG67-'Existing Levels Drone Survey'!CG67</f>
        <v>0.11466818181821736</v>
      </c>
      <c r="CH67" s="279">
        <f>'Functional Levels Drone Survey'!CH67-'Existing Levels Drone Survey'!CH67</f>
        <v>8.5668181818164157E-2</v>
      </c>
      <c r="CI67" s="279">
        <f>'Functional Levels Drone Survey'!CI67-'Existing Levels Drone Survey'!CI67</f>
        <v>0.15156818181822018</v>
      </c>
      <c r="CJ67" s="279">
        <f>'Functional Levels Drone Survey'!CJ67-'Existing Levels Drone Survey'!CJ67</f>
        <v>0.15696818181817207</v>
      </c>
      <c r="CK67" s="279">
        <f>'Functional Levels Drone Survey'!CK67-'Existing Levels Drone Survey'!CK67</f>
        <v>0.14616818181821145</v>
      </c>
      <c r="CL67" s="279">
        <f>'Functional Levels Drone Survey'!CL67-'Existing Levels Drone Survey'!CL67</f>
        <v>0.13586818181818217</v>
      </c>
      <c r="CM67" s="279">
        <f>'Functional Levels Drone Survey'!CM67-'Existing Levels Drone Survey'!CM67</f>
        <v>0.167468181818208</v>
      </c>
      <c r="CN67" s="279">
        <f>'Functional Levels Drone Survey'!CN67-'Existing Levels Drone Survey'!CN67</f>
        <v>0.19936818181821536</v>
      </c>
      <c r="CO67" s="279">
        <f>'Functional Levels Drone Survey'!CO67-'Existing Levels Drone Survey'!CO67</f>
        <v>0.16116818181819781</v>
      </c>
      <c r="CP67" s="191">
        <f>'Functional Levels Drone Survey'!CP67-'Existing Levels Drone Survey'!CP67</f>
        <v>-3.8276190476096872E-2</v>
      </c>
      <c r="CQ67" s="279">
        <f>'Functional Levels Drone Survey'!CQ67-'Existing Levels Drone Survey'!CQ67</f>
        <v>-2.217619047610242E-2</v>
      </c>
      <c r="CR67" s="191">
        <f>'Functional Levels Drone Survey'!CR67-'Existing Levels Drone Survey'!CR67</f>
        <v>-4.747619047606122E-2</v>
      </c>
      <c r="CS67" s="191">
        <f>'Functional Levels Drone Survey'!CS67-'Existing Levels Drone Survey'!CS67</f>
        <v>0.16902380952393514</v>
      </c>
      <c r="CT67" s="191">
        <f>'Functional Levels Drone Survey'!CT67-'Existing Levels Drone Survey'!CT67</f>
        <v>0.17052380952389967</v>
      </c>
      <c r="CU67" s="191">
        <f>'Functional Levels Drone Survey'!CU67-'Existing Levels Drone Survey'!CU67</f>
        <v>0.2021238095239255</v>
      </c>
      <c r="CV67" s="191">
        <f>'Functional Levels Drone Survey'!CV67-'Existing Levels Drone Survey'!CV67</f>
        <v>0.21982380952391622</v>
      </c>
      <c r="CW67" s="191">
        <f>'Functional Levels Drone Survey'!CW67-'Existing Levels Drone Survey'!CW67</f>
        <v>0.17822380952389949</v>
      </c>
      <c r="CX67" s="191">
        <f>'Functional Levels Drone Survey'!CX67-'Existing Levels Drone Survey'!CX67</f>
        <v>0.18832380952392214</v>
      </c>
      <c r="CY67" s="191">
        <f>'Functional Levels Drone Survey'!CY67-'Existing Levels Drone Survey'!CY67</f>
        <v>0.16862380952392186</v>
      </c>
      <c r="CZ67" s="191">
        <f>'Functional Levels Drone Survey'!CZ67-'Existing Levels Drone Survey'!CZ67</f>
        <v>0.26672380952390995</v>
      </c>
      <c r="DA67" s="191">
        <f>'Functional Levels Drone Survey'!DA67-'Existing Levels Drone Survey'!DA67</f>
        <v>0.23922380952393496</v>
      </c>
      <c r="DB67" s="191">
        <f>'Functional Levels Drone Survey'!DB67-'Existing Levels Drone Survey'!DB67</f>
        <v>0.24832380952392441</v>
      </c>
      <c r="DC67" s="191">
        <f>'Functional Levels Drone Survey'!DC67-'Existing Levels Drone Survey'!DC67</f>
        <v>0.23702380952391877</v>
      </c>
      <c r="DD67" s="191">
        <f>'Functional Levels Drone Survey'!DD67-'Existing Levels Drone Survey'!DD67</f>
        <v>0.17432380952391213</v>
      </c>
      <c r="DE67" s="191">
        <f>'Functional Levels Drone Survey'!DE67-'Existing Levels Drone Survey'!DE67</f>
        <v>0.23922380952393496</v>
      </c>
      <c r="DF67" s="191">
        <f>'Functional Levels Drone Survey'!DF67-'Existing Levels Drone Survey'!DF67</f>
        <v>0.14892380952392159</v>
      </c>
      <c r="DG67" s="191">
        <f>'Functional Levels Drone Survey'!DG67-'Existing Levels Drone Survey'!DG67</f>
        <v>0.29122380952389904</v>
      </c>
      <c r="DH67" s="191">
        <f>'Functional Levels Drone Survey'!DH67-'Existing Levels Drone Survey'!DH67</f>
        <v>0.19852380952391968</v>
      </c>
      <c r="DI67" s="191">
        <f>'Functional Levels Drone Survey'!DI67-'Existing Levels Drone Survey'!DI67</f>
        <v>0.43612380952390595</v>
      </c>
      <c r="DJ67" s="191">
        <f>'Functional Levels Drone Survey'!DJ67-'Existing Levels Drone Survey'!DJ67</f>
        <v>0.34322380952391995</v>
      </c>
      <c r="DK67" s="279">
        <f>'Functional Levels Drone Survey'!DK67-'Existing Levels Drone Survey'!DK67</f>
        <v>0.2687238095239195</v>
      </c>
      <c r="DL67" s="191">
        <f>'Functional Levels Drone Survey'!DL67-'Existing Levels Drone Survey'!DL67</f>
        <v>0.28082380952389485</v>
      </c>
      <c r="DM67" s="191">
        <f>'Functional Levels Drone Survey'!DM67-'Existing Levels Drone Survey'!DM67</f>
        <v>0.28222380952394133</v>
      </c>
      <c r="DN67" s="191">
        <f>'Functional Levels Drone Survey'!DN67-'Existing Levels Drone Survey'!DN67</f>
        <v>0.55772380952390677</v>
      </c>
      <c r="DO67" s="191">
        <f>'Functional Levels Drone Survey'!DO67-'Existing Levels Drone Survey'!DO67</f>
        <v>0.4078238095239044</v>
      </c>
      <c r="DP67" s="191">
        <f>'Functional Levels Drone Survey'!DP67-'Existing Levels Drone Survey'!DP67</f>
        <v>0.15462380952391186</v>
      </c>
      <c r="DQ67" s="191">
        <f>'Functional Levels Drone Survey'!DQ67-'Existing Levels Drone Survey'!DQ67</f>
        <v>4.2523809523913769E-2</v>
      </c>
      <c r="DR67" s="191">
        <f>'Functional Levels Drone Survey'!DR67-'Existing Levels Drone Survey'!DR67</f>
        <v>6.523809523912405E-3</v>
      </c>
      <c r="DS67" s="191">
        <f>'Functional Levels Drone Survey'!DS67-'Existing Levels Drone Survey'!DS67</f>
        <v>-4.8076190476081138E-2</v>
      </c>
      <c r="DT67" s="191">
        <f>'Functional Levels Drone Survey'!DT67-'Existing Levels Drone Survey'!DT67</f>
        <v>-3.3761904761036021E-3</v>
      </c>
      <c r="DU67" s="191">
        <f>'Functional Levels Drone Survey'!DU67-'Existing Levels Drone Survey'!DU67</f>
        <v>0.12902380952391468</v>
      </c>
      <c r="DV67" s="191">
        <f>'Functional Levels Drone Survey'!DV67-'Existing Levels Drone Survey'!DV67</f>
        <v>4.223809523921318E-3</v>
      </c>
      <c r="DW67" s="191">
        <f>'Functional Levels Drone Survey'!DW67-'Existing Levels Drone Survey'!DW67</f>
        <v>-6.4876190476070406E-2</v>
      </c>
      <c r="DX67" s="278">
        <f>'Functional Levels Drone Survey'!DX67-'Existing Levels Drone Survey'!DX67</f>
        <v>-0.14317619047608332</v>
      </c>
      <c r="DY67" s="191">
        <f>'Functional Levels Drone Survey'!DY67-'Existing Levels Drone Survey'!DY67</f>
        <v>0</v>
      </c>
      <c r="DZ67" s="191">
        <f>'Functional Levels Drone Survey'!DZ67-'Existing Levels Drone Survey'!DZ67</f>
        <v>0</v>
      </c>
      <c r="EA67" s="191">
        <f>'Functional Levels Drone Survey'!EA67-'Existing Levels Drone Survey'!EA67</f>
        <v>0</v>
      </c>
      <c r="EB67" s="191">
        <f>'Functional Levels Drone Survey'!EB67-'Existing Levels Drone Survey'!EB67</f>
        <v>0</v>
      </c>
      <c r="EC67" s="191">
        <f>'Functional Levels Drone Survey'!EC67-'Existing Levels Drone Survey'!EC67</f>
        <v>0</v>
      </c>
      <c r="ED67" s="191">
        <f>'Functional Levels Drone Survey'!ED67-'Existing Levels Drone Survey'!ED67</f>
        <v>0</v>
      </c>
      <c r="EE67" s="191">
        <f>'Functional Levels Drone Survey'!EE67-'Existing Levels Drone Survey'!EE67</f>
        <v>0</v>
      </c>
      <c r="EF67" s="191">
        <f>'Functional Levels Drone Survey'!EF67-'Existing Levels Drone Survey'!EF67</f>
        <v>0</v>
      </c>
      <c r="EG67" s="191">
        <f>'Functional Levels Drone Survey'!EG67-'Existing Levels Drone Survey'!EG67</f>
        <v>0</v>
      </c>
      <c r="EH67" s="191">
        <f>'Functional Levels Drone Survey'!EH67-'Existing Levels Drone Survey'!EH67</f>
        <v>0</v>
      </c>
      <c r="EI67" s="191">
        <f>'Functional Levels Drone Survey'!EI67-'Existing Levels Drone Survey'!EI67</f>
        <v>0</v>
      </c>
      <c r="EJ67" s="191">
        <f>'Functional Levels Drone Survey'!EJ67-'Existing Levels Drone Survey'!EJ67</f>
        <v>0</v>
      </c>
      <c r="EK67" s="191">
        <f>'Functional Levels Drone Survey'!EK67-'Existing Levels Drone Survey'!EK67</f>
        <v>0</v>
      </c>
      <c r="EL67" s="191">
        <f>'Functional Levels Drone Survey'!EL67-'Existing Levels Drone Survey'!EL67</f>
        <v>0</v>
      </c>
      <c r="EM67" s="191">
        <f>'Functional Levels Drone Survey'!EM67-'Existing Levels Drone Survey'!EM67</f>
        <v>0</v>
      </c>
      <c r="EN67" s="191">
        <f>'Functional Levels Drone Survey'!EN67-'Existing Levels Drone Survey'!EN67</f>
        <v>0</v>
      </c>
      <c r="EO67" s="191">
        <f>'Functional Levels Drone Survey'!EO67-'Existing Levels Drone Survey'!EO67</f>
        <v>0</v>
      </c>
      <c r="EP67" s="191">
        <f>'Functional Levels Drone Survey'!EP67-'Existing Levels Drone Survey'!EP67</f>
        <v>0</v>
      </c>
      <c r="EQ67" s="191">
        <f>'Functional Levels Drone Survey'!EQ67-'Existing Levels Drone Survey'!EQ67</f>
        <v>0</v>
      </c>
      <c r="ER67" s="191">
        <f>'Functional Levels Drone Survey'!ER67-'Existing Levels Drone Survey'!ER67</f>
        <v>0</v>
      </c>
      <c r="ES67" s="191">
        <f>'Functional Levels Drone Survey'!ES67-'Existing Levels Drone Survey'!ES67</f>
        <v>0</v>
      </c>
      <c r="ET67" s="191">
        <f>'Functional Levels Drone Survey'!ET67-'Existing Levels Drone Survey'!ET67</f>
        <v>0</v>
      </c>
      <c r="EU67" s="191">
        <f>'Functional Levels Drone Survey'!EU67-'Existing Levels Drone Survey'!EU67</f>
        <v>0</v>
      </c>
      <c r="EV67" s="191">
        <f>'Functional Levels Drone Survey'!EV67-'Existing Levels Drone Survey'!EV67</f>
        <v>0</v>
      </c>
      <c r="EW67" s="191">
        <f>'Functional Levels Drone Survey'!EW67-'Existing Levels Drone Survey'!EW67</f>
        <v>0</v>
      </c>
      <c r="EX67" s="191">
        <f>'Functional Levels Drone Survey'!EX67-'Existing Levels Drone Survey'!EX67</f>
        <v>0</v>
      </c>
      <c r="EY67" s="191">
        <f>'Functional Levels Drone Survey'!EY67-'Existing Levels Drone Survey'!EY67</f>
        <v>0</v>
      </c>
    </row>
    <row r="68" spans="1:155" ht="45" customHeight="1" x14ac:dyDescent="0.45">
      <c r="A68" s="277">
        <v>335</v>
      </c>
      <c r="B68" s="191">
        <f>'Functional Levels Drone Survey'!B68-'Existing Levels Drone Survey'!B68</f>
        <v>0</v>
      </c>
      <c r="C68" s="191">
        <f>'Functional Levels Drone Survey'!C68-'Existing Levels Drone Survey'!C68</f>
        <v>0</v>
      </c>
      <c r="D68" s="191">
        <f>'Functional Levels Drone Survey'!D68-'Existing Levels Drone Survey'!D68</f>
        <v>0</v>
      </c>
      <c r="E68" s="278">
        <f>'Functional Levels Drone Survey'!E68-'Existing Levels Drone Survey'!E68</f>
        <v>-0.46915555555568744</v>
      </c>
      <c r="F68" s="191">
        <f>'Functional Levels Drone Survey'!F68-'Existing Levels Drone Survey'!F68</f>
        <v>-2.2455555555666251E-2</v>
      </c>
      <c r="G68" s="191">
        <f>'Functional Levels Drone Survey'!G68-'Existing Levels Drone Survey'!G68</f>
        <v>-4.1455555555671708E-2</v>
      </c>
      <c r="H68" s="279">
        <f>'Functional Levels Drone Survey'!H68-'Existing Levels Drone Survey'!H68</f>
        <v>5.5244444444383589E-2</v>
      </c>
      <c r="I68" s="191">
        <f>'Functional Levels Drone Survey'!I68-'Existing Levels Drone Survey'!I68</f>
        <v>4.3144444444351393E-2</v>
      </c>
      <c r="J68" s="191">
        <f>'Functional Levels Drone Survey'!J68-'Existing Levels Drone Survey'!J68</f>
        <v>7.3544444444337387E-2</v>
      </c>
      <c r="K68" s="191">
        <f>'Functional Levels Drone Survey'!K68-'Existing Levels Drone Survey'!K68</f>
        <v>-0.17535555555565452</v>
      </c>
      <c r="L68" s="191">
        <f>'Functional Levels Drone Survey'!L68-'Existing Levels Drone Survey'!L68</f>
        <v>-0.35895555555566716</v>
      </c>
      <c r="M68" s="191">
        <f>'Functional Levels Drone Survey'!M68-'Existing Levels Drone Survey'!M68</f>
        <v>-0.51815555555566561</v>
      </c>
      <c r="N68" s="191">
        <f>'Functional Levels Drone Survey'!N68-'Existing Levels Drone Survey'!N68</f>
        <v>-0.60745555555564579</v>
      </c>
      <c r="O68" s="191">
        <f>'Functional Levels Drone Survey'!O68-'Existing Levels Drone Survey'!O68</f>
        <v>-0.54525555555562732</v>
      </c>
      <c r="P68" s="191">
        <f>'Functional Levels Drone Survey'!P68-'Existing Levels Drone Survey'!P68</f>
        <v>-0.54135555555563997</v>
      </c>
      <c r="Q68" s="191">
        <f>'Functional Levels Drone Survey'!Q68-'Existing Levels Drone Survey'!Q68</f>
        <v>3.254444444434057E-2</v>
      </c>
      <c r="R68" s="191">
        <f>'Functional Levels Drone Survey'!R68-'Existing Levels Drone Survey'!R68</f>
        <v>-7.2455555555620776E-2</v>
      </c>
      <c r="S68" s="191">
        <f>'Functional Levels Drone Survey'!S68-'Existing Levels Drone Survey'!S68</f>
        <v>0.13994444444438159</v>
      </c>
      <c r="T68" s="191">
        <f>'Functional Levels Drone Survey'!T68-'Existing Levels Drone Survey'!T68</f>
        <v>0.12164444444437095</v>
      </c>
      <c r="U68" s="191">
        <f>'Functional Levels Drone Survey'!U68-'Existing Levels Drone Survey'!U68</f>
        <v>0.10224444444435221</v>
      </c>
      <c r="V68" s="191">
        <f>'Functional Levels Drone Survey'!V68-'Existing Levels Drone Survey'!V68</f>
        <v>0.12014444444434957</v>
      </c>
      <c r="W68" s="191">
        <f>'Functional Levels Drone Survey'!W68-'Existing Levels Drone Survey'!W68</f>
        <v>0.10204444444434557</v>
      </c>
      <c r="X68" s="191">
        <f>'Functional Levels Drone Survey'!X68-'Existing Levels Drone Survey'!X68</f>
        <v>9.374444444438268E-2</v>
      </c>
      <c r="Y68" s="279">
        <f>'Functional Levels Drone Survey'!Y68-'Existing Levels Drone Survey'!Y68</f>
        <v>-9.6455555555621686E-2</v>
      </c>
      <c r="Z68" s="191">
        <f>'Functional Levels Drone Survey'!Z68-'Existing Levels Drone Survey'!Z68</f>
        <v>1.9842857142748471E-2</v>
      </c>
      <c r="AA68" s="279">
        <f>'Functional Levels Drone Survey'!AA68-'Existing Levels Drone Survey'!AA68</f>
        <v>0.22104285714277694</v>
      </c>
      <c r="AB68" s="191">
        <f>'Functional Levels Drone Survey'!AB68-'Existing Levels Drone Survey'!AB68</f>
        <v>0.21044285714276612</v>
      </c>
      <c r="AC68" s="191">
        <f>'Functional Levels Drone Survey'!AC68-'Existing Levels Drone Survey'!AC68</f>
        <v>0.21724285714276448</v>
      </c>
      <c r="AD68" s="191">
        <f>'Functional Levels Drone Survey'!AD68-'Existing Levels Drone Survey'!AD68</f>
        <v>0.23454285714274192</v>
      </c>
      <c r="AE68" s="191">
        <f>'Functional Levels Drone Survey'!AE68-'Existing Levels Drone Survey'!AE68</f>
        <v>0.22554285714278421</v>
      </c>
      <c r="AF68" s="191">
        <f>'Functional Levels Drone Survey'!AF68-'Existing Levels Drone Survey'!AF68</f>
        <v>0.24994285714274156</v>
      </c>
      <c r="AG68" s="191">
        <f>'Functional Levels Drone Survey'!AG68-'Existing Levels Drone Survey'!AG68</f>
        <v>0.25564285714278867</v>
      </c>
      <c r="AH68" s="191">
        <f>'Functional Levels Drone Survey'!AH68-'Existing Levels Drone Survey'!AH68</f>
        <v>0.26204285714277376</v>
      </c>
      <c r="AI68" s="191">
        <f>'Functional Levels Drone Survey'!AI68-'Existing Levels Drone Survey'!AI68</f>
        <v>0.25324285714276584</v>
      </c>
      <c r="AJ68" s="191">
        <f>'Functional Levels Drone Survey'!AJ68-'Existing Levels Drone Survey'!AJ68</f>
        <v>0.26964285714274183</v>
      </c>
      <c r="AK68" s="191">
        <f>'Functional Levels Drone Survey'!AK68-'Existing Levels Drone Survey'!AK68</f>
        <v>0.25834285714273619</v>
      </c>
      <c r="AL68" s="191">
        <f>'Functional Levels Drone Survey'!AL68-'Existing Levels Drone Survey'!AL68</f>
        <v>0.25534285714275029</v>
      </c>
      <c r="AM68" s="191">
        <f>'Functional Levels Drone Survey'!AM68-'Existing Levels Drone Survey'!AM68</f>
        <v>0.2763428571427653</v>
      </c>
      <c r="AN68" s="191">
        <f>'Functional Levels Drone Survey'!AN68-'Existing Levels Drone Survey'!AN68</f>
        <v>0.24274285714278676</v>
      </c>
      <c r="AO68" s="191">
        <f>'Functional Levels Drone Survey'!AO68-'Existing Levels Drone Survey'!AO68</f>
        <v>0.23224285714275084</v>
      </c>
      <c r="AP68" s="191">
        <f>'Functional Levels Drone Survey'!AP68-'Existing Levels Drone Survey'!AP68</f>
        <v>0.22994285714275975</v>
      </c>
      <c r="AQ68" s="191">
        <f>'Functional Levels Drone Survey'!AQ68-'Existing Levels Drone Survey'!AQ68</f>
        <v>0.25384285714278576</v>
      </c>
      <c r="AR68" s="191">
        <f>'Functional Levels Drone Survey'!AR68-'Existing Levels Drone Survey'!AR68</f>
        <v>0.22644285714278567</v>
      </c>
      <c r="AS68" s="191">
        <f>'Functional Levels Drone Survey'!AS68-'Existing Levels Drone Survey'!AS68</f>
        <v>0.1794428571427602</v>
      </c>
      <c r="AT68" s="191">
        <f>'Functional Levels Drone Survey'!AT68-'Existing Levels Drone Survey'!AT68</f>
        <v>0.31884285714278349</v>
      </c>
      <c r="AU68" s="279">
        <f>'Functional Levels Drone Survey'!AU68-'Existing Levels Drone Survey'!AU68</f>
        <v>0.3014428571427743</v>
      </c>
      <c r="AV68" s="191">
        <f>'Functional Levels Drone Survey'!AV68-'Existing Levels Drone Survey'!AV68</f>
        <v>6.9042857142733283E-2</v>
      </c>
      <c r="AW68" s="191">
        <f>'Functional Levels Drone Survey'!AW68-'Existing Levels Drone Survey'!AW68</f>
        <v>4.6142857142683624E-2</v>
      </c>
      <c r="AX68" s="279">
        <f>'Functional Levels Drone Survey'!AX68-'Existing Levels Drone Survey'!AX68</f>
        <v>8.1652380952220938E-2</v>
      </c>
      <c r="AY68" s="191">
        <f>'Functional Levels Drone Survey'!AY68-'Existing Levels Drone Survey'!AY68</f>
        <v>7.6852380952232124E-2</v>
      </c>
      <c r="AZ68" s="191">
        <f>'Functional Levels Drone Survey'!AZ68-'Existing Levels Drone Survey'!AZ68</f>
        <v>7.3052380952219664E-2</v>
      </c>
      <c r="BA68" s="191">
        <f>'Functional Levels Drone Survey'!BA68-'Existing Levels Drone Survey'!BA68</f>
        <v>0.11855238095222376</v>
      </c>
      <c r="BB68" s="191">
        <f>'Functional Levels Drone Survey'!BB68-'Existing Levels Drone Survey'!BB68</f>
        <v>0.12845238095218292</v>
      </c>
      <c r="BC68" s="191">
        <f>'Functional Levels Drone Survey'!BC68-'Existing Levels Drone Survey'!BC68</f>
        <v>0.11525238095219947</v>
      </c>
      <c r="BD68" s="191">
        <f>'Functional Levels Drone Survey'!BD68-'Existing Levels Drone Survey'!BD68</f>
        <v>4.5352380952238036E-2</v>
      </c>
      <c r="BE68" s="191">
        <f>'Functional Levels Drone Survey'!BE68-'Existing Levels Drone Survey'!BE68</f>
        <v>9.2852380952194835E-2</v>
      </c>
      <c r="BF68" s="191">
        <f>'Functional Levels Drone Survey'!BF68-'Existing Levels Drone Survey'!BF68</f>
        <v>7.1552380952198291E-2</v>
      </c>
      <c r="BG68" s="191">
        <f>'Functional Levels Drone Survey'!BG68-'Existing Levels Drone Survey'!BG68</f>
        <v>8.5352380952201656E-2</v>
      </c>
      <c r="BH68" s="191">
        <f>'Functional Levels Drone Survey'!BH68-'Existing Levels Drone Survey'!BH68</f>
        <v>4.7652380952229123E-2</v>
      </c>
      <c r="BI68" s="191">
        <f>'Functional Levels Drone Survey'!BI68-'Existing Levels Drone Survey'!BI68</f>
        <v>7.0752380952228577E-2</v>
      </c>
      <c r="BJ68" s="191">
        <f>'Functional Levels Drone Survey'!BJ68-'Existing Levels Drone Survey'!BJ68</f>
        <v>6.2652380952215481E-2</v>
      </c>
      <c r="BK68" s="191">
        <f>'Functional Levels Drone Survey'!BK68-'Existing Levels Drone Survey'!BK68</f>
        <v>9.3252380952208114E-2</v>
      </c>
      <c r="BL68" s="191">
        <f>'Functional Levels Drone Survey'!BL68-'Existing Levels Drone Survey'!BL68</f>
        <v>0.10045238095221976</v>
      </c>
      <c r="BM68" s="191">
        <f>'Functional Levels Drone Survey'!BM68-'Existing Levels Drone Survey'!BM68</f>
        <v>9.775238095221539E-2</v>
      </c>
      <c r="BN68" s="191">
        <f>'Functional Levels Drone Survey'!BN68-'Existing Levels Drone Survey'!BN68</f>
        <v>-5.4947619047766239E-2</v>
      </c>
      <c r="BO68" s="191">
        <f>'Functional Levels Drone Survey'!BO68-'Existing Levels Drone Survey'!BO68</f>
        <v>9.9152380952205021E-2</v>
      </c>
      <c r="BP68" s="191">
        <f>'Functional Levels Drone Survey'!BP68-'Existing Levels Drone Survey'!BP68</f>
        <v>2.3052380952208296E-2</v>
      </c>
      <c r="BQ68" s="191">
        <f>'Functional Levels Drone Survey'!BQ68-'Existing Levels Drone Survey'!BQ68</f>
        <v>6.845238095223749E-2</v>
      </c>
      <c r="BR68" s="279">
        <f>'Functional Levels Drone Survey'!BR68-'Existing Levels Drone Survey'!BR68</f>
        <v>0.19735238095222485</v>
      </c>
      <c r="BS68" s="191">
        <f>'Functional Levels Drone Survey'!BS68-'Existing Levels Drone Survey'!BS68</f>
        <v>-6.7318181817768163E-3</v>
      </c>
      <c r="BT68" s="279">
        <f>'Functional Levels Drone Survey'!BT68-'Existing Levels Drone Survey'!BT68</f>
        <v>-6.0931818181813924E-2</v>
      </c>
      <c r="BU68" s="191">
        <f>'Functional Levels Drone Survey'!BU68-'Existing Levels Drone Survey'!BU68</f>
        <v>-3.8731818181815925E-2</v>
      </c>
      <c r="BV68" s="191">
        <f>'Functional Levels Drone Survey'!BV68-'Existing Levels Drone Survey'!BV68</f>
        <v>-2.2431818181814833E-2</v>
      </c>
      <c r="BW68" s="191">
        <f>'Functional Levels Drone Survey'!BW68-'Existing Levels Drone Survey'!BW68</f>
        <v>-2.4831818181780818E-2</v>
      </c>
      <c r="BX68" s="191">
        <f>'Functional Levels Drone Survey'!BX68-'Existing Levels Drone Survey'!BX68</f>
        <v>-5.0831818181791277E-2</v>
      </c>
      <c r="BY68" s="191">
        <f>'Functional Levels Drone Survey'!BY68-'Existing Levels Drone Survey'!BY68</f>
        <v>1.5568181818196081E-2</v>
      </c>
      <c r="BZ68" s="191">
        <f>'Functional Levels Drone Survey'!BZ68-'Existing Levels Drone Survey'!BZ68</f>
        <v>0.21226818181821727</v>
      </c>
      <c r="CA68" s="191">
        <f>'Functional Levels Drone Survey'!CA68-'Existing Levels Drone Survey'!CA68</f>
        <v>0.20806818181819153</v>
      </c>
      <c r="CB68" s="191">
        <f>'Functional Levels Drone Survey'!CB68-'Existing Levels Drone Survey'!CB68</f>
        <v>0.23276818181818726</v>
      </c>
      <c r="CC68" s="191">
        <f>'Functional Levels Drone Survey'!CC68-'Existing Levels Drone Survey'!CC68</f>
        <v>0.16096818181819117</v>
      </c>
      <c r="CD68" s="191">
        <f>'Functional Levels Drone Survey'!CD68-'Existing Levels Drone Survey'!CD68</f>
        <v>0.21216818181818553</v>
      </c>
      <c r="CE68" s="191">
        <f>'Functional Levels Drone Survey'!CE68-'Existing Levels Drone Survey'!CE68</f>
        <v>0.20526818181821227</v>
      </c>
      <c r="CF68" s="191">
        <f>'Functional Levels Drone Survey'!CF68-'Existing Levels Drone Survey'!CF68</f>
        <v>0.23956818181818562</v>
      </c>
      <c r="CG68" s="191">
        <f>'Functional Levels Drone Survey'!CG68-'Existing Levels Drone Survey'!CG68</f>
        <v>0.20396818181819754</v>
      </c>
      <c r="CH68" s="191">
        <f>'Functional Levels Drone Survey'!CH68-'Existing Levels Drone Survey'!CH68</f>
        <v>0.20696818181818344</v>
      </c>
      <c r="CI68" s="191">
        <f>'Functional Levels Drone Survey'!CI68-'Existing Levels Drone Survey'!CI68</f>
        <v>0.17256818181817835</v>
      </c>
      <c r="CJ68" s="191">
        <f>'Functional Levels Drone Survey'!CJ68-'Existing Levels Drone Survey'!CJ68</f>
        <v>0.21026818181820772</v>
      </c>
      <c r="CK68" s="191">
        <f>'Functional Levels Drone Survey'!CK68-'Existing Levels Drone Survey'!CK68</f>
        <v>0.17546818181818935</v>
      </c>
      <c r="CL68" s="191">
        <f>'Functional Levels Drone Survey'!CL68-'Existing Levels Drone Survey'!CL68</f>
        <v>0.17206818181819017</v>
      </c>
      <c r="CM68" s="191">
        <f>'Functional Levels Drone Survey'!CM68-'Existing Levels Drone Survey'!CM68</f>
        <v>0.18736818181821491</v>
      </c>
      <c r="CN68" s="191">
        <f>'Functional Levels Drone Survey'!CN68-'Existing Levels Drone Survey'!CN68</f>
        <v>0.19926818181818362</v>
      </c>
      <c r="CO68" s="279">
        <f>'Functional Levels Drone Survey'!CO68-'Existing Levels Drone Survey'!CO68</f>
        <v>0.21336818181822537</v>
      </c>
      <c r="CP68" s="191">
        <f>'Functional Levels Drone Survey'!CP68-'Existing Levels Drone Survey'!CP68</f>
        <v>3.142380952391477E-2</v>
      </c>
      <c r="CQ68" s="279">
        <f>'Functional Levels Drone Survey'!CQ68-'Existing Levels Drone Survey'!CQ68</f>
        <v>5.7523809523900127E-2</v>
      </c>
      <c r="CR68" s="191">
        <f>'Functional Levels Drone Survey'!CR68-'Existing Levels Drone Survey'!CR68</f>
        <v>4.9323809523912132E-2</v>
      </c>
      <c r="CS68" s="191">
        <f>'Functional Levels Drone Survey'!CS68-'Existing Levels Drone Survey'!CS68</f>
        <v>0.2325238095239115</v>
      </c>
      <c r="CT68" s="191">
        <f>'Functional Levels Drone Survey'!CT68-'Existing Levels Drone Survey'!CT68</f>
        <v>0.14602380952391059</v>
      </c>
      <c r="CU68" s="191">
        <f>'Functional Levels Drone Survey'!CU68-'Existing Levels Drone Survey'!CU68</f>
        <v>0.21142380952392159</v>
      </c>
      <c r="CV68" s="191">
        <f>'Functional Levels Drone Survey'!CV68-'Existing Levels Drone Survey'!CV68</f>
        <v>0.13072380952394269</v>
      </c>
      <c r="CW68" s="191">
        <f>'Functional Levels Drone Survey'!CW68-'Existing Levels Drone Survey'!CW68</f>
        <v>0.19722380952390495</v>
      </c>
      <c r="CX68" s="191">
        <f>'Functional Levels Drone Survey'!CX68-'Existing Levels Drone Survey'!CX68</f>
        <v>0.22682380952392123</v>
      </c>
      <c r="CY68" s="191">
        <f>'Functional Levels Drone Survey'!CY68-'Existing Levels Drone Survey'!CY68</f>
        <v>0.1629238095239316</v>
      </c>
      <c r="CZ68" s="191">
        <f>'Functional Levels Drone Survey'!CZ68-'Existing Levels Drone Survey'!CZ68</f>
        <v>0.28342380952392432</v>
      </c>
      <c r="DA68" s="191">
        <f>'Functional Levels Drone Survey'!DA68-'Existing Levels Drone Survey'!DA68</f>
        <v>0.26612380952394687</v>
      </c>
      <c r="DB68" s="191">
        <f>'Functional Levels Drone Survey'!DB68-'Existing Levels Drone Survey'!DB68</f>
        <v>0.27132380952394897</v>
      </c>
      <c r="DC68" s="191">
        <f>'Functional Levels Drone Survey'!DC68-'Existing Levels Drone Survey'!DC68</f>
        <v>0.27002380952393423</v>
      </c>
      <c r="DD68" s="191">
        <f>'Functional Levels Drone Survey'!DD68-'Existing Levels Drone Survey'!DD68</f>
        <v>0.22282380952390213</v>
      </c>
      <c r="DE68" s="191">
        <f>'Functional Levels Drone Survey'!DE68-'Existing Levels Drone Survey'!DE68</f>
        <v>0.26842380952393796</v>
      </c>
      <c r="DF68" s="191">
        <f>'Functional Levels Drone Survey'!DF68-'Existing Levels Drone Survey'!DF68</f>
        <v>0.27392380952392159</v>
      </c>
      <c r="DG68" s="191">
        <f>'Functional Levels Drone Survey'!DG68-'Existing Levels Drone Survey'!DG68</f>
        <v>0.19662380952394187</v>
      </c>
      <c r="DH68" s="191">
        <f>'Functional Levels Drone Survey'!DH68-'Existing Levels Drone Survey'!DH68</f>
        <v>0.17192380952394615</v>
      </c>
      <c r="DI68" s="191">
        <f>'Functional Levels Drone Survey'!DI68-'Existing Levels Drone Survey'!DI68</f>
        <v>0.51082380952391304</v>
      </c>
      <c r="DJ68" s="191">
        <f>'Functional Levels Drone Survey'!DJ68-'Existing Levels Drone Survey'!DJ68</f>
        <v>0.5822238095239527</v>
      </c>
      <c r="DK68" s="279">
        <f>'Functional Levels Drone Survey'!DK68-'Existing Levels Drone Survey'!DK68</f>
        <v>0.39032380952392032</v>
      </c>
      <c r="DL68" s="191">
        <f>'Functional Levels Drone Survey'!DL68-'Existing Levels Drone Survey'!DL68</f>
        <v>0.21652380952389194</v>
      </c>
      <c r="DM68" s="191">
        <f>'Functional Levels Drone Survey'!DM68-'Existing Levels Drone Survey'!DM68</f>
        <v>0.46942380952390295</v>
      </c>
      <c r="DN68" s="191">
        <f>'Functional Levels Drone Survey'!DN68-'Existing Levels Drone Survey'!DN68</f>
        <v>0.16662380952391231</v>
      </c>
      <c r="DO68" s="191">
        <f>'Functional Levels Drone Survey'!DO68-'Existing Levels Drone Survey'!DO68</f>
        <v>0.14862380952394005</v>
      </c>
      <c r="DP68" s="191">
        <f>'Functional Levels Drone Survey'!DP68-'Existing Levels Drone Survey'!DP68</f>
        <v>2.8238095239316863E-3</v>
      </c>
      <c r="DQ68" s="191">
        <f>'Functional Levels Drone Survey'!DQ68-'Existing Levels Drone Survey'!DQ68</f>
        <v>0.11242380952393205</v>
      </c>
      <c r="DR68" s="191">
        <f>'Functional Levels Drone Survey'!DR68-'Existing Levels Drone Survey'!DR68</f>
        <v>9.8238095239366885E-3</v>
      </c>
      <c r="DS68" s="191">
        <f>'Functional Levels Drone Survey'!DS68-'Existing Levels Drone Survey'!DS68</f>
        <v>3.142380952391477E-2</v>
      </c>
      <c r="DT68" s="191">
        <f>'Functional Levels Drone Survey'!DT68-'Existing Levels Drone Survey'!DT68</f>
        <v>8.7923809523942964E-2</v>
      </c>
      <c r="DU68" s="191">
        <f>'Functional Levels Drone Survey'!DU68-'Existing Levels Drone Survey'!DU68</f>
        <v>8.482380952392532E-2</v>
      </c>
      <c r="DV68" s="191">
        <f>'Functional Levels Drone Survey'!DV68-'Existing Levels Drone Survey'!DV68</f>
        <v>2.8123809523890486E-2</v>
      </c>
      <c r="DW68" s="191">
        <f>'Functional Levels Drone Survey'!DW68-'Existing Levels Drone Survey'!DW68</f>
        <v>-4.2376190476090869E-2</v>
      </c>
      <c r="DX68" s="278">
        <f>'Functional Levels Drone Survey'!DX68-'Existing Levels Drone Survey'!DX68</f>
        <v>-0.10147619047609169</v>
      </c>
      <c r="DY68" s="191">
        <f>'Functional Levels Drone Survey'!DY68-'Existing Levels Drone Survey'!DY68</f>
        <v>0</v>
      </c>
      <c r="DZ68" s="191">
        <f>'Functional Levels Drone Survey'!DZ68-'Existing Levels Drone Survey'!DZ68</f>
        <v>0</v>
      </c>
      <c r="EA68" s="191">
        <f>'Functional Levels Drone Survey'!EA68-'Existing Levels Drone Survey'!EA68</f>
        <v>0</v>
      </c>
      <c r="EB68" s="191">
        <f>'Functional Levels Drone Survey'!EB68-'Existing Levels Drone Survey'!EB68</f>
        <v>0</v>
      </c>
      <c r="EC68" s="191">
        <f>'Functional Levels Drone Survey'!EC68-'Existing Levels Drone Survey'!EC68</f>
        <v>0</v>
      </c>
      <c r="ED68" s="191">
        <f>'Functional Levels Drone Survey'!ED68-'Existing Levels Drone Survey'!ED68</f>
        <v>0</v>
      </c>
      <c r="EE68" s="191">
        <f>'Functional Levels Drone Survey'!EE68-'Existing Levels Drone Survey'!EE68</f>
        <v>0</v>
      </c>
      <c r="EF68" s="191">
        <f>'Functional Levels Drone Survey'!EF68-'Existing Levels Drone Survey'!EF68</f>
        <v>0</v>
      </c>
      <c r="EG68" s="191">
        <f>'Functional Levels Drone Survey'!EG68-'Existing Levels Drone Survey'!EG68</f>
        <v>0</v>
      </c>
      <c r="EH68" s="191">
        <f>'Functional Levels Drone Survey'!EH68-'Existing Levels Drone Survey'!EH68</f>
        <v>0</v>
      </c>
      <c r="EI68" s="191">
        <f>'Functional Levels Drone Survey'!EI68-'Existing Levels Drone Survey'!EI68</f>
        <v>0</v>
      </c>
      <c r="EJ68" s="191">
        <f>'Functional Levels Drone Survey'!EJ68-'Existing Levels Drone Survey'!EJ68</f>
        <v>0</v>
      </c>
      <c r="EK68" s="191">
        <f>'Functional Levels Drone Survey'!EK68-'Existing Levels Drone Survey'!EK68</f>
        <v>0</v>
      </c>
      <c r="EL68" s="191">
        <f>'Functional Levels Drone Survey'!EL68-'Existing Levels Drone Survey'!EL68</f>
        <v>0</v>
      </c>
      <c r="EM68" s="191">
        <f>'Functional Levels Drone Survey'!EM68-'Existing Levels Drone Survey'!EM68</f>
        <v>0</v>
      </c>
      <c r="EN68" s="191">
        <f>'Functional Levels Drone Survey'!EN68-'Existing Levels Drone Survey'!EN68</f>
        <v>0</v>
      </c>
      <c r="EO68" s="191">
        <f>'Functional Levels Drone Survey'!EO68-'Existing Levels Drone Survey'!EO68</f>
        <v>0</v>
      </c>
      <c r="EP68" s="191">
        <f>'Functional Levels Drone Survey'!EP68-'Existing Levels Drone Survey'!EP68</f>
        <v>0</v>
      </c>
      <c r="EQ68" s="191">
        <f>'Functional Levels Drone Survey'!EQ68-'Existing Levels Drone Survey'!EQ68</f>
        <v>0</v>
      </c>
      <c r="ER68" s="191">
        <f>'Functional Levels Drone Survey'!ER68-'Existing Levels Drone Survey'!ER68</f>
        <v>0</v>
      </c>
      <c r="ES68" s="191">
        <f>'Functional Levels Drone Survey'!ES68-'Existing Levels Drone Survey'!ES68</f>
        <v>0</v>
      </c>
      <c r="ET68" s="191">
        <f>'Functional Levels Drone Survey'!ET68-'Existing Levels Drone Survey'!ET68</f>
        <v>0</v>
      </c>
      <c r="EU68" s="191">
        <f>'Functional Levels Drone Survey'!EU68-'Existing Levels Drone Survey'!EU68</f>
        <v>0</v>
      </c>
      <c r="EV68" s="191">
        <f>'Functional Levels Drone Survey'!EV68-'Existing Levels Drone Survey'!EV68</f>
        <v>0</v>
      </c>
      <c r="EW68" s="191">
        <f>'Functional Levels Drone Survey'!EW68-'Existing Levels Drone Survey'!EW68</f>
        <v>0</v>
      </c>
      <c r="EX68" s="191">
        <f>'Functional Levels Drone Survey'!EX68-'Existing Levels Drone Survey'!EX68</f>
        <v>0</v>
      </c>
      <c r="EY68" s="191">
        <f>'Functional Levels Drone Survey'!EY68-'Existing Levels Drone Survey'!EY68</f>
        <v>0</v>
      </c>
    </row>
    <row r="69" spans="1:155" ht="45" customHeight="1" x14ac:dyDescent="0.45">
      <c r="A69" s="277">
        <v>340</v>
      </c>
      <c r="B69" s="191">
        <f>'Functional Levels Drone Survey'!B69-'Existing Levels Drone Survey'!B69</f>
        <v>0</v>
      </c>
      <c r="C69" s="191">
        <f>'Functional Levels Drone Survey'!C69-'Existing Levels Drone Survey'!C69</f>
        <v>0</v>
      </c>
      <c r="D69" s="191">
        <f>'Functional Levels Drone Survey'!D69-'Existing Levels Drone Survey'!D69</f>
        <v>0</v>
      </c>
      <c r="E69" s="278">
        <f>'Functional Levels Drone Survey'!E69-'Existing Levels Drone Survey'!E69</f>
        <v>-0.43465555555565061</v>
      </c>
      <c r="F69" s="191">
        <f>'Functional Levels Drone Survey'!F69-'Existing Levels Drone Survey'!F69</f>
        <v>-9.4555555556325999E-3</v>
      </c>
      <c r="G69" s="191">
        <f>'Functional Levels Drone Survey'!G69-'Existing Levels Drone Survey'!G69</f>
        <v>-5.2155555555657429E-2</v>
      </c>
      <c r="H69" s="279">
        <f>'Functional Levels Drone Survey'!H69-'Existing Levels Drone Survey'!H69</f>
        <v>3.5944444444339751E-2</v>
      </c>
      <c r="I69" s="191">
        <f>'Functional Levels Drone Survey'!I69-'Existing Levels Drone Survey'!I69</f>
        <v>2.394444444439614E-2</v>
      </c>
      <c r="J69" s="191">
        <f>'Functional Levels Drone Survey'!J69-'Existing Levels Drone Survey'!J69</f>
        <v>7.1044444444339661E-2</v>
      </c>
      <c r="K69" s="191">
        <f>'Functional Levels Drone Survey'!K69-'Existing Levels Drone Survey'!K69</f>
        <v>-0.22065555555565197</v>
      </c>
      <c r="L69" s="191">
        <f>'Functional Levels Drone Survey'!L69-'Existing Levels Drone Survey'!L69</f>
        <v>-0.2634555555556517</v>
      </c>
      <c r="M69" s="191">
        <f>'Functional Levels Drone Survey'!M69-'Existing Levels Drone Survey'!M69</f>
        <v>-0.37575555555565643</v>
      </c>
      <c r="N69" s="191">
        <f>'Functional Levels Drone Survey'!N69-'Existing Levels Drone Survey'!N69</f>
        <v>-0.12135555555562405</v>
      </c>
      <c r="O69" s="191">
        <f>'Functional Levels Drone Survey'!O69-'Existing Levels Drone Survey'!O69</f>
        <v>-8.5155555555616047E-2</v>
      </c>
      <c r="P69" s="191">
        <f>'Functional Levels Drone Survey'!P69-'Existing Levels Drone Survey'!P69</f>
        <v>2.1444444443545763E-3</v>
      </c>
      <c r="Q69" s="191">
        <f>'Functional Levels Drone Survey'!Q69-'Existing Levels Drone Survey'!Q69</f>
        <v>-3.9555555556489708E-3</v>
      </c>
      <c r="R69" s="191">
        <f>'Functional Levels Drone Survey'!R69-'Existing Levels Drone Survey'!R69</f>
        <v>0.17524444444438814</v>
      </c>
      <c r="S69" s="191">
        <f>'Functional Levels Drone Survey'!S69-'Existing Levels Drone Survey'!S69</f>
        <v>0.19064444444438777</v>
      </c>
      <c r="T69" s="191">
        <f>'Functional Levels Drone Survey'!T69-'Existing Levels Drone Survey'!T69</f>
        <v>0.17244444444435203</v>
      </c>
      <c r="U69" s="191">
        <f>'Functional Levels Drone Survey'!U69-'Existing Levels Drone Survey'!U69</f>
        <v>0.15074444444434221</v>
      </c>
      <c r="V69" s="191">
        <f>'Functional Levels Drone Survey'!V69-'Existing Levels Drone Survey'!V69</f>
        <v>0.14044444444436976</v>
      </c>
      <c r="W69" s="191">
        <f>'Functional Levels Drone Survey'!W69-'Existing Levels Drone Survey'!W69</f>
        <v>0.15134444444436213</v>
      </c>
      <c r="X69" s="191">
        <f>'Functional Levels Drone Survey'!X69-'Existing Levels Drone Survey'!X69</f>
        <v>0.13754444444435876</v>
      </c>
      <c r="Y69" s="279">
        <f>'Functional Levels Drone Survey'!Y69-'Existing Levels Drone Survey'!Y69</f>
        <v>-5.5455555555624869E-2</v>
      </c>
      <c r="Z69" s="191">
        <f>'Functional Levels Drone Survey'!Z69-'Existing Levels Drone Survey'!Z69</f>
        <v>5.8642857142785942E-2</v>
      </c>
      <c r="AA69" s="279">
        <f>'Functional Levels Drone Survey'!AA69-'Existing Levels Drone Survey'!AA69</f>
        <v>0.28474285714275993</v>
      </c>
      <c r="AB69" s="191">
        <f>'Functional Levels Drone Survey'!AB69-'Existing Levels Drone Survey'!AB69</f>
        <v>0.28304285714278876</v>
      </c>
      <c r="AC69" s="191">
        <f>'Functional Levels Drone Survey'!AC69-'Existing Levels Drone Survey'!AC69</f>
        <v>0.28684285714280122</v>
      </c>
      <c r="AD69" s="191">
        <f>'Functional Levels Drone Survey'!AD69-'Existing Levels Drone Survey'!AD69</f>
        <v>0.27484285714280077</v>
      </c>
      <c r="AE69" s="191">
        <f>'Functional Levels Drone Survey'!AE69-'Existing Levels Drone Survey'!AE69</f>
        <v>0.24854285714275193</v>
      </c>
      <c r="AF69" s="191">
        <f>'Functional Levels Drone Survey'!AF69-'Existing Levels Drone Survey'!AF69</f>
        <v>0.26544285714277294</v>
      </c>
      <c r="AG69" s="191">
        <f>'Functional Levels Drone Survey'!AG69-'Existing Levels Drone Survey'!AG69</f>
        <v>0.27534285714278894</v>
      </c>
      <c r="AH69" s="191">
        <f>'Functional Levels Drone Survey'!AH69-'Existing Levels Drone Survey'!AH69</f>
        <v>0.26734285714275074</v>
      </c>
      <c r="AI69" s="191">
        <f>'Functional Levels Drone Survey'!AI69-'Existing Levels Drone Survey'!AI69</f>
        <v>0.27124285714279495</v>
      </c>
      <c r="AJ69" s="191">
        <f>'Functional Levels Drone Survey'!AJ69-'Existing Levels Drone Survey'!AJ69</f>
        <v>0.29944285714276475</v>
      </c>
      <c r="AK69" s="191">
        <f>'Functional Levels Drone Survey'!AK69-'Existing Levels Drone Survey'!AK69</f>
        <v>0.27904285714276966</v>
      </c>
      <c r="AL69" s="191">
        <f>'Functional Levels Drone Survey'!AL69-'Existing Levels Drone Survey'!AL69</f>
        <v>0.28594285714279977</v>
      </c>
      <c r="AM69" s="191">
        <f>'Functional Levels Drone Survey'!AM69-'Existing Levels Drone Survey'!AM69</f>
        <v>0.28494285714276657</v>
      </c>
      <c r="AN69" s="191">
        <f>'Functional Levels Drone Survey'!AN69-'Existing Levels Drone Survey'!AN69</f>
        <v>0.27894285714279476</v>
      </c>
      <c r="AO69" s="191">
        <f>'Functional Levels Drone Survey'!AO69-'Existing Levels Drone Survey'!AO69</f>
        <v>0.26744285714278249</v>
      </c>
      <c r="AP69" s="191">
        <f>'Functional Levels Drone Survey'!AP69-'Existing Levels Drone Survey'!AP69</f>
        <v>0.26174285714279222</v>
      </c>
      <c r="AQ69" s="191">
        <f>'Functional Levels Drone Survey'!AQ69-'Existing Levels Drone Survey'!AQ69</f>
        <v>0.25944285714280113</v>
      </c>
      <c r="AR69" s="191">
        <f>'Functional Levels Drone Survey'!AR69-'Existing Levels Drone Survey'!AR69</f>
        <v>0.2400428571427824</v>
      </c>
      <c r="AS69" s="191">
        <f>'Functional Levels Drone Survey'!AS69-'Existing Levels Drone Survey'!AS69</f>
        <v>0.2278428571427753</v>
      </c>
      <c r="AT69" s="191">
        <f>'Functional Levels Drone Survey'!AT69-'Existing Levels Drone Survey'!AT69</f>
        <v>0.36724285714279858</v>
      </c>
      <c r="AU69" s="279">
        <f>'Functional Levels Drone Survey'!AU69-'Existing Levels Drone Survey'!AU69</f>
        <v>0.32854285714279285</v>
      </c>
      <c r="AV69" s="191">
        <f>'Functional Levels Drone Survey'!AV69-'Existing Levels Drone Survey'!AV69</f>
        <v>9.1542857142712819E-2</v>
      </c>
      <c r="AW69" s="191">
        <f>'Functional Levels Drone Survey'!AW69-'Existing Levels Drone Survey'!AW69</f>
        <v>8.9242857142721732E-2</v>
      </c>
      <c r="AX69" s="279">
        <f>'Functional Levels Drone Survey'!AX69-'Existing Levels Drone Survey'!AX69</f>
        <v>0.13875238095221221</v>
      </c>
      <c r="AY69" s="191">
        <f>'Functional Levels Drone Survey'!AY69-'Existing Levels Drone Survey'!AY69</f>
        <v>0.13785238095221075</v>
      </c>
      <c r="AZ69" s="191">
        <f>'Functional Levels Drone Survey'!AZ69-'Existing Levels Drone Survey'!AZ69</f>
        <v>0.11325238095224677</v>
      </c>
      <c r="BA69" s="191">
        <f>'Functional Levels Drone Survey'!BA69-'Existing Levels Drone Survey'!BA69</f>
        <v>0.1176523809522223</v>
      </c>
      <c r="BB69" s="191">
        <f>'Functional Levels Drone Survey'!BB69-'Existing Levels Drone Survey'!BB69</f>
        <v>0.12725238095219993</v>
      </c>
      <c r="BC69" s="191">
        <f>'Functional Levels Drone Survey'!BC69-'Existing Levels Drone Survey'!BC69</f>
        <v>0.13085238095220575</v>
      </c>
      <c r="BD69" s="191">
        <f>'Functional Levels Drone Survey'!BD69-'Existing Levels Drone Survey'!BD69</f>
        <v>0.13225238095219538</v>
      </c>
      <c r="BE69" s="191">
        <f>'Functional Levels Drone Survey'!BE69-'Existing Levels Drone Survey'!BE69</f>
        <v>0.12205238095219784</v>
      </c>
      <c r="BF69" s="191">
        <f>'Functional Levels Drone Survey'!BF69-'Existing Levels Drone Survey'!BF69</f>
        <v>0.1147523809522113</v>
      </c>
      <c r="BG69" s="191">
        <f>'Functional Levels Drone Survey'!BG69-'Existing Levels Drone Survey'!BG69</f>
        <v>0.11685238095219574</v>
      </c>
      <c r="BH69" s="191">
        <f>'Functional Levels Drone Survey'!BH69-'Existing Levels Drone Survey'!BH69</f>
        <v>0.13225238095219538</v>
      </c>
      <c r="BI69" s="191">
        <f>'Functional Levels Drone Survey'!BI69-'Existing Levels Drone Survey'!BI69</f>
        <v>0.10985238095224759</v>
      </c>
      <c r="BJ69" s="191">
        <f>'Functional Levels Drone Survey'!BJ69-'Existing Levels Drone Survey'!BJ69</f>
        <v>0.1217523809522163</v>
      </c>
      <c r="BK69" s="191">
        <f>'Functional Levels Drone Survey'!BK69-'Existing Levels Drone Survey'!BK69</f>
        <v>0.11265238095222685</v>
      </c>
      <c r="BL69" s="191">
        <f>'Functional Levels Drone Survey'!BL69-'Existing Levels Drone Survey'!BL69</f>
        <v>0.13645238095222112</v>
      </c>
      <c r="BM69" s="191">
        <f>'Functional Levels Drone Survey'!BM69-'Existing Levels Drone Survey'!BM69</f>
        <v>8.8852380952232579E-2</v>
      </c>
      <c r="BN69" s="191">
        <f>'Functional Levels Drone Survey'!BN69-'Existing Levels Drone Survey'!BN69</f>
        <v>0.11305238095224013</v>
      </c>
      <c r="BO69" s="191">
        <f>'Functional Levels Drone Survey'!BO69-'Existing Levels Drone Survey'!BO69</f>
        <v>0.12945238095221612</v>
      </c>
      <c r="BP69" s="191">
        <f>'Functional Levels Drone Survey'!BP69-'Existing Levels Drone Survey'!BP69</f>
        <v>0.11035238095223576</v>
      </c>
      <c r="BQ69" s="191">
        <f>'Functional Levels Drone Survey'!BQ69-'Existing Levels Drone Survey'!BQ69</f>
        <v>0.26465238095221366</v>
      </c>
      <c r="BR69" s="279">
        <f>'Functional Levels Drone Survey'!BR69-'Existing Levels Drone Survey'!BR69</f>
        <v>0.3102523809522495</v>
      </c>
      <c r="BS69" s="191">
        <f>'Functional Levels Drone Survey'!BS69-'Existing Levels Drone Survey'!BS69</f>
        <v>3.6168181818197809E-2</v>
      </c>
      <c r="BT69" s="279">
        <f>'Functional Levels Drone Survey'!BT69-'Existing Levels Drone Survey'!BT69</f>
        <v>8.4681818182161805E-3</v>
      </c>
      <c r="BU69" s="191">
        <f>'Functional Levels Drone Survey'!BU69-'Existing Levels Drone Survey'!BU69</f>
        <v>2.4768181818217272E-2</v>
      </c>
      <c r="BV69" s="191">
        <f>'Functional Levels Drone Survey'!BV69-'Existing Levels Drone Survey'!BV69</f>
        <v>4.8468181818236644E-2</v>
      </c>
      <c r="BW69" s="191">
        <f>'Functional Levels Drone Survey'!BW69-'Existing Levels Drone Survey'!BW69</f>
        <v>2.3168181818221001E-2</v>
      </c>
      <c r="BX69" s="191">
        <f>'Functional Levels Drone Survey'!BX69-'Existing Levels Drone Survey'!BX69</f>
        <v>-2.3531818181766084E-2</v>
      </c>
      <c r="BY69" s="191">
        <f>'Functional Levels Drone Survey'!BY69-'Existing Levels Drone Survey'!BY69</f>
        <v>1.4868181818201265E-2</v>
      </c>
      <c r="BZ69" s="191">
        <f>'Functional Levels Drone Survey'!BZ69-'Existing Levels Drone Survey'!BZ69</f>
        <v>0.22176818181822</v>
      </c>
      <c r="CA69" s="191">
        <f>'Functional Levels Drone Survey'!CA69-'Existing Levels Drone Survey'!CA69</f>
        <v>0.22386818181820445</v>
      </c>
      <c r="CB69" s="191">
        <f>'Functional Levels Drone Survey'!CB69-'Existing Levels Drone Survey'!CB69</f>
        <v>0.22756818181824201</v>
      </c>
      <c r="CC69" s="191">
        <f>'Functional Levels Drone Survey'!CC69-'Existing Levels Drone Survey'!CC69</f>
        <v>0.22056818181823701</v>
      </c>
      <c r="CD69" s="191">
        <f>'Functional Levels Drone Survey'!CD69-'Existing Levels Drone Survey'!CD69</f>
        <v>0.23326818181823228</v>
      </c>
      <c r="CE69" s="191">
        <f>'Functional Levels Drone Survey'!CE69-'Existing Levels Drone Survey'!CE69</f>
        <v>0.24276818181823501</v>
      </c>
      <c r="CF69" s="191">
        <f>'Functional Levels Drone Survey'!CF69-'Existing Levels Drone Survey'!CF69</f>
        <v>0.25726818181823319</v>
      </c>
      <c r="CG69" s="191">
        <f>'Functional Levels Drone Survey'!CG69-'Existing Levels Drone Survey'!CG69</f>
        <v>0.26696818181824256</v>
      </c>
      <c r="CH69" s="191">
        <f>'Functional Levels Drone Survey'!CH69-'Existing Levels Drone Survey'!CH69</f>
        <v>0.2610681818181888</v>
      </c>
      <c r="CI69" s="191">
        <f>'Functional Levels Drone Survey'!CI69-'Existing Levels Drone Survey'!CI69</f>
        <v>0.10906818181820199</v>
      </c>
      <c r="CJ69" s="191">
        <f>'Functional Levels Drone Survey'!CJ69-'Existing Levels Drone Survey'!CJ69</f>
        <v>0.24036818181821218</v>
      </c>
      <c r="CK69" s="191">
        <f>'Functional Levels Drone Survey'!CK69-'Existing Levels Drone Survey'!CK69</f>
        <v>0.21436818181820172</v>
      </c>
      <c r="CL69" s="191">
        <f>'Functional Levels Drone Survey'!CL69-'Existing Levels Drone Survey'!CL69</f>
        <v>0.22616818181819554</v>
      </c>
      <c r="CM69" s="191">
        <f>'Functional Levels Drone Survey'!CM69-'Existing Levels Drone Survey'!CM69</f>
        <v>0.23336818181820718</v>
      </c>
      <c r="CN69" s="191">
        <f>'Functional Levels Drone Survey'!CN69-'Existing Levels Drone Survey'!CN69</f>
        <v>0.22046818181820527</v>
      </c>
      <c r="CO69" s="279">
        <f>'Functional Levels Drone Survey'!CO69-'Existing Levels Drone Survey'!CO69</f>
        <v>0.22516818181821918</v>
      </c>
      <c r="CP69" s="191">
        <f>'Functional Levels Drone Survey'!CP69-'Existing Levels Drone Survey'!CP69</f>
        <v>3.552380952396561E-2</v>
      </c>
      <c r="CQ69" s="279">
        <f>'Functional Levels Drone Survey'!CQ69-'Existing Levels Drone Survey'!CQ69</f>
        <v>7.392380952393296E-2</v>
      </c>
      <c r="CR69" s="191">
        <f>'Functional Levels Drone Survey'!CR69-'Existing Levels Drone Survey'!CR69</f>
        <v>7.9923809523961609E-2</v>
      </c>
      <c r="CS69" s="191">
        <f>'Functional Levels Drone Survey'!CS69-'Existing Levels Drone Survey'!CS69</f>
        <v>0.27322380952392678</v>
      </c>
      <c r="CT69" s="191">
        <f>'Functional Levels Drone Survey'!CT69-'Existing Levels Drone Survey'!CT69</f>
        <v>0.17782380952394305</v>
      </c>
      <c r="CU69" s="191">
        <f>'Functional Levels Drone Survey'!CU69-'Existing Levels Drone Survey'!CU69</f>
        <v>0.26892380952392614</v>
      </c>
      <c r="CV69" s="191">
        <f>'Functional Levels Drone Survey'!CV69-'Existing Levels Drone Survey'!CV69</f>
        <v>0.29442380952394842</v>
      </c>
      <c r="CW69" s="191">
        <f>'Functional Levels Drone Survey'!CW69-'Existing Levels Drone Survey'!CW69</f>
        <v>0.2504238095239657</v>
      </c>
      <c r="CX69" s="191">
        <f>'Functional Levels Drone Survey'!CX69-'Existing Levels Drone Survey'!CX69</f>
        <v>0.2325238095239115</v>
      </c>
      <c r="CY69" s="191">
        <f>'Functional Levels Drone Survey'!CY69-'Existing Levels Drone Survey'!CY69</f>
        <v>0.2394238095239416</v>
      </c>
      <c r="CZ69" s="191">
        <f>'Functional Levels Drone Survey'!CZ69-'Existing Levels Drone Survey'!CZ69</f>
        <v>0.28602380952395379</v>
      </c>
      <c r="DA69" s="191">
        <f>'Functional Levels Drone Survey'!DA69-'Existing Levels Drone Survey'!DA69</f>
        <v>0.24252380952395924</v>
      </c>
      <c r="DB69" s="191">
        <f>'Functional Levels Drone Survey'!DB69-'Existing Levels Drone Survey'!DB69</f>
        <v>0.29962380952395051</v>
      </c>
      <c r="DC69" s="191">
        <f>'Functional Levels Drone Survey'!DC69-'Existing Levels Drone Survey'!DC69</f>
        <v>0.30672380952393041</v>
      </c>
      <c r="DD69" s="191">
        <f>'Functional Levels Drone Survey'!DD69-'Existing Levels Drone Survey'!DD69</f>
        <v>0.20762380952396597</v>
      </c>
      <c r="DE69" s="191">
        <f>'Functional Levels Drone Survey'!DE69-'Existing Levels Drone Survey'!DE69</f>
        <v>0.29932380952391213</v>
      </c>
      <c r="DF69" s="191">
        <f>'Functional Levels Drone Survey'!DF69-'Existing Levels Drone Survey'!DF69</f>
        <v>0.22742380952394115</v>
      </c>
      <c r="DG69" s="191">
        <f>'Functional Levels Drone Survey'!DG69-'Existing Levels Drone Survey'!DG69</f>
        <v>0.30122380952394678</v>
      </c>
      <c r="DH69" s="191">
        <f>'Functional Levels Drone Survey'!DH69-'Existing Levels Drone Survey'!DH69</f>
        <v>7.6423809523930686E-2</v>
      </c>
      <c r="DI69" s="191">
        <f>'Functional Levels Drone Survey'!DI69-'Existing Levels Drone Survey'!DI69</f>
        <v>0.30372380952394451</v>
      </c>
      <c r="DJ69" s="191">
        <f>'Functional Levels Drone Survey'!DJ69-'Existing Levels Drone Survey'!DJ69</f>
        <v>0.46452380952393924</v>
      </c>
      <c r="DK69" s="279">
        <f>'Functional Levels Drone Survey'!DK69-'Existing Levels Drone Survey'!DK69</f>
        <v>0.47802380952396106</v>
      </c>
      <c r="DL69" s="191">
        <f>'Functional Levels Drone Survey'!DL69-'Existing Levels Drone Survey'!DL69</f>
        <v>7.392380952393296E-2</v>
      </c>
      <c r="DM69" s="191">
        <f>'Functional Levels Drone Survey'!DM69-'Existing Levels Drone Survey'!DM69</f>
        <v>0.39422380952390768</v>
      </c>
      <c r="DN69" s="191">
        <f>'Functional Levels Drone Survey'!DN69-'Existing Levels Drone Survey'!DN69</f>
        <v>0.24052380952389285</v>
      </c>
      <c r="DO69" s="191">
        <f>'Functional Levels Drone Survey'!DO69-'Existing Levels Drone Survey'!DO69</f>
        <v>6.0623809523917771E-2</v>
      </c>
      <c r="DP69" s="191">
        <f>'Functional Levels Drone Survey'!DP69-'Existing Levels Drone Survey'!DP69</f>
        <v>-0.24067619047610833</v>
      </c>
      <c r="DQ69" s="191">
        <f>'Functional Levels Drone Survey'!DQ69-'Existing Levels Drone Survey'!DQ69</f>
        <v>-0.22447619047608214</v>
      </c>
      <c r="DR69" s="191">
        <f>'Functional Levels Drone Survey'!DR69-'Existing Levels Drone Survey'!DR69</f>
        <v>4.5123809523943237E-2</v>
      </c>
      <c r="DS69" s="191">
        <f>'Functional Levels Drone Survey'!DS69-'Existing Levels Drone Survey'!DS69</f>
        <v>-1.3076190476056126E-2</v>
      </c>
      <c r="DT69" s="191">
        <f>'Functional Levels Drone Survey'!DT69-'Existing Levels Drone Survey'!DT69</f>
        <v>6.4723809523911768E-2</v>
      </c>
      <c r="DU69" s="191">
        <f>'Functional Levels Drone Survey'!DU69-'Existing Levels Drone Survey'!DU69</f>
        <v>1.1723809523914497E-2</v>
      </c>
      <c r="DV69" s="191">
        <f>'Functional Levels Drone Survey'!DV69-'Existing Levels Drone Survey'!DV69</f>
        <v>7.7423809523907039E-2</v>
      </c>
      <c r="DW69" s="191">
        <f>'Functional Levels Drone Survey'!DW69-'Existing Levels Drone Survey'!DW69</f>
        <v>1.2023809523896034E-2</v>
      </c>
      <c r="DX69" s="191">
        <f>'Functional Levels Drone Survey'!DX69-'Existing Levels Drone Survey'!DX69</f>
        <v>-0.10157619047606659</v>
      </c>
      <c r="DY69" s="278">
        <f>'Functional Levels Drone Survey'!DY69-'Existing Levels Drone Survey'!DY69</f>
        <v>-0.29707619047610478</v>
      </c>
      <c r="DZ69" s="191">
        <f>'Functional Levels Drone Survey'!DZ69-'Existing Levels Drone Survey'!DZ69</f>
        <v>0</v>
      </c>
      <c r="EA69" s="191">
        <f>'Functional Levels Drone Survey'!EA69-'Existing Levels Drone Survey'!EA69</f>
        <v>0</v>
      </c>
      <c r="EB69" s="191">
        <f>'Functional Levels Drone Survey'!EB69-'Existing Levels Drone Survey'!EB69</f>
        <v>0</v>
      </c>
      <c r="EC69" s="191">
        <f>'Functional Levels Drone Survey'!EC69-'Existing Levels Drone Survey'!EC69</f>
        <v>0</v>
      </c>
      <c r="ED69" s="191">
        <f>'Functional Levels Drone Survey'!ED69-'Existing Levels Drone Survey'!ED69</f>
        <v>0</v>
      </c>
      <c r="EE69" s="191">
        <f>'Functional Levels Drone Survey'!EE69-'Existing Levels Drone Survey'!EE69</f>
        <v>0</v>
      </c>
      <c r="EF69" s="191">
        <f>'Functional Levels Drone Survey'!EF69-'Existing Levels Drone Survey'!EF69</f>
        <v>0</v>
      </c>
      <c r="EG69" s="191">
        <f>'Functional Levels Drone Survey'!EG69-'Existing Levels Drone Survey'!EG69</f>
        <v>0</v>
      </c>
      <c r="EH69" s="191">
        <f>'Functional Levels Drone Survey'!EH69-'Existing Levels Drone Survey'!EH69</f>
        <v>0</v>
      </c>
      <c r="EI69" s="191">
        <f>'Functional Levels Drone Survey'!EI69-'Existing Levels Drone Survey'!EI69</f>
        <v>0</v>
      </c>
      <c r="EJ69" s="191">
        <f>'Functional Levels Drone Survey'!EJ69-'Existing Levels Drone Survey'!EJ69</f>
        <v>0</v>
      </c>
      <c r="EK69" s="191">
        <f>'Functional Levels Drone Survey'!EK69-'Existing Levels Drone Survey'!EK69</f>
        <v>0</v>
      </c>
      <c r="EL69" s="191">
        <f>'Functional Levels Drone Survey'!EL69-'Existing Levels Drone Survey'!EL69</f>
        <v>0</v>
      </c>
      <c r="EM69" s="191">
        <f>'Functional Levels Drone Survey'!EM69-'Existing Levels Drone Survey'!EM69</f>
        <v>0</v>
      </c>
      <c r="EN69" s="191">
        <f>'Functional Levels Drone Survey'!EN69-'Existing Levels Drone Survey'!EN69</f>
        <v>0</v>
      </c>
      <c r="EO69" s="191">
        <f>'Functional Levels Drone Survey'!EO69-'Existing Levels Drone Survey'!EO69</f>
        <v>0</v>
      </c>
      <c r="EP69" s="191">
        <f>'Functional Levels Drone Survey'!EP69-'Existing Levels Drone Survey'!EP69</f>
        <v>0</v>
      </c>
      <c r="EQ69" s="191">
        <f>'Functional Levels Drone Survey'!EQ69-'Existing Levels Drone Survey'!EQ69</f>
        <v>0</v>
      </c>
      <c r="ER69" s="191">
        <f>'Functional Levels Drone Survey'!ER69-'Existing Levels Drone Survey'!ER69</f>
        <v>0</v>
      </c>
      <c r="ES69" s="191">
        <f>'Functional Levels Drone Survey'!ES69-'Existing Levels Drone Survey'!ES69</f>
        <v>0</v>
      </c>
      <c r="ET69" s="191">
        <f>'Functional Levels Drone Survey'!ET69-'Existing Levels Drone Survey'!ET69</f>
        <v>0</v>
      </c>
      <c r="EU69" s="191">
        <f>'Functional Levels Drone Survey'!EU69-'Existing Levels Drone Survey'!EU69</f>
        <v>0</v>
      </c>
      <c r="EV69" s="191">
        <f>'Functional Levels Drone Survey'!EV69-'Existing Levels Drone Survey'!EV69</f>
        <v>0</v>
      </c>
      <c r="EW69" s="191">
        <f>'Functional Levels Drone Survey'!EW69-'Existing Levels Drone Survey'!EW69</f>
        <v>0</v>
      </c>
      <c r="EX69" s="191">
        <f>'Functional Levels Drone Survey'!EX69-'Existing Levels Drone Survey'!EX69</f>
        <v>0</v>
      </c>
      <c r="EY69" s="191">
        <f>'Functional Levels Drone Survey'!EY69-'Existing Levels Drone Survey'!EY69</f>
        <v>0</v>
      </c>
    </row>
    <row r="70" spans="1:155" ht="45" customHeight="1" x14ac:dyDescent="0.45">
      <c r="A70" s="277">
        <v>345</v>
      </c>
      <c r="B70" s="191">
        <f>'Functional Levels Drone Survey'!B70-'Existing Levels Drone Survey'!B70</f>
        <v>0</v>
      </c>
      <c r="C70" s="191">
        <f>'Functional Levels Drone Survey'!C70-'Existing Levels Drone Survey'!C70</f>
        <v>0</v>
      </c>
      <c r="D70" s="191">
        <f>'Functional Levels Drone Survey'!D70-'Existing Levels Drone Survey'!D70</f>
        <v>0</v>
      </c>
      <c r="E70" s="278">
        <f>'Functional Levels Drone Survey'!E70-'Existing Levels Drone Survey'!E70</f>
        <v>-0.4146555555556688</v>
      </c>
      <c r="F70" s="191">
        <f>'Functional Levels Drone Survey'!F70-'Existing Levels Drone Survey'!F70</f>
        <v>9.1444444443595785E-3</v>
      </c>
      <c r="G70" s="191">
        <f>'Functional Levels Drone Survey'!G70-'Existing Levels Drone Survey'!G70</f>
        <v>-2.4255555555669162E-2</v>
      </c>
      <c r="H70" s="279">
        <f>'Functional Levels Drone Survey'!H70-'Existing Levels Drone Survey'!H70</f>
        <v>4.3044444444376495E-2</v>
      </c>
      <c r="I70" s="191">
        <f>'Functional Levels Drone Survey'!I70-'Existing Levels Drone Survey'!I70</f>
        <v>8.4044444444373312E-2</v>
      </c>
      <c r="J70" s="191">
        <f>'Functional Levels Drone Survey'!J70-'Existing Levels Drone Survey'!J70</f>
        <v>9.2844444444381224E-2</v>
      </c>
      <c r="K70" s="191">
        <f>'Functional Levels Drone Survey'!K70-'Existing Levels Drone Survey'!K70</f>
        <v>-0.17045555555563396</v>
      </c>
      <c r="L70" s="191">
        <f>'Functional Levels Drone Survey'!L70-'Existing Levels Drone Survey'!L70</f>
        <v>-0.16385555555564224</v>
      </c>
      <c r="M70" s="191">
        <f>'Functional Levels Drone Survey'!M70-'Existing Levels Drone Survey'!M70</f>
        <v>0.37854444444440105</v>
      </c>
      <c r="N70" s="191">
        <f>'Functional Levels Drone Survey'!N70-'Existing Levels Drone Survey'!N70</f>
        <v>0.11024444444439041</v>
      </c>
      <c r="O70" s="191">
        <f>'Functional Levels Drone Survey'!O70-'Existing Levels Drone Survey'!O70</f>
        <v>0.16714444444437504</v>
      </c>
      <c r="P70" s="191">
        <f>'Functional Levels Drone Survey'!P70-'Existing Levels Drone Survey'!P70</f>
        <v>0.19674444444439132</v>
      </c>
      <c r="Q70" s="191">
        <f>'Functional Levels Drone Survey'!Q70-'Existing Levels Drone Survey'!Q70</f>
        <v>0.20384444444437122</v>
      </c>
      <c r="R70" s="191">
        <f>'Functional Levels Drone Survey'!R70-'Existing Levels Drone Survey'!R70</f>
        <v>0.18774444444437677</v>
      </c>
      <c r="S70" s="191">
        <f>'Functional Levels Drone Survey'!S70-'Existing Levels Drone Survey'!S70</f>
        <v>0.21764444444437459</v>
      </c>
      <c r="T70" s="191">
        <f>'Functional Levels Drone Survey'!T70-'Existing Levels Drone Survey'!T70</f>
        <v>0.20304444444440151</v>
      </c>
      <c r="U70" s="191">
        <f>'Functional Levels Drone Survey'!U70-'Existing Levels Drone Survey'!U70</f>
        <v>0.19584444444438986</v>
      </c>
      <c r="V70" s="191">
        <f>'Functional Levels Drone Survey'!V70-'Existing Levels Drone Survey'!V70</f>
        <v>0.19494444444438841</v>
      </c>
      <c r="W70" s="191">
        <f>'Functional Levels Drone Survey'!W70-'Existing Levels Drone Survey'!W70</f>
        <v>0.19764444444439278</v>
      </c>
      <c r="X70" s="191">
        <f>'Functional Levels Drone Survey'!X70-'Existing Levels Drone Survey'!X70</f>
        <v>0.18444444444435248</v>
      </c>
      <c r="Y70" s="279">
        <f>'Functional Levels Drone Survey'!Y70-'Existing Levels Drone Survey'!Y70</f>
        <v>4.0544444444378769E-2</v>
      </c>
      <c r="Z70" s="191">
        <f>'Functional Levels Drone Survey'!Z70-'Existing Levels Drone Survey'!Z70</f>
        <v>0.10224285714281223</v>
      </c>
      <c r="AA70" s="279">
        <f>'Functional Levels Drone Survey'!AA70-'Existing Levels Drone Survey'!AA70</f>
        <v>0.22904285714275829</v>
      </c>
      <c r="AB70" s="191">
        <f>'Functional Levels Drone Survey'!AB70-'Existing Levels Drone Survey'!AB70</f>
        <v>0.22114285714275184</v>
      </c>
      <c r="AC70" s="191">
        <f>'Functional Levels Drone Survey'!AC70-'Existing Levels Drone Survey'!AC70</f>
        <v>0.20664285714275366</v>
      </c>
      <c r="AD70" s="191">
        <f>'Functional Levels Drone Survey'!AD70-'Existing Levels Drone Survey'!AD70</f>
        <v>0.20904285714277648</v>
      </c>
      <c r="AE70" s="191">
        <f>'Functional Levels Drone Survey'!AE70-'Existing Levels Drone Survey'!AE70</f>
        <v>0.19984285714275529</v>
      </c>
      <c r="AF70" s="191">
        <f>'Functional Levels Drone Survey'!AF70-'Existing Levels Drone Survey'!AF70</f>
        <v>0.19194285714274884</v>
      </c>
      <c r="AG70" s="191">
        <f>'Functional Levels Drone Survey'!AG70-'Existing Levels Drone Survey'!AG70</f>
        <v>0.18784285714275484</v>
      </c>
      <c r="AH70" s="191">
        <f>'Functional Levels Drone Survey'!AH70-'Existing Levels Drone Survey'!AH70</f>
        <v>0.17974285714274174</v>
      </c>
      <c r="AI70" s="191">
        <f>'Functional Levels Drone Survey'!AI70-'Existing Levels Drone Survey'!AI70</f>
        <v>0.19824285714275902</v>
      </c>
      <c r="AJ70" s="191">
        <f>'Functional Levels Drone Survey'!AJ70-'Existing Levels Drone Survey'!AJ70</f>
        <v>0.2026428571427914</v>
      </c>
      <c r="AK70" s="191">
        <f>'Functional Levels Drone Survey'!AK70-'Existing Levels Drone Survey'!AK70</f>
        <v>0.21624285714278813</v>
      </c>
      <c r="AL70" s="191">
        <f>'Functional Levels Drone Survey'!AL70-'Existing Levels Drone Survey'!AL70</f>
        <v>0.20634285714277212</v>
      </c>
      <c r="AM70" s="191">
        <f>'Functional Levels Drone Survey'!AM70-'Existing Levels Drone Survey'!AM70</f>
        <v>0.21014285714278458</v>
      </c>
      <c r="AN70" s="191">
        <f>'Functional Levels Drone Survey'!AN70-'Existing Levels Drone Survey'!AN70</f>
        <v>0.2379428571427411</v>
      </c>
      <c r="AO70" s="191">
        <f>'Functional Levels Drone Survey'!AO70-'Existing Levels Drone Survey'!AO70</f>
        <v>0.20534285714273892</v>
      </c>
      <c r="AP70" s="191">
        <f>'Functional Levels Drone Survey'!AP70-'Existing Levels Drone Survey'!AP70</f>
        <v>0.19434285714277166</v>
      </c>
      <c r="AQ70" s="191">
        <f>'Functional Levels Drone Survey'!AQ70-'Existing Levels Drone Survey'!AQ70</f>
        <v>0.17834285714275211</v>
      </c>
      <c r="AR70" s="191">
        <f>'Functional Levels Drone Survey'!AR70-'Existing Levels Drone Survey'!AR70</f>
        <v>0.16114285714274956</v>
      </c>
      <c r="AS70" s="191">
        <f>'Functional Levels Drone Survey'!AS70-'Existing Levels Drone Survey'!AS70</f>
        <v>0.16364285714274729</v>
      </c>
      <c r="AT70" s="191">
        <f>'Functional Levels Drone Survey'!AT70-'Existing Levels Drone Survey'!AT70</f>
        <v>0.30704285714278967</v>
      </c>
      <c r="AU70" s="279">
        <f>'Functional Levels Drone Survey'!AU70-'Existing Levels Drone Survey'!AU70</f>
        <v>0.3236428571427723</v>
      </c>
      <c r="AV70" s="191">
        <f>'Functional Levels Drone Survey'!AV70-'Existing Levels Drone Survey'!AV70</f>
        <v>0.13384285714272437</v>
      </c>
      <c r="AW70" s="191">
        <f>'Functional Levels Drone Survey'!AW70-'Existing Levels Drone Survey'!AW70</f>
        <v>0.12999999999999545</v>
      </c>
      <c r="AX70" s="279">
        <f>'Functional Levels Drone Survey'!AX70-'Existing Levels Drone Survey'!AX70</f>
        <v>0.15225238095223403</v>
      </c>
      <c r="AY70" s="191">
        <f>'Functional Levels Drone Survey'!AY70-'Existing Levels Drone Survey'!AY70</f>
        <v>0.15835238095223758</v>
      </c>
      <c r="AZ70" s="191">
        <f>'Functional Levels Drone Survey'!AZ70-'Existing Levels Drone Survey'!AZ70</f>
        <v>0.15345238095221703</v>
      </c>
      <c r="BA70" s="191">
        <f>'Functional Levels Drone Survey'!BA70-'Existing Levels Drone Survey'!BA70</f>
        <v>0.13295238095224704</v>
      </c>
      <c r="BB70" s="191">
        <f>'Functional Levels Drone Survey'!BB70-'Existing Levels Drone Survey'!BB70</f>
        <v>0.15725238095222949</v>
      </c>
      <c r="BC70" s="191">
        <f>'Functional Levels Drone Survey'!BC70-'Existing Levels Drone Survey'!BC70</f>
        <v>0.1550523809522133</v>
      </c>
      <c r="BD70" s="191">
        <f>'Functional Levels Drone Survey'!BD70-'Existing Levels Drone Survey'!BD70</f>
        <v>0.11385238095220984</v>
      </c>
      <c r="BE70" s="191">
        <f>'Functional Levels Drone Survey'!BE70-'Existing Levels Drone Survey'!BE70</f>
        <v>0.10865238095220775</v>
      </c>
      <c r="BF70" s="191">
        <f>'Functional Levels Drone Survey'!BF70-'Existing Levels Drone Survey'!BF70</f>
        <v>0.11035238095223576</v>
      </c>
      <c r="BG70" s="191">
        <f>'Functional Levels Drone Survey'!BG70-'Existing Levels Drone Survey'!BG70</f>
        <v>0.12895238095222794</v>
      </c>
      <c r="BH70" s="191">
        <f>'Functional Levels Drone Survey'!BH70-'Existing Levels Drone Survey'!BH70</f>
        <v>0.1369523809522093</v>
      </c>
      <c r="BI70" s="191">
        <f>'Functional Levels Drone Survey'!BI70-'Existing Levels Drone Survey'!BI70</f>
        <v>0.13655238095225286</v>
      </c>
      <c r="BJ70" s="191">
        <f>'Functional Levels Drone Survey'!BJ70-'Existing Levels Drone Survey'!BJ70</f>
        <v>0.16455238095221603</v>
      </c>
      <c r="BK70" s="191">
        <f>'Functional Levels Drone Survey'!BK70-'Existing Levels Drone Survey'!BK70</f>
        <v>0.14695238095225704</v>
      </c>
      <c r="BL70" s="191">
        <f>'Functional Levels Drone Survey'!BL70-'Existing Levels Drone Survey'!BL70</f>
        <v>0.15715238095225459</v>
      </c>
      <c r="BM70" s="191">
        <f>'Functional Levels Drone Survey'!BM70-'Existing Levels Drone Survey'!BM70</f>
        <v>0.13095238095223749</v>
      </c>
      <c r="BN70" s="191">
        <f>'Functional Levels Drone Survey'!BN70-'Existing Levels Drone Survey'!BN70</f>
        <v>0.15385238095223031</v>
      </c>
      <c r="BO70" s="191">
        <f>'Functional Levels Drone Survey'!BO70-'Existing Levels Drone Survey'!BO70</f>
        <v>0.12905238095225968</v>
      </c>
      <c r="BP70" s="191">
        <f>'Functional Levels Drone Survey'!BP70-'Existing Levels Drone Survey'!BP70</f>
        <v>8.0052380952224667E-2</v>
      </c>
      <c r="BQ70" s="191">
        <f>'Functional Levels Drone Survey'!BQ70-'Existing Levels Drone Survey'!BQ70</f>
        <v>0.22055238095225604</v>
      </c>
      <c r="BR70" s="279">
        <f>'Functional Levels Drone Survey'!BR70-'Existing Levels Drone Survey'!BR70</f>
        <v>0.25055238095222876</v>
      </c>
      <c r="BS70" s="191">
        <f>'Functional Levels Drone Survey'!BS70-'Existing Levels Drone Survey'!BS70</f>
        <v>6.8968181818206631E-2</v>
      </c>
      <c r="BT70" s="279">
        <f>'Functional Levels Drone Survey'!BT70-'Existing Levels Drone Survey'!BT70</f>
        <v>5.826818181822091E-2</v>
      </c>
      <c r="BU70" s="191">
        <f>'Functional Levels Drone Survey'!BU70-'Existing Levels Drone Survey'!BU70</f>
        <v>-0.16543181818178709</v>
      </c>
      <c r="BV70" s="191">
        <f>'Functional Levels Drone Survey'!BV70-'Existing Levels Drone Survey'!BV70</f>
        <v>-0.26873181818177727</v>
      </c>
      <c r="BW70" s="191">
        <f>'Functional Levels Drone Survey'!BW70-'Existing Levels Drone Survey'!BW70</f>
        <v>-0.1936318181817569</v>
      </c>
      <c r="BX70" s="191">
        <f>'Functional Levels Drone Survey'!BX70-'Existing Levels Drone Survey'!BX70</f>
        <v>-0.1866318181817519</v>
      </c>
      <c r="BY70" s="191">
        <f>'Functional Levels Drone Survey'!BY70-'Existing Levels Drone Survey'!BY70</f>
        <v>3.7268181818205903E-2</v>
      </c>
      <c r="BZ70" s="191">
        <f>'Functional Levels Drone Survey'!BZ70-'Existing Levels Drone Survey'!BZ70</f>
        <v>0.24196818181820845</v>
      </c>
      <c r="CA70" s="191">
        <f>'Functional Levels Drone Survey'!CA70-'Existing Levels Drone Survey'!CA70</f>
        <v>0.24656818181824747</v>
      </c>
      <c r="CB70" s="191">
        <f>'Functional Levels Drone Survey'!CB70-'Existing Levels Drone Survey'!CB70</f>
        <v>0.25476818181823546</v>
      </c>
      <c r="CC70" s="191">
        <f>'Functional Levels Drone Survey'!CC70-'Existing Levels Drone Survey'!CC70</f>
        <v>0.25846818181821618</v>
      </c>
      <c r="CD70" s="191">
        <f>'Functional Levels Drone Survey'!CD70-'Existing Levels Drone Survey'!CD70</f>
        <v>0.2742681818182291</v>
      </c>
      <c r="CE70" s="191">
        <f>'Functional Levels Drone Survey'!CE70-'Existing Levels Drone Survey'!CE70</f>
        <v>0.27546818181821209</v>
      </c>
      <c r="CF70" s="191">
        <f>'Functional Levels Drone Survey'!CF70-'Existing Levels Drone Survey'!CF70</f>
        <v>0.29066818181820508</v>
      </c>
      <c r="CG70" s="191">
        <f>'Functional Levels Drone Survey'!CG70-'Existing Levels Drone Survey'!CG70</f>
        <v>0.31306818181820972</v>
      </c>
      <c r="CH70" s="191">
        <f>'Functional Levels Drone Survey'!CH70-'Existing Levels Drone Survey'!CH70</f>
        <v>0.28496818181821482</v>
      </c>
      <c r="CI70" s="191">
        <f>'Functional Levels Drone Survey'!CI70-'Existing Levels Drone Survey'!CI70</f>
        <v>0.25076818181821636</v>
      </c>
      <c r="CJ70" s="191">
        <f>'Functional Levels Drone Survey'!CJ70-'Existing Levels Drone Survey'!CJ70</f>
        <v>0.27936818181819945</v>
      </c>
      <c r="CK70" s="191">
        <f>'Functional Levels Drone Survey'!CK70-'Existing Levels Drone Survey'!CK70</f>
        <v>0.25586818181824356</v>
      </c>
      <c r="CL70" s="191">
        <f>'Functional Levels Drone Survey'!CL70-'Existing Levels Drone Survey'!CL70</f>
        <v>0.2923681818182331</v>
      </c>
      <c r="CM70" s="191">
        <f>'Functional Levels Drone Survey'!CM70-'Existing Levels Drone Survey'!CM70</f>
        <v>0.26036818181825083</v>
      </c>
      <c r="CN70" s="191">
        <f>'Functional Levels Drone Survey'!CN70-'Existing Levels Drone Survey'!CN70</f>
        <v>0.25466818181820372</v>
      </c>
      <c r="CO70" s="279">
        <f>'Functional Levels Drone Survey'!CO70-'Existing Levels Drone Survey'!CO70</f>
        <v>0.25746818181823983</v>
      </c>
      <c r="CP70" s="191">
        <f>'Functional Levels Drone Survey'!CP70-'Existing Levels Drone Survey'!CP70</f>
        <v>4.5423809523981618E-2</v>
      </c>
      <c r="CQ70" s="279">
        <f>'Functional Levels Drone Survey'!CQ70-'Existing Levels Drone Survey'!CQ70</f>
        <v>5.8823809523971704E-2</v>
      </c>
      <c r="CR70" s="191">
        <f>'Functional Levels Drone Survey'!CR70-'Existing Levels Drone Survey'!CR70</f>
        <v>7.6823809523943964E-2</v>
      </c>
      <c r="CS70" s="191">
        <f>'Functional Levels Drone Survey'!CS70-'Existing Levels Drone Survey'!CS70</f>
        <v>0.26872380952397634</v>
      </c>
      <c r="CT70" s="191">
        <f>'Functional Levels Drone Survey'!CT70-'Existing Levels Drone Survey'!CT70</f>
        <v>0.24182380952396443</v>
      </c>
      <c r="CU70" s="191">
        <f>'Functional Levels Drone Survey'!CU70-'Existing Levels Drone Survey'!CU70</f>
        <v>0.22882380952393078</v>
      </c>
      <c r="CV70" s="191">
        <f>'Functional Levels Drone Survey'!CV70-'Existing Levels Drone Survey'!CV70</f>
        <v>0.28902380952393969</v>
      </c>
      <c r="CW70" s="191">
        <f>'Functional Levels Drone Survey'!CW70-'Existing Levels Drone Survey'!CW70</f>
        <v>0.31772380952395451</v>
      </c>
      <c r="CX70" s="191">
        <f>'Functional Levels Drone Survey'!CX70-'Existing Levels Drone Survey'!CX70</f>
        <v>0.27152380952395561</v>
      </c>
      <c r="CY70" s="191">
        <f>'Functional Levels Drone Survey'!CY70-'Existing Levels Drone Survey'!CY70</f>
        <v>5.772380952396361E-2</v>
      </c>
      <c r="CZ70" s="191">
        <f>'Functional Levels Drone Survey'!CZ70-'Existing Levels Drone Survey'!CZ70</f>
        <v>0.27732380952397762</v>
      </c>
      <c r="DA70" s="191">
        <f>'Functional Levels Drone Survey'!DA70-'Existing Levels Drone Survey'!DA70</f>
        <v>0.24162380952395779</v>
      </c>
      <c r="DB70" s="191">
        <f>'Functional Levels Drone Survey'!DB70-'Existing Levels Drone Survey'!DB70</f>
        <v>0.3100238095239547</v>
      </c>
      <c r="DC70" s="191">
        <f>'Functional Levels Drone Survey'!DC70-'Existing Levels Drone Survey'!DC70</f>
        <v>0.31532380952393169</v>
      </c>
      <c r="DD70" s="191">
        <f>'Functional Levels Drone Survey'!DD70-'Existing Levels Drone Survey'!DD70</f>
        <v>0.17712380952394824</v>
      </c>
      <c r="DE70" s="191">
        <f>'Functional Levels Drone Survey'!DE70-'Existing Levels Drone Survey'!DE70</f>
        <v>0.31162380952395097</v>
      </c>
      <c r="DF70" s="191">
        <f>'Functional Levels Drone Survey'!DF70-'Existing Levels Drone Survey'!DF70</f>
        <v>0.20292380952395206</v>
      </c>
      <c r="DG70" s="191">
        <f>'Functional Levels Drone Survey'!DG70-'Existing Levels Drone Survey'!DG70</f>
        <v>0.23982380952395488</v>
      </c>
      <c r="DH70" s="191">
        <f>'Functional Levels Drone Survey'!DH70-'Existing Levels Drone Survey'!DH70</f>
        <v>0.24402380952392377</v>
      </c>
      <c r="DI70" s="191">
        <f>'Functional Levels Drone Survey'!DI70-'Existing Levels Drone Survey'!DI70</f>
        <v>0.37032380952393851</v>
      </c>
      <c r="DJ70" s="191">
        <f>'Functional Levels Drone Survey'!DJ70-'Existing Levels Drone Survey'!DJ70</f>
        <v>0.38372380952392859</v>
      </c>
      <c r="DK70" s="279">
        <f>'Functional Levels Drone Survey'!DK70-'Existing Levels Drone Survey'!DK70</f>
        <v>0.36772380952396588</v>
      </c>
      <c r="DL70" s="191">
        <f>'Functional Levels Drone Survey'!DL70-'Existing Levels Drone Survey'!DL70</f>
        <v>7.0723809523940417E-2</v>
      </c>
      <c r="DM70" s="191">
        <f>'Functional Levels Drone Survey'!DM70-'Existing Levels Drone Survey'!DM70</f>
        <v>6.3923809523942055E-2</v>
      </c>
      <c r="DN70" s="191">
        <f>'Functional Levels Drone Survey'!DN70-'Existing Levels Drone Survey'!DN70</f>
        <v>4.0023809523916043E-2</v>
      </c>
      <c r="DO70" s="191">
        <f>'Functional Levels Drone Survey'!DO70-'Existing Levels Drone Survey'!DO70</f>
        <v>-3.0676190476071952E-2</v>
      </c>
      <c r="DP70" s="191">
        <f>'Functional Levels Drone Survey'!DP70-'Existing Levels Drone Survey'!DP70</f>
        <v>-8.4376190476064039E-2</v>
      </c>
      <c r="DQ70" s="191">
        <f>'Functional Levels Drone Survey'!DQ70-'Existing Levels Drone Survey'!DQ70</f>
        <v>-7.4776190476086413E-2</v>
      </c>
      <c r="DR70" s="191">
        <f>'Functional Levels Drone Survey'!DR70-'Existing Levels Drone Survey'!DR70</f>
        <v>4.4223809523941782E-2</v>
      </c>
      <c r="DS70" s="191">
        <f>'Functional Levels Drone Survey'!DS70-'Existing Levels Drone Survey'!DS70</f>
        <v>2.9323809523930322E-2</v>
      </c>
      <c r="DT70" s="191">
        <f>'Functional Levels Drone Survey'!DT70-'Existing Levels Drone Survey'!DT70</f>
        <v>0.13702380952389603</v>
      </c>
      <c r="DU70" s="191">
        <f>'Functional Levels Drone Survey'!DU70-'Existing Levels Drone Survey'!DU70</f>
        <v>-3.3176190476069678E-2</v>
      </c>
      <c r="DV70" s="191">
        <f>'Functional Levels Drone Survey'!DV70-'Existing Levels Drone Survey'!DV70</f>
        <v>2.1623809523930504E-2</v>
      </c>
      <c r="DW70" s="191">
        <f>'Functional Levels Drone Survey'!DW70-'Existing Levels Drone Survey'!DW70</f>
        <v>-5.507619047608614E-2</v>
      </c>
      <c r="DX70" s="191">
        <f>'Functional Levels Drone Survey'!DX70-'Existing Levels Drone Survey'!DX70</f>
        <v>-0.11387619047610542</v>
      </c>
      <c r="DY70" s="278">
        <f>'Functional Levels Drone Survey'!DY70-'Existing Levels Drone Survey'!DY70</f>
        <v>-0.44437619047607768</v>
      </c>
      <c r="DZ70" s="191">
        <f>'Functional Levels Drone Survey'!DZ70-'Existing Levels Drone Survey'!DZ70</f>
        <v>0</v>
      </c>
      <c r="EA70" s="191">
        <f>'Functional Levels Drone Survey'!EA70-'Existing Levels Drone Survey'!EA70</f>
        <v>0</v>
      </c>
      <c r="EB70" s="191">
        <f>'Functional Levels Drone Survey'!EB70-'Existing Levels Drone Survey'!EB70</f>
        <v>0</v>
      </c>
      <c r="EC70" s="191">
        <f>'Functional Levels Drone Survey'!EC70-'Existing Levels Drone Survey'!EC70</f>
        <v>0</v>
      </c>
      <c r="ED70" s="191">
        <f>'Functional Levels Drone Survey'!ED70-'Existing Levels Drone Survey'!ED70</f>
        <v>0</v>
      </c>
      <c r="EE70" s="191">
        <f>'Functional Levels Drone Survey'!EE70-'Existing Levels Drone Survey'!EE70</f>
        <v>0</v>
      </c>
      <c r="EF70" s="191">
        <f>'Functional Levels Drone Survey'!EF70-'Existing Levels Drone Survey'!EF70</f>
        <v>0</v>
      </c>
      <c r="EG70" s="191">
        <f>'Functional Levels Drone Survey'!EG70-'Existing Levels Drone Survey'!EG70</f>
        <v>0</v>
      </c>
      <c r="EH70" s="191">
        <f>'Functional Levels Drone Survey'!EH70-'Existing Levels Drone Survey'!EH70</f>
        <v>0</v>
      </c>
      <c r="EI70" s="191">
        <f>'Functional Levels Drone Survey'!EI70-'Existing Levels Drone Survey'!EI70</f>
        <v>0</v>
      </c>
      <c r="EJ70" s="191">
        <f>'Functional Levels Drone Survey'!EJ70-'Existing Levels Drone Survey'!EJ70</f>
        <v>0</v>
      </c>
      <c r="EK70" s="191">
        <f>'Functional Levels Drone Survey'!EK70-'Existing Levels Drone Survey'!EK70</f>
        <v>0</v>
      </c>
      <c r="EL70" s="191">
        <f>'Functional Levels Drone Survey'!EL70-'Existing Levels Drone Survey'!EL70</f>
        <v>0</v>
      </c>
      <c r="EM70" s="191">
        <f>'Functional Levels Drone Survey'!EM70-'Existing Levels Drone Survey'!EM70</f>
        <v>0</v>
      </c>
      <c r="EN70" s="191">
        <f>'Functional Levels Drone Survey'!EN70-'Existing Levels Drone Survey'!EN70</f>
        <v>0</v>
      </c>
      <c r="EO70" s="191">
        <f>'Functional Levels Drone Survey'!EO70-'Existing Levels Drone Survey'!EO70</f>
        <v>0</v>
      </c>
      <c r="EP70" s="191">
        <f>'Functional Levels Drone Survey'!EP70-'Existing Levels Drone Survey'!EP70</f>
        <v>0</v>
      </c>
      <c r="EQ70" s="191">
        <f>'Functional Levels Drone Survey'!EQ70-'Existing Levels Drone Survey'!EQ70</f>
        <v>0</v>
      </c>
      <c r="ER70" s="191">
        <f>'Functional Levels Drone Survey'!ER70-'Existing Levels Drone Survey'!ER70</f>
        <v>0</v>
      </c>
      <c r="ES70" s="191">
        <f>'Functional Levels Drone Survey'!ES70-'Existing Levels Drone Survey'!ES70</f>
        <v>0</v>
      </c>
      <c r="ET70" s="191">
        <f>'Functional Levels Drone Survey'!ET70-'Existing Levels Drone Survey'!ET70</f>
        <v>0</v>
      </c>
      <c r="EU70" s="191">
        <f>'Functional Levels Drone Survey'!EU70-'Existing Levels Drone Survey'!EU70</f>
        <v>0</v>
      </c>
      <c r="EV70" s="191">
        <f>'Functional Levels Drone Survey'!EV70-'Existing Levels Drone Survey'!EV70</f>
        <v>0</v>
      </c>
      <c r="EW70" s="191">
        <f>'Functional Levels Drone Survey'!EW70-'Existing Levels Drone Survey'!EW70</f>
        <v>0</v>
      </c>
      <c r="EX70" s="191">
        <f>'Functional Levels Drone Survey'!EX70-'Existing Levels Drone Survey'!EX70</f>
        <v>0</v>
      </c>
      <c r="EY70" s="191">
        <f>'Functional Levels Drone Survey'!EY70-'Existing Levels Drone Survey'!EY70</f>
        <v>0</v>
      </c>
    </row>
    <row r="71" spans="1:155" ht="45" customHeight="1" x14ac:dyDescent="0.45">
      <c r="A71" s="277">
        <v>350</v>
      </c>
      <c r="B71" s="191">
        <f>'Functional Levels Drone Survey'!B71-'Existing Levels Drone Survey'!B71</f>
        <v>0</v>
      </c>
      <c r="C71" s="191">
        <f>'Functional Levels Drone Survey'!C71-'Existing Levels Drone Survey'!C71</f>
        <v>0</v>
      </c>
      <c r="D71" s="191">
        <f>'Functional Levels Drone Survey'!D71-'Existing Levels Drone Survey'!D71</f>
        <v>0</v>
      </c>
      <c r="E71" s="278">
        <f>'Functional Levels Drone Survey'!E71-'Existing Levels Drone Survey'!E71</f>
        <v>-0.32235555555564588</v>
      </c>
      <c r="F71" s="191">
        <f>'Functional Levels Drone Survey'!F71-'Existing Levels Drone Survey'!F71</f>
        <v>-0.38755555555565024</v>
      </c>
      <c r="G71" s="191">
        <f>'Functional Levels Drone Survey'!G71-'Existing Levels Drone Survey'!G71</f>
        <v>-0.48645555555560804</v>
      </c>
      <c r="H71" s="279">
        <f>'Functional Levels Drone Survey'!H71-'Existing Levels Drone Survey'!H71</f>
        <v>-0.29385555555563769</v>
      </c>
      <c r="I71" s="191">
        <f>'Functional Levels Drone Survey'!I71-'Existing Levels Drone Survey'!I71</f>
        <v>-0.11755555555561159</v>
      </c>
      <c r="J71" s="191">
        <f>'Functional Levels Drone Survey'!J71-'Existing Levels Drone Survey'!J71</f>
        <v>0.24814444444439232</v>
      </c>
      <c r="K71" s="191">
        <f>'Functional Levels Drone Survey'!K71-'Existing Levels Drone Survey'!K71</f>
        <v>0.30094444444438295</v>
      </c>
      <c r="L71" s="191">
        <f>'Functional Levels Drone Survey'!L71-'Existing Levels Drone Survey'!L71</f>
        <v>0.17154444444440742</v>
      </c>
      <c r="M71" s="191">
        <f>'Functional Levels Drone Survey'!M71-'Existing Levels Drone Survey'!M71</f>
        <v>0.2335444444443624</v>
      </c>
      <c r="N71" s="191">
        <f>'Functional Levels Drone Survey'!N71-'Existing Levels Drone Survey'!N71</f>
        <v>0.22564444444441278</v>
      </c>
      <c r="O71" s="191">
        <f>'Functional Levels Drone Survey'!O71-'Existing Levels Drone Survey'!O71</f>
        <v>0.23034444444436986</v>
      </c>
      <c r="P71" s="191">
        <f>'Functional Levels Drone Survey'!P71-'Existing Levels Drone Survey'!P71</f>
        <v>0.22444444444437295</v>
      </c>
      <c r="Q71" s="191">
        <f>'Functional Levels Drone Survey'!Q71-'Existing Levels Drone Survey'!Q71</f>
        <v>0.23374444444436904</v>
      </c>
      <c r="R71" s="191">
        <f>'Functional Levels Drone Survey'!R71-'Existing Levels Drone Survey'!R71</f>
        <v>0.23084444444441488</v>
      </c>
      <c r="S71" s="191">
        <f>'Functional Levels Drone Survey'!S71-'Existing Levels Drone Survey'!S71</f>
        <v>0.24004444444437922</v>
      </c>
      <c r="T71" s="191">
        <f>'Functional Levels Drone Survey'!T71-'Existing Levels Drone Survey'!T71</f>
        <v>0.25004444444437013</v>
      </c>
      <c r="U71" s="191">
        <f>'Functional Levels Drone Survey'!U71-'Existing Levels Drone Survey'!U71</f>
        <v>0.24004444444437922</v>
      </c>
      <c r="V71" s="191">
        <f>'Functional Levels Drone Survey'!V71-'Existing Levels Drone Survey'!V71</f>
        <v>0.23714444444436822</v>
      </c>
      <c r="W71" s="191">
        <f>'Functional Levels Drone Survey'!W71-'Existing Levels Drone Survey'!W71</f>
        <v>0.22684444444439578</v>
      </c>
      <c r="X71" s="191">
        <f>'Functional Levels Drone Survey'!X71-'Existing Levels Drone Survey'!X71</f>
        <v>0.23274444444439268</v>
      </c>
      <c r="Y71" s="279">
        <f>'Functional Levels Drone Survey'!Y71-'Existing Levels Drone Survey'!Y71</f>
        <v>8.1844444444413966E-2</v>
      </c>
      <c r="Z71" s="191">
        <f>'Functional Levels Drone Survey'!Z71-'Existing Levels Drone Survey'!Z71</f>
        <v>0.1814428571428266</v>
      </c>
      <c r="AA71" s="279">
        <f>'Functional Levels Drone Survey'!AA71-'Existing Levels Drone Survey'!AA71</f>
        <v>0.19854285714274056</v>
      </c>
      <c r="AB71" s="191">
        <f>'Functional Levels Drone Survey'!AB71-'Existing Levels Drone Survey'!AB71</f>
        <v>0.20414285714275593</v>
      </c>
      <c r="AC71" s="191">
        <f>'Functional Levels Drone Survey'!AC71-'Existing Levels Drone Survey'!AC71</f>
        <v>0.19024285714277767</v>
      </c>
      <c r="AD71" s="191">
        <f>'Functional Levels Drone Survey'!AD71-'Existing Levels Drone Survey'!AD71</f>
        <v>0.17394285714277657</v>
      </c>
      <c r="AE71" s="191">
        <f>'Functional Levels Drone Survey'!AE71-'Existing Levels Drone Survey'!AE71</f>
        <v>0.14224285714277585</v>
      </c>
      <c r="AF71" s="191">
        <f>'Functional Levels Drone Survey'!AF71-'Existing Levels Drone Survey'!AF71</f>
        <v>0.13794285714277521</v>
      </c>
      <c r="AG71" s="191">
        <f>'Functional Levels Drone Survey'!AG71-'Existing Levels Drone Survey'!AG71</f>
        <v>0.14414285714275366</v>
      </c>
      <c r="AH71" s="191">
        <f>'Functional Levels Drone Survey'!AH71-'Existing Levels Drone Survey'!AH71</f>
        <v>0.11424285714275584</v>
      </c>
      <c r="AI71" s="191">
        <f>'Functional Levels Drone Survey'!AI71-'Existing Levels Drone Survey'!AI71</f>
        <v>0.1542428571427763</v>
      </c>
      <c r="AJ71" s="191">
        <f>'Functional Levels Drone Survey'!AJ71-'Existing Levels Drone Survey'!AJ71</f>
        <v>0.15554285714273419</v>
      </c>
      <c r="AK71" s="191">
        <f>'Functional Levels Drone Survey'!AK71-'Existing Levels Drone Survey'!AK71</f>
        <v>0.18864285714278139</v>
      </c>
      <c r="AL71" s="191">
        <f>'Functional Levels Drone Survey'!AL71-'Existing Levels Drone Survey'!AL71</f>
        <v>0.16524285714274356</v>
      </c>
      <c r="AM71" s="191">
        <f>'Functional Levels Drone Survey'!AM71-'Existing Levels Drone Survey'!AM71</f>
        <v>0.1957428571427613</v>
      </c>
      <c r="AN71" s="191">
        <f>'Functional Levels Drone Survey'!AN71-'Existing Levels Drone Survey'!AN71</f>
        <v>0.2028428571427412</v>
      </c>
      <c r="AO71" s="191">
        <f>'Functional Levels Drone Survey'!AO71-'Existing Levels Drone Survey'!AO71</f>
        <v>0.16854285714276784</v>
      </c>
      <c r="AP71" s="191">
        <f>'Functional Levels Drone Survey'!AP71-'Existing Levels Drone Survey'!AP71</f>
        <v>0.1473428571427462</v>
      </c>
      <c r="AQ71" s="191">
        <f>'Functional Levels Drone Survey'!AQ71-'Existing Levels Drone Survey'!AQ71</f>
        <v>0.15254285714274829</v>
      </c>
      <c r="AR71" s="191">
        <f>'Functional Levels Drone Survey'!AR71-'Existing Levels Drone Survey'!AR71</f>
        <v>0.14284285714273892</v>
      </c>
      <c r="AS71" s="191">
        <f>'Functional Levels Drone Survey'!AS71-'Existing Levels Drone Survey'!AS71</f>
        <v>0.15144285714274019</v>
      </c>
      <c r="AT71" s="191">
        <f>'Functional Levels Drone Survey'!AT71-'Existing Levels Drone Survey'!AT71</f>
        <v>0.19924285714273537</v>
      </c>
      <c r="AU71" s="279">
        <f>'Functional Levels Drone Survey'!AU71-'Existing Levels Drone Survey'!AU71</f>
        <v>0.17674285714275584</v>
      </c>
      <c r="AV71" s="191">
        <f>'Functional Levels Drone Survey'!AV71-'Existing Levels Drone Survey'!AV71</f>
        <v>0.11564285714274547</v>
      </c>
      <c r="AW71" s="191">
        <f>'Functional Levels Drone Survey'!AW71-'Existing Levels Drone Survey'!AW71</f>
        <v>0.11979999999999791</v>
      </c>
      <c r="AX71" s="279">
        <f>'Functional Levels Drone Survey'!AX71-'Existing Levels Drone Survey'!AX71</f>
        <v>0.1701523809522314</v>
      </c>
      <c r="AY71" s="191">
        <f>'Functional Levels Drone Survey'!AY71-'Existing Levels Drone Survey'!AY71</f>
        <v>0.13955238095223876</v>
      </c>
      <c r="AZ71" s="191">
        <f>'Functional Levels Drone Survey'!AZ71-'Existing Levels Drone Survey'!AZ71</f>
        <v>0.14065238095224686</v>
      </c>
      <c r="BA71" s="191">
        <f>'Functional Levels Drone Survey'!BA71-'Existing Levels Drone Survey'!BA71</f>
        <v>0.13055238095222421</v>
      </c>
      <c r="BB71" s="191">
        <f>'Functional Levels Drone Survey'!BB71-'Existing Levels Drone Survey'!BB71</f>
        <v>0.10285238095224258</v>
      </c>
      <c r="BC71" s="191">
        <f>'Functional Levels Drone Survey'!BC71-'Existing Levels Drone Survey'!BC71</f>
        <v>9.1952380952250223E-2</v>
      </c>
      <c r="BD71" s="191">
        <f>'Functional Levels Drone Survey'!BD71-'Existing Levels Drone Survey'!BD71</f>
        <v>8.3552380952255589E-2</v>
      </c>
      <c r="BE71" s="191">
        <f>'Functional Levels Drone Survey'!BE71-'Existing Levels Drone Survey'!BE71</f>
        <v>0.1287523809522213</v>
      </c>
      <c r="BF71" s="191">
        <f>'Functional Levels Drone Survey'!BF71-'Existing Levels Drone Survey'!BF71</f>
        <v>0.12145238095223476</v>
      </c>
      <c r="BG71" s="191">
        <f>'Functional Levels Drone Survey'!BG71-'Existing Levels Drone Survey'!BG71</f>
        <v>0.14495238095224749</v>
      </c>
      <c r="BH71" s="191">
        <f>'Functional Levels Drone Survey'!BH71-'Existing Levels Drone Survey'!BH71</f>
        <v>0.14675238095225041</v>
      </c>
      <c r="BI71" s="191">
        <f>'Functional Levels Drone Survey'!BI71-'Existing Levels Drone Survey'!BI71</f>
        <v>0.17615238095226005</v>
      </c>
      <c r="BJ71" s="191">
        <f>'Functional Levels Drone Survey'!BJ71-'Existing Levels Drone Survey'!BJ71</f>
        <v>0.18865238095224868</v>
      </c>
      <c r="BK71" s="191">
        <f>'Functional Levels Drone Survey'!BK71-'Existing Levels Drone Survey'!BK71</f>
        <v>0.18355238095222148</v>
      </c>
      <c r="BL71" s="191">
        <f>'Functional Levels Drone Survey'!BL71-'Existing Levels Drone Survey'!BL71</f>
        <v>0.23065238095222185</v>
      </c>
      <c r="BM71" s="191">
        <f>'Functional Levels Drone Survey'!BM71-'Existing Levels Drone Survey'!BM71</f>
        <v>0.20255238095222694</v>
      </c>
      <c r="BN71" s="191">
        <f>'Functional Levels Drone Survey'!BN71-'Existing Levels Drone Survey'!BN71</f>
        <v>0.1871523809522273</v>
      </c>
      <c r="BO71" s="191">
        <f>'Functional Levels Drone Survey'!BO71-'Existing Levels Drone Survey'!BO71</f>
        <v>0.16915238095225504</v>
      </c>
      <c r="BP71" s="191">
        <f>'Functional Levels Drone Survey'!BP71-'Existing Levels Drone Survey'!BP71</f>
        <v>-8.7547619047768421E-2</v>
      </c>
      <c r="BQ71" s="191">
        <f>'Functional Levels Drone Survey'!BQ71-'Existing Levels Drone Survey'!BQ71</f>
        <v>0.16975238095221812</v>
      </c>
      <c r="BR71" s="279">
        <f>'Functional Levels Drone Survey'!BR71-'Existing Levels Drone Survey'!BR71</f>
        <v>0.16915238095225504</v>
      </c>
      <c r="BS71" s="191">
        <f>'Functional Levels Drone Survey'!BS71-'Existing Levels Drone Survey'!BS71</f>
        <v>0.11696818181826529</v>
      </c>
      <c r="BT71" s="279">
        <f>'Functional Levels Drone Survey'!BT71-'Existing Levels Drone Survey'!BT71</f>
        <v>0.12876818181825911</v>
      </c>
      <c r="BU71" s="191">
        <f>'Functional Levels Drone Survey'!BU71-'Existing Levels Drone Survey'!BU71</f>
        <v>-0.15423181818175635</v>
      </c>
      <c r="BV71" s="191">
        <f>'Functional Levels Drone Survey'!BV71-'Existing Levels Drone Survey'!BV71</f>
        <v>-0.30513181818173507</v>
      </c>
      <c r="BW71" s="191">
        <f>'Functional Levels Drone Survey'!BW71-'Existing Levels Drone Survey'!BW71</f>
        <v>-0.20543181818175071</v>
      </c>
      <c r="BX71" s="191">
        <f>'Functional Levels Drone Survey'!BX71-'Existing Levels Drone Survey'!BX71</f>
        <v>-0.11883181818177491</v>
      </c>
      <c r="BY71" s="191">
        <f>'Functional Levels Drone Survey'!BY71-'Existing Levels Drone Survey'!BY71</f>
        <v>0.10276818181824865</v>
      </c>
      <c r="BZ71" s="191">
        <f>'Functional Levels Drone Survey'!BZ71-'Existing Levels Drone Survey'!BZ71</f>
        <v>0.25066818181824146</v>
      </c>
      <c r="CA71" s="191">
        <f>'Functional Levels Drone Survey'!CA71-'Existing Levels Drone Survey'!CA71</f>
        <v>0.26636818181822264</v>
      </c>
      <c r="CB71" s="191">
        <f>'Functional Levels Drone Survey'!CB71-'Existing Levels Drone Survey'!CB71</f>
        <v>0.26506818181826475</v>
      </c>
      <c r="CC71" s="191">
        <f>'Functional Levels Drone Survey'!CC71-'Existing Levels Drone Survey'!CC71</f>
        <v>0.27856818181822973</v>
      </c>
      <c r="CD71" s="191">
        <f>'Functional Levels Drone Survey'!CD71-'Existing Levels Drone Survey'!CD71</f>
        <v>0.27926818181822455</v>
      </c>
      <c r="CE71" s="191">
        <f>'Functional Levels Drone Survey'!CE71-'Existing Levels Drone Survey'!CE71</f>
        <v>0.28146818181824074</v>
      </c>
      <c r="CF71" s="191">
        <f>'Functional Levels Drone Survey'!CF71-'Existing Levels Drone Survey'!CF71</f>
        <v>0.33906818181822018</v>
      </c>
      <c r="CG71" s="191">
        <f>'Functional Levels Drone Survey'!CG71-'Existing Levels Drone Survey'!CG71</f>
        <v>0.32096818181821618</v>
      </c>
      <c r="CH71" s="191">
        <f>'Functional Levels Drone Survey'!CH71-'Existing Levels Drone Survey'!CH71</f>
        <v>0.33706818181821063</v>
      </c>
      <c r="CI71" s="191">
        <f>'Functional Levels Drone Survey'!CI71-'Existing Levels Drone Survey'!CI71</f>
        <v>0.30776818181823273</v>
      </c>
      <c r="CJ71" s="191">
        <f>'Functional Levels Drone Survey'!CJ71-'Existing Levels Drone Survey'!CJ71</f>
        <v>0.31586818181824583</v>
      </c>
      <c r="CK71" s="191">
        <f>'Functional Levels Drone Survey'!CK71-'Existing Levels Drone Survey'!CK71</f>
        <v>0.35616818181824783</v>
      </c>
      <c r="CL71" s="191">
        <f>'Functional Levels Drone Survey'!CL71-'Existing Levels Drone Survey'!CL71</f>
        <v>0.36226818181825138</v>
      </c>
      <c r="CM71" s="191">
        <f>'Functional Levels Drone Survey'!CM71-'Existing Levels Drone Survey'!CM71</f>
        <v>0.320468181818228</v>
      </c>
      <c r="CN71" s="191">
        <f>'Functional Levels Drone Survey'!CN71-'Existing Levels Drone Survey'!CN71</f>
        <v>0.27586818181822537</v>
      </c>
      <c r="CO71" s="279">
        <f>'Functional Levels Drone Survey'!CO71-'Existing Levels Drone Survey'!CO71</f>
        <v>0.27076818181825502</v>
      </c>
      <c r="CP71" s="191">
        <f>'Functional Levels Drone Survey'!CP71-'Existing Levels Drone Survey'!CP71</f>
        <v>6.0623809523974614E-2</v>
      </c>
      <c r="CQ71" s="279">
        <f>'Functional Levels Drone Survey'!CQ71-'Existing Levels Drone Survey'!CQ71</f>
        <v>6.3023809523940599E-2</v>
      </c>
      <c r="CR71" s="191">
        <f>'Functional Levels Drone Survey'!CR71-'Existing Levels Drone Survey'!CR71</f>
        <v>8.91238095239828E-2</v>
      </c>
      <c r="CS71" s="191">
        <f>'Functional Levels Drone Survey'!CS71-'Existing Levels Drone Survey'!CS71</f>
        <v>0.24842380952395615</v>
      </c>
      <c r="CT71" s="191">
        <f>'Functional Levels Drone Survey'!CT71-'Existing Levels Drone Survey'!CT71</f>
        <v>0.28012380952395688</v>
      </c>
      <c r="CU71" s="191">
        <f>'Functional Levels Drone Survey'!CU71-'Existing Levels Drone Survey'!CU71</f>
        <v>0.29542380952398162</v>
      </c>
      <c r="CV71" s="191">
        <f>'Functional Levels Drone Survey'!CV71-'Existing Levels Drone Survey'!CV71</f>
        <v>0.20292380952395206</v>
      </c>
      <c r="CW71" s="191">
        <f>'Functional Levels Drone Survey'!CW71-'Existing Levels Drone Survey'!CW71</f>
        <v>0.28892380952396479</v>
      </c>
      <c r="CX71" s="191">
        <f>'Functional Levels Drone Survey'!CX71-'Existing Levels Drone Survey'!CX71</f>
        <v>7.9123809523935051E-2</v>
      </c>
      <c r="CY71" s="191">
        <f>'Functional Levels Drone Survey'!CY71-'Existing Levels Drone Survey'!CY71</f>
        <v>0.1627238095239818</v>
      </c>
      <c r="CZ71" s="191">
        <f>'Functional Levels Drone Survey'!CZ71-'Existing Levels Drone Survey'!CZ71</f>
        <v>0.32912380952393505</v>
      </c>
      <c r="DA71" s="191">
        <f>'Functional Levels Drone Survey'!DA71-'Existing Levels Drone Survey'!DA71</f>
        <v>0.30402380952398289</v>
      </c>
      <c r="DB71" s="191">
        <f>'Functional Levels Drone Survey'!DB71-'Existing Levels Drone Survey'!DB71</f>
        <v>0.32742380952396388</v>
      </c>
      <c r="DC71" s="191">
        <f>'Functional Levels Drone Survey'!DC71-'Existing Levels Drone Survey'!DC71</f>
        <v>0.31522380952395679</v>
      </c>
      <c r="DD71" s="191">
        <f>'Functional Levels Drone Survey'!DD71-'Existing Levels Drone Survey'!DD71</f>
        <v>0.2725238095239888</v>
      </c>
      <c r="DE71" s="191">
        <f>'Functional Levels Drone Survey'!DE71-'Existing Levels Drone Survey'!DE71</f>
        <v>0.31462380952393687</v>
      </c>
      <c r="DF71" s="191">
        <f>'Functional Levels Drone Survey'!DF71-'Existing Levels Drone Survey'!DF71</f>
        <v>0.31092380952395615</v>
      </c>
      <c r="DG71" s="191">
        <f>'Functional Levels Drone Survey'!DG71-'Existing Levels Drone Survey'!DG71</f>
        <v>0.67002380952396834</v>
      </c>
      <c r="DH71" s="191">
        <f>'Functional Levels Drone Survey'!DH71-'Existing Levels Drone Survey'!DH71</f>
        <v>0.23982380952395488</v>
      </c>
      <c r="DI71" s="191">
        <f>'Functional Levels Drone Survey'!DI71-'Existing Levels Drone Survey'!DI71</f>
        <v>0.62402380952397607</v>
      </c>
      <c r="DJ71" s="191">
        <f>'Functional Levels Drone Survey'!DJ71-'Existing Levels Drone Survey'!DJ71</f>
        <v>0.40202380952393924</v>
      </c>
      <c r="DK71" s="279">
        <f>'Functional Levels Drone Survey'!DK71-'Existing Levels Drone Survey'!DK71</f>
        <v>0.35612380952397871</v>
      </c>
      <c r="DL71" s="191">
        <f>'Functional Levels Drone Survey'!DL71-'Existing Levels Drone Survey'!DL71</f>
        <v>-0.19447619047610942</v>
      </c>
      <c r="DM71" s="191">
        <f>'Functional Levels Drone Survey'!DM71-'Existing Levels Drone Survey'!DM71</f>
        <v>-3.9976190476068041E-2</v>
      </c>
      <c r="DN71" s="191">
        <f>'Functional Levels Drone Survey'!DN71-'Existing Levels Drone Survey'!DN71</f>
        <v>-0.40667619047610515</v>
      </c>
      <c r="DO71" s="191">
        <f>'Functional Levels Drone Survey'!DO71-'Existing Levels Drone Survey'!DO71</f>
        <v>0.24202380952391422</v>
      </c>
      <c r="DP71" s="191">
        <f>'Functional Levels Drone Survey'!DP71-'Existing Levels Drone Survey'!DP71</f>
        <v>0.13462380952393005</v>
      </c>
      <c r="DQ71" s="191">
        <f>'Functional Levels Drone Survey'!DQ71-'Existing Levels Drone Survey'!DQ71</f>
        <v>0.25332380952391986</v>
      </c>
      <c r="DR71" s="191">
        <f>'Functional Levels Drone Survey'!DR71-'Existing Levels Drone Survey'!DR71</f>
        <v>-0.15307619047609933</v>
      </c>
      <c r="DS71" s="191">
        <f>'Functional Levels Drone Survey'!DS71-'Existing Levels Drone Survey'!DS71</f>
        <v>-0.19437619047607768</v>
      </c>
      <c r="DT71" s="191">
        <f>'Functional Levels Drone Survey'!DT71-'Existing Levels Drone Survey'!DT71</f>
        <v>-5.7276190476102329E-2</v>
      </c>
      <c r="DU71" s="191">
        <f>'Functional Levels Drone Survey'!DU71-'Existing Levels Drone Survey'!DU71</f>
        <v>-0.15147619047610306</v>
      </c>
      <c r="DV71" s="191">
        <f>'Functional Levels Drone Survey'!DV71-'Existing Levels Drone Survey'!DV71</f>
        <v>-6.7376190476068132E-2</v>
      </c>
      <c r="DW71" s="191">
        <f>'Functional Levels Drone Survey'!DW71-'Existing Levels Drone Survey'!DW71</f>
        <v>-4.6761904760614925E-3</v>
      </c>
      <c r="DX71" s="191">
        <f>'Functional Levels Drone Survey'!DX71-'Existing Levels Drone Survey'!DX71</f>
        <v>-0.17037619047607677</v>
      </c>
      <c r="DY71" s="278">
        <f>'Functional Levels Drone Survey'!DY71-'Existing Levels Drone Survey'!DY71</f>
        <v>-0.14547619047607441</v>
      </c>
      <c r="DZ71" s="191">
        <f>'Functional Levels Drone Survey'!DZ71-'Existing Levels Drone Survey'!DZ71</f>
        <v>0</v>
      </c>
      <c r="EA71" s="191">
        <f>'Functional Levels Drone Survey'!EA71-'Existing Levels Drone Survey'!EA71</f>
        <v>0</v>
      </c>
      <c r="EB71" s="191">
        <f>'Functional Levels Drone Survey'!EB71-'Existing Levels Drone Survey'!EB71</f>
        <v>0</v>
      </c>
      <c r="EC71" s="191">
        <f>'Functional Levels Drone Survey'!EC71-'Existing Levels Drone Survey'!EC71</f>
        <v>0</v>
      </c>
      <c r="ED71" s="191">
        <f>'Functional Levels Drone Survey'!ED71-'Existing Levels Drone Survey'!ED71</f>
        <v>0</v>
      </c>
      <c r="EE71" s="191">
        <f>'Functional Levels Drone Survey'!EE71-'Existing Levels Drone Survey'!EE71</f>
        <v>0</v>
      </c>
      <c r="EF71" s="191">
        <f>'Functional Levels Drone Survey'!EF71-'Existing Levels Drone Survey'!EF71</f>
        <v>0</v>
      </c>
      <c r="EG71" s="191">
        <f>'Functional Levels Drone Survey'!EG71-'Existing Levels Drone Survey'!EG71</f>
        <v>0</v>
      </c>
      <c r="EH71" s="191">
        <f>'Functional Levels Drone Survey'!EH71-'Existing Levels Drone Survey'!EH71</f>
        <v>0</v>
      </c>
      <c r="EI71" s="191">
        <f>'Functional Levels Drone Survey'!EI71-'Existing Levels Drone Survey'!EI71</f>
        <v>0</v>
      </c>
      <c r="EJ71" s="191">
        <f>'Functional Levels Drone Survey'!EJ71-'Existing Levels Drone Survey'!EJ71</f>
        <v>0</v>
      </c>
      <c r="EK71" s="191">
        <f>'Functional Levels Drone Survey'!EK71-'Existing Levels Drone Survey'!EK71</f>
        <v>0</v>
      </c>
      <c r="EL71" s="191">
        <f>'Functional Levels Drone Survey'!EL71-'Existing Levels Drone Survey'!EL71</f>
        <v>0</v>
      </c>
      <c r="EM71" s="191">
        <f>'Functional Levels Drone Survey'!EM71-'Existing Levels Drone Survey'!EM71</f>
        <v>0</v>
      </c>
      <c r="EN71" s="191">
        <f>'Functional Levels Drone Survey'!EN71-'Existing Levels Drone Survey'!EN71</f>
        <v>0</v>
      </c>
      <c r="EO71" s="191">
        <f>'Functional Levels Drone Survey'!EO71-'Existing Levels Drone Survey'!EO71</f>
        <v>0</v>
      </c>
      <c r="EP71" s="191">
        <f>'Functional Levels Drone Survey'!EP71-'Existing Levels Drone Survey'!EP71</f>
        <v>0</v>
      </c>
      <c r="EQ71" s="191">
        <f>'Functional Levels Drone Survey'!EQ71-'Existing Levels Drone Survey'!EQ71</f>
        <v>0</v>
      </c>
      <c r="ER71" s="191">
        <f>'Functional Levels Drone Survey'!ER71-'Existing Levels Drone Survey'!ER71</f>
        <v>0</v>
      </c>
      <c r="ES71" s="191">
        <f>'Functional Levels Drone Survey'!ES71-'Existing Levels Drone Survey'!ES71</f>
        <v>0</v>
      </c>
      <c r="ET71" s="191">
        <f>'Functional Levels Drone Survey'!ET71-'Existing Levels Drone Survey'!ET71</f>
        <v>0</v>
      </c>
      <c r="EU71" s="191">
        <f>'Functional Levels Drone Survey'!EU71-'Existing Levels Drone Survey'!EU71</f>
        <v>0</v>
      </c>
      <c r="EV71" s="191">
        <f>'Functional Levels Drone Survey'!EV71-'Existing Levels Drone Survey'!EV71</f>
        <v>0</v>
      </c>
      <c r="EW71" s="191">
        <f>'Functional Levels Drone Survey'!EW71-'Existing Levels Drone Survey'!EW71</f>
        <v>0</v>
      </c>
      <c r="EX71" s="191">
        <f>'Functional Levels Drone Survey'!EX71-'Existing Levels Drone Survey'!EX71</f>
        <v>0</v>
      </c>
      <c r="EY71" s="191">
        <f>'Functional Levels Drone Survey'!EY71-'Existing Levels Drone Survey'!EY71</f>
        <v>0</v>
      </c>
    </row>
    <row r="72" spans="1:155" ht="45" customHeight="1" x14ac:dyDescent="0.45">
      <c r="A72" s="277">
        <v>355</v>
      </c>
      <c r="B72" s="191">
        <f>'Functional Levels Drone Survey'!B72-'Existing Levels Drone Survey'!B72</f>
        <v>0</v>
      </c>
      <c r="C72" s="191">
        <f>'Functional Levels Drone Survey'!C72-'Existing Levels Drone Survey'!C72</f>
        <v>0</v>
      </c>
      <c r="D72" s="191">
        <f>'Functional Levels Drone Survey'!D72-'Existing Levels Drone Survey'!D72</f>
        <v>0</v>
      </c>
      <c r="E72" s="278">
        <f>'Functional Levels Drone Survey'!E72-'Existing Levels Drone Survey'!E72</f>
        <v>-5.8155555555629235E-2</v>
      </c>
      <c r="F72" s="191">
        <f>'Functional Levels Drone Survey'!F72-'Existing Levels Drone Survey'!F72</f>
        <v>-0.21755555555563433</v>
      </c>
      <c r="G72" s="191">
        <f>'Functional Levels Drone Survey'!G72-'Existing Levels Drone Survey'!G72</f>
        <v>-0.25355555555563569</v>
      </c>
      <c r="H72" s="279">
        <f>'Functional Levels Drone Survey'!H72-'Existing Levels Drone Survey'!H72</f>
        <v>-0.32335555555562223</v>
      </c>
      <c r="I72" s="191">
        <f>'Functional Levels Drone Survey'!I72-'Existing Levels Drone Survey'!I72</f>
        <v>-0.14995555555560713</v>
      </c>
      <c r="J72" s="191">
        <f>'Functional Levels Drone Survey'!J72-'Existing Levels Drone Survey'!J72</f>
        <v>0.1830444444444197</v>
      </c>
      <c r="K72" s="191">
        <f>'Functional Levels Drone Survey'!K72-'Existing Levels Drone Survey'!K72</f>
        <v>0.25864444444442825</v>
      </c>
      <c r="L72" s="191">
        <f>'Functional Levels Drone Survey'!L72-'Existing Levels Drone Survey'!L72</f>
        <v>0.26934444444441397</v>
      </c>
      <c r="M72" s="191">
        <f>'Functional Levels Drone Survey'!M72-'Existing Levels Drone Survey'!M72</f>
        <v>0.25814444444438323</v>
      </c>
      <c r="N72" s="191">
        <f>'Functional Levels Drone Survey'!N72-'Existing Levels Drone Survey'!N72</f>
        <v>0.26444444444439341</v>
      </c>
      <c r="O72" s="191">
        <f>'Functional Levels Drone Survey'!O72-'Existing Levels Drone Survey'!O72</f>
        <v>0.27514444444437913</v>
      </c>
      <c r="P72" s="191">
        <f>'Functional Levels Drone Survey'!P72-'Existing Levels Drone Survey'!P72</f>
        <v>0.20764444444438368</v>
      </c>
      <c r="Q72" s="191">
        <f>'Functional Levels Drone Survey'!Q72-'Existing Levels Drone Survey'!Q72</f>
        <v>0.26894444444440069</v>
      </c>
      <c r="R72" s="191">
        <f>'Functional Levels Drone Survey'!R72-'Existing Levels Drone Survey'!R72</f>
        <v>0.26614444444442142</v>
      </c>
      <c r="S72" s="191">
        <f>'Functional Levels Drone Survey'!S72-'Existing Levels Drone Survey'!S72</f>
        <v>0.27274444444441315</v>
      </c>
      <c r="T72" s="191">
        <f>'Functional Levels Drone Survey'!T72-'Existing Levels Drone Survey'!T72</f>
        <v>0.26694444444439114</v>
      </c>
      <c r="U72" s="191">
        <f>'Functional Levels Drone Survey'!U72-'Existing Levels Drone Survey'!U72</f>
        <v>0.28534444444437668</v>
      </c>
      <c r="V72" s="191">
        <f>'Functional Levels Drone Survey'!V72-'Existing Levels Drone Survey'!V72</f>
        <v>0.28144444444438932</v>
      </c>
      <c r="W72" s="191">
        <f>'Functional Levels Drone Survey'!W72-'Existing Levels Drone Survey'!W72</f>
        <v>0.28614444444440323</v>
      </c>
      <c r="X72" s="191">
        <f>'Functional Levels Drone Survey'!X72-'Existing Levels Drone Survey'!X72</f>
        <v>0.2878444444443744</v>
      </c>
      <c r="Y72" s="279">
        <f>'Functional Levels Drone Survey'!Y72-'Existing Levels Drone Survey'!Y72</f>
        <v>0.1849444444443975</v>
      </c>
      <c r="Z72" s="191">
        <f>'Functional Levels Drone Survey'!Z72-'Existing Levels Drone Survey'!Z72</f>
        <v>0.15234285714279849</v>
      </c>
      <c r="AA72" s="279">
        <f>'Functional Levels Drone Survey'!AA72-'Existing Levels Drone Survey'!AA72</f>
        <v>0.15924285714271491</v>
      </c>
      <c r="AB72" s="191">
        <f>'Functional Levels Drone Survey'!AB72-'Existing Levels Drone Survey'!AB72</f>
        <v>0.1180428571427683</v>
      </c>
      <c r="AC72" s="191">
        <f>'Functional Levels Drone Survey'!AC72-'Existing Levels Drone Survey'!AC72</f>
        <v>0.17564285714274774</v>
      </c>
      <c r="AD72" s="191">
        <f>'Functional Levels Drone Survey'!AD72-'Existing Levels Drone Survey'!AD72</f>
        <v>0.13244285714273474</v>
      </c>
      <c r="AE72" s="191">
        <f>'Functional Levels Drone Survey'!AE72-'Existing Levels Drone Survey'!AE72</f>
        <v>9.564285714276366E-2</v>
      </c>
      <c r="AF72" s="191">
        <f>'Functional Levels Drone Survey'!AF72-'Existing Levels Drone Survey'!AF72</f>
        <v>8.1842857142760295E-2</v>
      </c>
      <c r="AG72" s="191">
        <f>'Functional Levels Drone Survey'!AG72-'Existing Levels Drone Survey'!AG72</f>
        <v>0.10154285714276057</v>
      </c>
      <c r="AH72" s="191">
        <f>'Functional Levels Drone Survey'!AH72-'Existing Levels Drone Survey'!AH72</f>
        <v>7.9242857142730827E-2</v>
      </c>
      <c r="AI72" s="191">
        <f>'Functional Levels Drone Survey'!AI72-'Existing Levels Drone Survey'!AI72</f>
        <v>8.5042857142752837E-2</v>
      </c>
      <c r="AJ72" s="191">
        <f>'Functional Levels Drone Survey'!AJ72-'Existing Levels Drone Survey'!AJ72</f>
        <v>6.7642857142743651E-2</v>
      </c>
      <c r="AK72" s="191">
        <f>'Functional Levels Drone Survey'!AK72-'Existing Levels Drone Survey'!AK72</f>
        <v>4.7942857142743378E-2</v>
      </c>
      <c r="AL72" s="191">
        <f>'Functional Levels Drone Survey'!AL72-'Existing Levels Drone Survey'!AL72</f>
        <v>8.3442857142756566E-2</v>
      </c>
      <c r="AM72" s="191">
        <f>'Functional Levels Drone Survey'!AM72-'Existing Levels Drone Survey'!AM72</f>
        <v>0.10084285714276575</v>
      </c>
      <c r="AN72" s="191">
        <f>'Functional Levels Drone Survey'!AN72-'Existing Levels Drone Survey'!AN72</f>
        <v>9.0542857142736466E-2</v>
      </c>
      <c r="AO72" s="191">
        <f>'Functional Levels Drone Survey'!AO72-'Existing Levels Drone Survey'!AO72</f>
        <v>6.9242857142739922E-2</v>
      </c>
      <c r="AP72" s="191">
        <f>'Functional Levels Drone Survey'!AP72-'Existing Levels Drone Survey'!AP72</f>
        <v>9.364285714275411E-2</v>
      </c>
      <c r="AQ72" s="191">
        <f>'Functional Levels Drone Survey'!AQ72-'Existing Levels Drone Survey'!AQ72</f>
        <v>9.0642857142768207E-2</v>
      </c>
      <c r="AR72" s="191">
        <f>'Functional Levels Drone Survey'!AR72-'Existing Levels Drone Survey'!AR72</f>
        <v>0.13014285714274365</v>
      </c>
      <c r="AS72" s="191">
        <f>'Functional Levels Drone Survey'!AS72-'Existing Levels Drone Survey'!AS72</f>
        <v>0.10094285714274065</v>
      </c>
      <c r="AT72" s="191">
        <f>'Functional Levels Drone Survey'!AT72-'Existing Levels Drone Survey'!AT72</f>
        <v>0.17344285714273155</v>
      </c>
      <c r="AU72" s="279">
        <f>'Functional Levels Drone Survey'!AU72-'Existing Levels Drone Survey'!AU72</f>
        <v>0.14384285714271527</v>
      </c>
      <c r="AV72" s="191">
        <f>'Functional Levels Drone Survey'!AV72-'Existing Levels Drone Survey'!AV72</f>
        <v>-2.7157142857276995E-2</v>
      </c>
      <c r="AW72" s="191">
        <f>'Functional Levels Drone Survey'!AW72-'Existing Levels Drone Survey'!AW72</f>
        <v>3.6400000000014643E-2</v>
      </c>
      <c r="AX72" s="279">
        <f>'Functional Levels Drone Survey'!AX72-'Existing Levels Drone Survey'!AX72</f>
        <v>0.18505238095224286</v>
      </c>
      <c r="AY72" s="191">
        <f>'Functional Levels Drone Survey'!AY72-'Existing Levels Drone Survey'!AY72</f>
        <v>0.20515238095225641</v>
      </c>
      <c r="AZ72" s="191">
        <f>'Functional Levels Drone Survey'!AZ72-'Existing Levels Drone Survey'!AZ72</f>
        <v>0.20255238095228378</v>
      </c>
      <c r="BA72" s="191">
        <f>'Functional Levels Drone Survey'!BA72-'Existing Levels Drone Survey'!BA72</f>
        <v>0.19155238095225968</v>
      </c>
      <c r="BB72" s="191">
        <f>'Functional Levels Drone Survey'!BB72-'Existing Levels Drone Survey'!BB72</f>
        <v>0.19015238095227005</v>
      </c>
      <c r="BC72" s="191">
        <f>'Functional Levels Drone Survey'!BC72-'Existing Levels Drone Survey'!BC72</f>
        <v>0.1771523809522364</v>
      </c>
      <c r="BD72" s="191">
        <f>'Functional Levels Drone Survey'!BD72-'Existing Levels Drone Survey'!BD72</f>
        <v>0.16685238095226396</v>
      </c>
      <c r="BE72" s="191">
        <f>'Functional Levels Drone Survey'!BE72-'Existing Levels Drone Survey'!BE72</f>
        <v>0.16285238095224486</v>
      </c>
      <c r="BF72" s="191">
        <f>'Functional Levels Drone Survey'!BF72-'Existing Levels Drone Survey'!BF72</f>
        <v>0.17885238095226441</v>
      </c>
      <c r="BG72" s="191">
        <f>'Functional Levels Drone Survey'!BG72-'Existing Levels Drone Survey'!BG72</f>
        <v>0.1730523809522424</v>
      </c>
      <c r="BH72" s="191">
        <f>'Functional Levels Drone Survey'!BH72-'Existing Levels Drone Survey'!BH72</f>
        <v>7.7952380952240219E-2</v>
      </c>
      <c r="BI72" s="191">
        <f>'Functional Levels Drone Survey'!BI72-'Existing Levels Drone Survey'!BI72</f>
        <v>0.20025238095223585</v>
      </c>
      <c r="BJ72" s="191">
        <f>'Functional Levels Drone Survey'!BJ72-'Existing Levels Drone Survey'!BJ72</f>
        <v>0.25085238095226714</v>
      </c>
      <c r="BK72" s="191">
        <f>'Functional Levels Drone Survey'!BK72-'Existing Levels Drone Survey'!BK72</f>
        <v>0.25345238095223976</v>
      </c>
      <c r="BL72" s="191">
        <f>'Functional Levels Drone Survey'!BL72-'Existing Levels Drone Survey'!BL72</f>
        <v>0.24215238095223413</v>
      </c>
      <c r="BM72" s="191">
        <f>'Functional Levels Drone Survey'!BM72-'Existing Levels Drone Survey'!BM72</f>
        <v>0.24885238095225759</v>
      </c>
      <c r="BN72" s="191">
        <f>'Functional Levels Drone Survey'!BN72-'Existing Levels Drone Survey'!BN72</f>
        <v>0.30155238095227332</v>
      </c>
      <c r="BO72" s="191">
        <f>'Functional Levels Drone Survey'!BO72-'Existing Levels Drone Survey'!BO72</f>
        <v>0.23465238095224095</v>
      </c>
      <c r="BP72" s="191">
        <f>'Functional Levels Drone Survey'!BP72-'Existing Levels Drone Survey'!BP72</f>
        <v>0.29775238095226086</v>
      </c>
      <c r="BQ72" s="191">
        <f>'Functional Levels Drone Survey'!BQ72-'Existing Levels Drone Survey'!BQ72</f>
        <v>0.21535238095225395</v>
      </c>
      <c r="BR72" s="279">
        <f>'Functional Levels Drone Survey'!BR72-'Existing Levels Drone Survey'!BR72</f>
        <v>0.21595238095227387</v>
      </c>
      <c r="BS72" s="191">
        <f>'Functional Levels Drone Survey'!BS72-'Existing Levels Drone Survey'!BS72</f>
        <v>0.15126818181823865</v>
      </c>
      <c r="BT72" s="279">
        <f>'Functional Levels Drone Survey'!BT72-'Existing Levels Drone Survey'!BT72</f>
        <v>0.14966818181824237</v>
      </c>
      <c r="BU72" s="191">
        <f>'Functional Levels Drone Survey'!BU72-'Existing Levels Drone Survey'!BU72</f>
        <v>-5.9031818181779272E-2</v>
      </c>
      <c r="BV72" s="191">
        <f>'Functional Levels Drone Survey'!BV72-'Existing Levels Drone Survey'!BV72</f>
        <v>-0.29373181818175453</v>
      </c>
      <c r="BW72" s="191">
        <f>'Functional Levels Drone Survey'!BW72-'Existing Levels Drone Survey'!BW72</f>
        <v>-0.20733181818172852</v>
      </c>
      <c r="BX72" s="191">
        <f>'Functional Levels Drone Survey'!BX72-'Existing Levels Drone Survey'!BX72</f>
        <v>-0.1422318181817559</v>
      </c>
      <c r="BY72" s="191">
        <f>'Functional Levels Drone Survey'!BY72-'Existing Levels Drone Survey'!BY72</f>
        <v>0.22076818181824365</v>
      </c>
      <c r="BZ72" s="191">
        <f>'Functional Levels Drone Survey'!BZ72-'Existing Levels Drone Survey'!BZ72</f>
        <v>0.28686818181824947</v>
      </c>
      <c r="CA72" s="191">
        <f>'Functional Levels Drone Survey'!CA72-'Existing Levels Drone Survey'!CA72</f>
        <v>0.30396818181827712</v>
      </c>
      <c r="CB72" s="191">
        <f>'Functional Levels Drone Survey'!CB72-'Existing Levels Drone Survey'!CB72</f>
        <v>0.30126818181827275</v>
      </c>
      <c r="CC72" s="191">
        <f>'Functional Levels Drone Survey'!CC72-'Existing Levels Drone Survey'!CC72</f>
        <v>0.27536818181823719</v>
      </c>
      <c r="CD72" s="191">
        <f>'Functional Levels Drone Survey'!CD72-'Existing Levels Drone Survey'!CD72</f>
        <v>0.29956818181824474</v>
      </c>
      <c r="CE72" s="191">
        <f>'Functional Levels Drone Survey'!CE72-'Existing Levels Drone Survey'!CE72</f>
        <v>0.30996818181824892</v>
      </c>
      <c r="CF72" s="191">
        <f>'Functional Levels Drone Survey'!CF72-'Existing Levels Drone Survey'!CF72</f>
        <v>0.34096818181825483</v>
      </c>
      <c r="CG72" s="191">
        <f>'Functional Levels Drone Survey'!CG72-'Existing Levels Drone Survey'!CG72</f>
        <v>0.34626818181823182</v>
      </c>
      <c r="CH72" s="191">
        <f>'Functional Levels Drone Survey'!CH72-'Existing Levels Drone Survey'!CH72</f>
        <v>0.34216818181823783</v>
      </c>
      <c r="CI72" s="191">
        <f>'Functional Levels Drone Survey'!CI72-'Existing Levels Drone Survey'!CI72</f>
        <v>0.32526818181827366</v>
      </c>
      <c r="CJ72" s="191">
        <f>'Functional Levels Drone Survey'!CJ72-'Existing Levels Drone Survey'!CJ72</f>
        <v>0.35746818181826256</v>
      </c>
      <c r="CK72" s="191">
        <f>'Functional Levels Drone Survey'!CK72-'Existing Levels Drone Survey'!CK72</f>
        <v>0.37546818181823483</v>
      </c>
      <c r="CL72" s="191">
        <f>'Functional Levels Drone Survey'!CL72-'Existing Levels Drone Survey'!CL72</f>
        <v>0.36656818181825201</v>
      </c>
      <c r="CM72" s="191">
        <f>'Functional Levels Drone Survey'!CM72-'Existing Levels Drone Survey'!CM72</f>
        <v>0.36356818181826611</v>
      </c>
      <c r="CN72" s="191">
        <f>'Functional Levels Drone Survey'!CN72-'Existing Levels Drone Survey'!CN72</f>
        <v>0.34456818181826065</v>
      </c>
      <c r="CO72" s="279">
        <f>'Functional Levels Drone Survey'!CO72-'Existing Levels Drone Survey'!CO72</f>
        <v>0.30316818181825056</v>
      </c>
      <c r="CP72" s="191">
        <f>'Functional Levels Drone Survey'!CP72-'Existing Levels Drone Survey'!CP72</f>
        <v>6.0323809523993077E-2</v>
      </c>
      <c r="CQ72" s="279">
        <f>'Functional Levels Drone Survey'!CQ72-'Existing Levels Drone Survey'!CQ72</f>
        <v>4.1623809523969157E-2</v>
      </c>
      <c r="CR72" s="191">
        <f>'Functional Levels Drone Survey'!CR72-'Existing Levels Drone Survey'!CR72</f>
        <v>6.4623809523993714E-2</v>
      </c>
      <c r="CS72" s="191">
        <f>'Functional Levels Drone Survey'!CS72-'Existing Levels Drone Survey'!CS72</f>
        <v>0.22092380952398116</v>
      </c>
      <c r="CT72" s="191">
        <f>'Functional Levels Drone Survey'!CT72-'Existing Levels Drone Survey'!CT72</f>
        <v>0.27222380952395042</v>
      </c>
      <c r="CU72" s="191">
        <f>'Functional Levels Drone Survey'!CU72-'Existing Levels Drone Survey'!CU72</f>
        <v>0.32682380952400081</v>
      </c>
      <c r="CV72" s="191">
        <f>'Functional Levels Drone Survey'!CV72-'Existing Levels Drone Survey'!CV72</f>
        <v>0.34772380952398407</v>
      </c>
      <c r="CW72" s="191">
        <f>'Functional Levels Drone Survey'!CW72-'Existing Levels Drone Survey'!CW72</f>
        <v>0.29642380952395797</v>
      </c>
      <c r="CX72" s="191">
        <f>'Functional Levels Drone Survey'!CX72-'Existing Levels Drone Survey'!CX72</f>
        <v>0.33182380952399626</v>
      </c>
      <c r="CY72" s="191">
        <f>'Functional Levels Drone Survey'!CY72-'Existing Levels Drone Survey'!CY72</f>
        <v>0.2131238095239496</v>
      </c>
      <c r="CZ72" s="191">
        <f>'Functional Levels Drone Survey'!CZ72-'Existing Levels Drone Survey'!CZ72</f>
        <v>0.36872380952399908</v>
      </c>
      <c r="DA72" s="191">
        <f>'Functional Levels Drone Survey'!DA72-'Existing Levels Drone Survey'!DA72</f>
        <v>0.30382380952397625</v>
      </c>
      <c r="DB72" s="191">
        <f>'Functional Levels Drone Survey'!DB72-'Existing Levels Drone Survey'!DB72</f>
        <v>0.3491238095239737</v>
      </c>
      <c r="DC72" s="191">
        <f>'Functional Levels Drone Survey'!DC72-'Existing Levels Drone Survey'!DC72</f>
        <v>0.33402380952395561</v>
      </c>
      <c r="DD72" s="191">
        <f>'Functional Levels Drone Survey'!DD72-'Existing Levels Drone Survey'!DD72</f>
        <v>0.31462380952399371</v>
      </c>
      <c r="DE72" s="191">
        <f>'Functional Levels Drone Survey'!DE72-'Existing Levels Drone Survey'!DE72</f>
        <v>0.33902380952395106</v>
      </c>
      <c r="DF72" s="191">
        <f>'Functional Levels Drone Survey'!DF72-'Existing Levels Drone Survey'!DF72</f>
        <v>0.32472380952395952</v>
      </c>
      <c r="DG72" s="191">
        <f>'Functional Levels Drone Survey'!DG72-'Existing Levels Drone Survey'!DG72</f>
        <v>0.45622380952397634</v>
      </c>
      <c r="DH72" s="191">
        <f>'Functional Levels Drone Survey'!DH72-'Existing Levels Drone Survey'!DH72</f>
        <v>0.31272380952395906</v>
      </c>
      <c r="DI72" s="191">
        <f>'Functional Levels Drone Survey'!DI72-'Existing Levels Drone Survey'!DI72</f>
        <v>0.38062380952396779</v>
      </c>
      <c r="DJ72" s="191">
        <f>'Functional Levels Drone Survey'!DJ72-'Existing Levels Drone Survey'!DJ72</f>
        <v>0.40102380952396288</v>
      </c>
      <c r="DK72" s="279">
        <f>'Functional Levels Drone Survey'!DK72-'Existing Levels Drone Survey'!DK72</f>
        <v>0.40432380952398717</v>
      </c>
      <c r="DL72" s="191">
        <f>'Functional Levels Drone Survey'!DL72-'Existing Levels Drone Survey'!DL72</f>
        <v>0.11672380952393269</v>
      </c>
      <c r="DM72" s="191">
        <f>'Functional Levels Drone Survey'!DM72-'Existing Levels Drone Survey'!DM72</f>
        <v>-4.2976190476053944E-2</v>
      </c>
      <c r="DN72" s="191">
        <f>'Functional Levels Drone Survey'!DN72-'Existing Levels Drone Survey'!DN72</f>
        <v>-0.22607619047607841</v>
      </c>
      <c r="DO72" s="191">
        <f>'Functional Levels Drone Survey'!DO72-'Existing Levels Drone Survey'!DO72</f>
        <v>0.22152380952394424</v>
      </c>
      <c r="DP72" s="191">
        <f>'Functional Levels Drone Survey'!DP72-'Existing Levels Drone Survey'!DP72</f>
        <v>0.3190238095239124</v>
      </c>
      <c r="DQ72" s="191">
        <f>'Functional Levels Drone Survey'!DQ72-'Existing Levels Drone Survey'!DQ72</f>
        <v>4.3423809523915224E-2</v>
      </c>
      <c r="DR72" s="191">
        <f>'Functional Levels Drone Survey'!DR72-'Existing Levels Drone Survey'!DR72</f>
        <v>-0.1092761904760664</v>
      </c>
      <c r="DS72" s="191">
        <f>'Functional Levels Drone Survey'!DS72-'Existing Levels Drone Survey'!DS72</f>
        <v>-0.13377619047605549</v>
      </c>
      <c r="DT72" s="191">
        <f>'Functional Levels Drone Survey'!DT72-'Existing Levels Drone Survey'!DT72</f>
        <v>-0.17567619047605376</v>
      </c>
      <c r="DU72" s="191">
        <f>'Functional Levels Drone Survey'!DU72-'Existing Levels Drone Survey'!DU72</f>
        <v>-0.13227619047609096</v>
      </c>
      <c r="DV72" s="191">
        <f>'Functional Levels Drone Survey'!DV72-'Existing Levels Drone Survey'!DV72</f>
        <v>0.2092238095239054</v>
      </c>
      <c r="DW72" s="191">
        <f>'Functional Levels Drone Survey'!DW72-'Existing Levels Drone Survey'!DW72</f>
        <v>0.13752380952394105</v>
      </c>
      <c r="DX72" s="191">
        <f>'Functional Levels Drone Survey'!DX72-'Existing Levels Drone Survey'!DX72</f>
        <v>2.9523809523936961E-2</v>
      </c>
      <c r="DY72" s="278">
        <f>'Functional Levels Drone Survey'!DY72-'Existing Levels Drone Survey'!DY72</f>
        <v>8.482380952392532E-2</v>
      </c>
      <c r="DZ72" s="191">
        <f>'Functional Levels Drone Survey'!DZ72-'Existing Levels Drone Survey'!DZ72</f>
        <v>0</v>
      </c>
      <c r="EA72" s="191">
        <f>'Functional Levels Drone Survey'!EA72-'Existing Levels Drone Survey'!EA72</f>
        <v>0</v>
      </c>
      <c r="EB72" s="191">
        <f>'Functional Levels Drone Survey'!EB72-'Existing Levels Drone Survey'!EB72</f>
        <v>0</v>
      </c>
      <c r="EC72" s="191">
        <f>'Functional Levels Drone Survey'!EC72-'Existing Levels Drone Survey'!EC72</f>
        <v>0</v>
      </c>
      <c r="ED72" s="191">
        <f>'Functional Levels Drone Survey'!ED72-'Existing Levels Drone Survey'!ED72</f>
        <v>0</v>
      </c>
      <c r="EE72" s="191">
        <f>'Functional Levels Drone Survey'!EE72-'Existing Levels Drone Survey'!EE72</f>
        <v>0</v>
      </c>
      <c r="EF72" s="191">
        <f>'Functional Levels Drone Survey'!EF72-'Existing Levels Drone Survey'!EF72</f>
        <v>0</v>
      </c>
      <c r="EG72" s="191">
        <f>'Functional Levels Drone Survey'!EG72-'Existing Levels Drone Survey'!EG72</f>
        <v>0</v>
      </c>
      <c r="EH72" s="191">
        <f>'Functional Levels Drone Survey'!EH72-'Existing Levels Drone Survey'!EH72</f>
        <v>0</v>
      </c>
      <c r="EI72" s="191">
        <f>'Functional Levels Drone Survey'!EI72-'Existing Levels Drone Survey'!EI72</f>
        <v>0</v>
      </c>
      <c r="EJ72" s="191">
        <f>'Functional Levels Drone Survey'!EJ72-'Existing Levels Drone Survey'!EJ72</f>
        <v>0</v>
      </c>
      <c r="EK72" s="191">
        <f>'Functional Levels Drone Survey'!EK72-'Existing Levels Drone Survey'!EK72</f>
        <v>0</v>
      </c>
      <c r="EL72" s="191">
        <f>'Functional Levels Drone Survey'!EL72-'Existing Levels Drone Survey'!EL72</f>
        <v>0</v>
      </c>
      <c r="EM72" s="191">
        <f>'Functional Levels Drone Survey'!EM72-'Existing Levels Drone Survey'!EM72</f>
        <v>0</v>
      </c>
      <c r="EN72" s="191">
        <f>'Functional Levels Drone Survey'!EN72-'Existing Levels Drone Survey'!EN72</f>
        <v>0</v>
      </c>
      <c r="EO72" s="191">
        <f>'Functional Levels Drone Survey'!EO72-'Existing Levels Drone Survey'!EO72</f>
        <v>0</v>
      </c>
      <c r="EP72" s="191">
        <f>'Functional Levels Drone Survey'!EP72-'Existing Levels Drone Survey'!EP72</f>
        <v>0</v>
      </c>
      <c r="EQ72" s="191">
        <f>'Functional Levels Drone Survey'!EQ72-'Existing Levels Drone Survey'!EQ72</f>
        <v>0</v>
      </c>
      <c r="ER72" s="191">
        <f>'Functional Levels Drone Survey'!ER72-'Existing Levels Drone Survey'!ER72</f>
        <v>0</v>
      </c>
      <c r="ES72" s="191">
        <f>'Functional Levels Drone Survey'!ES72-'Existing Levels Drone Survey'!ES72</f>
        <v>0</v>
      </c>
      <c r="ET72" s="191">
        <f>'Functional Levels Drone Survey'!ET72-'Existing Levels Drone Survey'!ET72</f>
        <v>0</v>
      </c>
      <c r="EU72" s="191">
        <f>'Functional Levels Drone Survey'!EU72-'Existing Levels Drone Survey'!EU72</f>
        <v>0</v>
      </c>
      <c r="EV72" s="191">
        <f>'Functional Levels Drone Survey'!EV72-'Existing Levels Drone Survey'!EV72</f>
        <v>0</v>
      </c>
      <c r="EW72" s="191">
        <f>'Functional Levels Drone Survey'!EW72-'Existing Levels Drone Survey'!EW72</f>
        <v>0</v>
      </c>
      <c r="EX72" s="191">
        <f>'Functional Levels Drone Survey'!EX72-'Existing Levels Drone Survey'!EX72</f>
        <v>0</v>
      </c>
      <c r="EY72" s="191">
        <f>'Functional Levels Drone Survey'!EY72-'Existing Levels Drone Survey'!EY72</f>
        <v>0</v>
      </c>
    </row>
    <row r="73" spans="1:155" ht="45" customHeight="1" x14ac:dyDescent="0.45">
      <c r="A73" s="277">
        <v>360</v>
      </c>
      <c r="B73" s="191">
        <f>'Functional Levels Drone Survey'!B73-'Existing Levels Drone Survey'!B73</f>
        <v>0</v>
      </c>
      <c r="C73" s="191">
        <f>'Functional Levels Drone Survey'!C73-'Existing Levels Drone Survey'!C73</f>
        <v>0</v>
      </c>
      <c r="D73" s="191">
        <f>'Functional Levels Drone Survey'!D73-'Existing Levels Drone Survey'!D73</f>
        <v>0</v>
      </c>
      <c r="E73" s="191">
        <f>'Functional Levels Drone Survey'!E73-'Existing Levels Drone Survey'!E73</f>
        <v>0</v>
      </c>
      <c r="F73" s="278">
        <f>'Functional Levels Drone Survey'!F73-'Existing Levels Drone Survey'!F73</f>
        <v>-0.11005555555561841</v>
      </c>
      <c r="G73" s="191">
        <f>'Functional Levels Drone Survey'!G73-'Existing Levels Drone Survey'!G73</f>
        <v>-0.23925555555558731</v>
      </c>
      <c r="H73" s="279">
        <f>'Functional Levels Drone Survey'!H73-'Existing Levels Drone Survey'!H73</f>
        <v>0.27384444444442124</v>
      </c>
      <c r="I73" s="191">
        <f>'Functional Levels Drone Survey'!I73-'Existing Levels Drone Survey'!I73</f>
        <v>0.32064444444444007</v>
      </c>
      <c r="J73" s="191">
        <f>'Functional Levels Drone Survey'!J73-'Existing Levels Drone Survey'!J73</f>
        <v>0.30124444444442133</v>
      </c>
      <c r="K73" s="191">
        <f>'Functional Levels Drone Survey'!K73-'Existing Levels Drone Survey'!K73</f>
        <v>0.32374444444440087</v>
      </c>
      <c r="L73" s="191">
        <f>'Functional Levels Drone Survey'!L73-'Existing Levels Drone Survey'!L73</f>
        <v>0.30134444444439623</v>
      </c>
      <c r="M73" s="191">
        <f>'Functional Levels Drone Survey'!M73-'Existing Levels Drone Survey'!M73</f>
        <v>0.29814444444440369</v>
      </c>
      <c r="N73" s="191">
        <f>'Functional Levels Drone Survey'!N73-'Existing Levels Drone Survey'!N73</f>
        <v>0.29054444444443561</v>
      </c>
      <c r="O73" s="191">
        <f>'Functional Levels Drone Survey'!O73-'Existing Levels Drone Survey'!O73</f>
        <v>0.28274444444440405</v>
      </c>
      <c r="P73" s="191">
        <f>'Functional Levels Drone Survey'!P73-'Existing Levels Drone Survey'!P73</f>
        <v>0.2110444444444397</v>
      </c>
      <c r="Q73" s="191">
        <f>'Functional Levels Drone Survey'!Q73-'Existing Levels Drone Survey'!Q73</f>
        <v>0.29944444444441842</v>
      </c>
      <c r="R73" s="191">
        <f>'Functional Levels Drone Survey'!R73-'Existing Levels Drone Survey'!R73</f>
        <v>0.30004444444443834</v>
      </c>
      <c r="S73" s="191">
        <f>'Functional Levels Drone Survey'!S73-'Existing Levels Drone Survey'!S73</f>
        <v>0.30744444444439978</v>
      </c>
      <c r="T73" s="191">
        <f>'Functional Levels Drone Survey'!T73-'Existing Levels Drone Survey'!T73</f>
        <v>0.30924444444440269</v>
      </c>
      <c r="U73" s="191">
        <f>'Functional Levels Drone Survey'!U73-'Existing Levels Drone Survey'!U73</f>
        <v>0.3220444444444297</v>
      </c>
      <c r="V73" s="191">
        <f>'Functional Levels Drone Survey'!V73-'Existing Levels Drone Survey'!V73</f>
        <v>0.33684444444440942</v>
      </c>
      <c r="W73" s="191">
        <f>'Functional Levels Drone Survey'!W73-'Existing Levels Drone Survey'!W73</f>
        <v>0.33994444444442706</v>
      </c>
      <c r="X73" s="191">
        <f>'Functional Levels Drone Survey'!X73-'Existing Levels Drone Survey'!X73</f>
        <v>0.33284444444439032</v>
      </c>
      <c r="Y73" s="279">
        <f>'Functional Levels Drone Survey'!Y73-'Existing Levels Drone Survey'!Y73</f>
        <v>0.30714444444441824</v>
      </c>
      <c r="Z73" s="191">
        <f>'Functional Levels Drone Survey'!Z73-'Existing Levels Drone Survey'!Z73</f>
        <v>0.12514285714280504</v>
      </c>
      <c r="AA73" s="279">
        <f>'Functional Levels Drone Survey'!AA73-'Existing Levels Drone Survey'!AA73</f>
        <v>0.11074285714272492</v>
      </c>
      <c r="AB73" s="191">
        <f>'Functional Levels Drone Survey'!AB73-'Existing Levels Drone Survey'!AB73</f>
        <v>6.934285714271482E-2</v>
      </c>
      <c r="AC73" s="191">
        <f>'Functional Levels Drone Survey'!AC73-'Existing Levels Drone Survey'!AC73</f>
        <v>4.3042857142722823E-2</v>
      </c>
      <c r="AD73" s="191">
        <f>'Functional Levels Drone Survey'!AD73-'Existing Levels Drone Survey'!AD73</f>
        <v>7.3042857142752382E-2</v>
      </c>
      <c r="AE73" s="191">
        <f>'Functional Levels Drone Survey'!AE73-'Existing Levels Drone Survey'!AE73</f>
        <v>2.1242857142738103E-2</v>
      </c>
      <c r="AF73" s="191">
        <f>'Functional Levels Drone Survey'!AF73-'Existing Levels Drone Survey'!AF73</f>
        <v>4.3242857142729463E-2</v>
      </c>
      <c r="AG73" s="191">
        <f>'Functional Levels Drone Survey'!AG73-'Existing Levels Drone Survey'!AG73</f>
        <v>3.0542857142734192E-2</v>
      </c>
      <c r="AH73" s="191">
        <f>'Functional Levels Drone Survey'!AH73-'Existing Levels Drone Survey'!AH73</f>
        <v>2.0742857142749926E-2</v>
      </c>
      <c r="AI73" s="191">
        <f>'Functional Levels Drone Survey'!AI73-'Existing Levels Drone Survey'!AI73</f>
        <v>1.9642857142741832E-2</v>
      </c>
      <c r="AJ73" s="191">
        <f>'Functional Levels Drone Survey'!AJ73-'Existing Levels Drone Survey'!AJ73</f>
        <v>3.0342857142727553E-2</v>
      </c>
      <c r="AK73" s="191">
        <f>'Functional Levels Drone Survey'!AK73-'Existing Levels Drone Survey'!AK73</f>
        <v>-5.571428572466175E-4</v>
      </c>
      <c r="AL73" s="191">
        <f>'Functional Levels Drone Survey'!AL73-'Existing Levels Drone Survey'!AL73</f>
        <v>2.4428571427392853E-3</v>
      </c>
      <c r="AM73" s="191">
        <f>'Functional Levels Drone Survey'!AM73-'Existing Levels Drone Survey'!AM73</f>
        <v>2.8542857142724642E-2</v>
      </c>
      <c r="AN73" s="191">
        <f>'Functional Levels Drone Survey'!AN73-'Existing Levels Drone Survey'!AN73</f>
        <v>1.7342857142750745E-2</v>
      </c>
      <c r="AO73" s="191">
        <f>'Functional Levels Drone Survey'!AO73-'Existing Levels Drone Survey'!AO73</f>
        <v>-1.3571428572731747E-3</v>
      </c>
      <c r="AP73" s="191">
        <f>'Functional Levels Drone Survey'!AP73-'Existing Levels Drone Survey'!AP73</f>
        <v>-1.1657142857245617E-2</v>
      </c>
      <c r="AQ73" s="191">
        <f>'Functional Levels Drone Survey'!AQ73-'Existing Levels Drone Survey'!AQ73</f>
        <v>-1.2571428572414334E-3</v>
      </c>
      <c r="AR73" s="191">
        <f>'Functional Levels Drone Survey'!AR73-'Existing Levels Drone Survey'!AR73</f>
        <v>2.7042857142703269E-2</v>
      </c>
      <c r="AS73" s="191">
        <f>'Functional Levels Drone Survey'!AS73-'Existing Levels Drone Survey'!AS73</f>
        <v>6.7742857142718549E-2</v>
      </c>
      <c r="AT73" s="191">
        <f>'Functional Levels Drone Survey'!AT73-'Existing Levels Drone Survey'!AT73</f>
        <v>0.12844285714271564</v>
      </c>
      <c r="AU73" s="279">
        <f>'Functional Levels Drone Survey'!AU73-'Existing Levels Drone Survey'!AU73</f>
        <v>0.11264285714270272</v>
      </c>
      <c r="AV73" s="191">
        <f>'Functional Levels Drone Survey'!AV73-'Existing Levels Drone Survey'!AV73</f>
        <v>5.9428571427133647E-3</v>
      </c>
      <c r="AW73" s="191">
        <f>'Functional Levels Drone Survey'!AW73-'Existing Levels Drone Survey'!AW73</f>
        <v>-1.7899999999997362E-2</v>
      </c>
      <c r="AX73" s="279">
        <f>'Functional Levels Drone Survey'!AX73-'Existing Levels Drone Survey'!AX73</f>
        <v>0.23205238095226832</v>
      </c>
      <c r="AY73" s="191">
        <f>'Functional Levels Drone Survey'!AY73-'Existing Levels Drone Survey'!AY73</f>
        <v>0.26155238095225286</v>
      </c>
      <c r="AZ73" s="191">
        <f>'Functional Levels Drone Survey'!AZ73-'Existing Levels Drone Survey'!AZ73</f>
        <v>0.23845238095225341</v>
      </c>
      <c r="BA73" s="191">
        <f>'Functional Levels Drone Survey'!BA73-'Existing Levels Drone Survey'!BA73</f>
        <v>0.23015238095229051</v>
      </c>
      <c r="BB73" s="191">
        <f>'Functional Levels Drone Survey'!BB73-'Existing Levels Drone Survey'!BB73</f>
        <v>0.22375238095224859</v>
      </c>
      <c r="BC73" s="191">
        <f>'Functional Levels Drone Survey'!BC73-'Existing Levels Drone Survey'!BC73</f>
        <v>0.21955238095227969</v>
      </c>
      <c r="BD73" s="191">
        <f>'Functional Levels Drone Survey'!BD73-'Existing Levels Drone Survey'!BD73</f>
        <v>0.23035238095224031</v>
      </c>
      <c r="BE73" s="191">
        <f>'Functional Levels Drone Survey'!BE73-'Existing Levels Drone Survey'!BE73</f>
        <v>0.20385238095224167</v>
      </c>
      <c r="BF73" s="191">
        <f>'Functional Levels Drone Survey'!BF73-'Existing Levels Drone Survey'!BF73</f>
        <v>0.22385238095228033</v>
      </c>
      <c r="BG73" s="191">
        <f>'Functional Levels Drone Survey'!BG73-'Existing Levels Drone Survey'!BG73</f>
        <v>0.23405238095227787</v>
      </c>
      <c r="BH73" s="191">
        <f>'Functional Levels Drone Survey'!BH73-'Existing Levels Drone Survey'!BH73</f>
        <v>0.15775238095227451</v>
      </c>
      <c r="BI73" s="191">
        <f>'Functional Levels Drone Survey'!BI73-'Existing Levels Drone Survey'!BI73</f>
        <v>0.15935238095227078</v>
      </c>
      <c r="BJ73" s="191">
        <f>'Functional Levels Drone Survey'!BJ73-'Existing Levels Drone Survey'!BJ73</f>
        <v>0.2547523809522545</v>
      </c>
      <c r="BK73" s="191">
        <f>'Functional Levels Drone Survey'!BK73-'Existing Levels Drone Survey'!BK73</f>
        <v>0.27095238095228069</v>
      </c>
      <c r="BL73" s="191">
        <f>'Functional Levels Drone Survey'!BL73-'Existing Levels Drone Survey'!BL73</f>
        <v>0.28295238095228115</v>
      </c>
      <c r="BM73" s="191">
        <f>'Functional Levels Drone Survey'!BM73-'Existing Levels Drone Survey'!BM73</f>
        <v>0.30675238095227542</v>
      </c>
      <c r="BN73" s="191">
        <f>'Functional Levels Drone Survey'!BN73-'Existing Levels Drone Survey'!BN73</f>
        <v>0.29435238095226168</v>
      </c>
      <c r="BO73" s="191">
        <f>'Functional Levels Drone Survey'!BO73-'Existing Levels Drone Survey'!BO73</f>
        <v>0.28655238095228697</v>
      </c>
      <c r="BP73" s="191">
        <f>'Functional Levels Drone Survey'!BP73-'Existing Levels Drone Survey'!BP73</f>
        <v>0.45755238095227924</v>
      </c>
      <c r="BQ73" s="191">
        <f>'Functional Levels Drone Survey'!BQ73-'Existing Levels Drone Survey'!BQ73</f>
        <v>0.47375238095224859</v>
      </c>
      <c r="BR73" s="279">
        <f>'Functional Levels Drone Survey'!BR73-'Existing Levels Drone Survey'!BR73</f>
        <v>0.46965238095225459</v>
      </c>
      <c r="BS73" s="191">
        <f>'Functional Levels Drone Survey'!BS73-'Existing Levels Drone Survey'!BS73</f>
        <v>0.12766818181825101</v>
      </c>
      <c r="BT73" s="279">
        <f>'Functional Levels Drone Survey'!BT73-'Existing Levels Drone Survey'!BT73</f>
        <v>0.1187681818182682</v>
      </c>
      <c r="BU73" s="191">
        <f>'Functional Levels Drone Survey'!BU73-'Existing Levels Drone Survey'!BU73</f>
        <v>-0.11153181818173152</v>
      </c>
      <c r="BV73" s="191">
        <f>'Functional Levels Drone Survey'!BV73-'Existing Levels Drone Survey'!BV73</f>
        <v>-1.0531818181732433E-2</v>
      </c>
      <c r="BW73" s="191">
        <f>'Functional Levels Drone Survey'!BW73-'Existing Levels Drone Survey'!BW73</f>
        <v>-0.10753181818171242</v>
      </c>
      <c r="BX73" s="191">
        <f>'Functional Levels Drone Survey'!BX73-'Existing Levels Drone Survey'!BX73</f>
        <v>-8.8131818181750532E-2</v>
      </c>
      <c r="BY73" s="191">
        <f>'Functional Levels Drone Survey'!BY73-'Existing Levels Drone Survey'!BY73</f>
        <v>0.28886818181825902</v>
      </c>
      <c r="BZ73" s="191">
        <f>'Functional Levels Drone Survey'!BZ73-'Existing Levels Drone Survey'!BZ73</f>
        <v>0.30546818181824165</v>
      </c>
      <c r="CA73" s="191">
        <f>'Functional Levels Drone Survey'!CA73-'Existing Levels Drone Survey'!CA73</f>
        <v>0.35196818181827894</v>
      </c>
      <c r="CB73" s="191">
        <f>'Functional Levels Drone Survey'!CB73-'Existing Levels Drone Survey'!CB73</f>
        <v>0.34946818181828121</v>
      </c>
      <c r="CC73" s="191">
        <f>'Functional Levels Drone Survey'!CC73-'Existing Levels Drone Survey'!CC73</f>
        <v>0.32916818181826102</v>
      </c>
      <c r="CD73" s="191">
        <f>'Functional Levels Drone Survey'!CD73-'Existing Levels Drone Survey'!CD73</f>
        <v>0.33156818181828385</v>
      </c>
      <c r="CE73" s="191">
        <f>'Functional Levels Drone Survey'!CE73-'Existing Levels Drone Survey'!CE73</f>
        <v>0.34886818181826129</v>
      </c>
      <c r="CF73" s="191">
        <f>'Functional Levels Drone Survey'!CF73-'Existing Levels Drone Survey'!CF73</f>
        <v>0.34786818181828494</v>
      </c>
      <c r="CG73" s="191">
        <f>'Functional Levels Drone Survey'!CG73-'Existing Levels Drone Survey'!CG73</f>
        <v>0.33066818181828239</v>
      </c>
      <c r="CH73" s="191">
        <f>'Functional Levels Drone Survey'!CH73-'Existing Levels Drone Survey'!CH73</f>
        <v>0.34576818181824365</v>
      </c>
      <c r="CI73" s="191">
        <f>'Functional Levels Drone Survey'!CI73-'Existing Levels Drone Survey'!CI73</f>
        <v>0.33036818181824401</v>
      </c>
      <c r="CJ73" s="191">
        <f>'Functional Levels Drone Survey'!CJ73-'Existing Levels Drone Survey'!CJ73</f>
        <v>0.36506818181828748</v>
      </c>
      <c r="CK73" s="191">
        <f>'Functional Levels Drone Survey'!CK73-'Existing Levels Drone Survey'!CK73</f>
        <v>0.38236818181826493</v>
      </c>
      <c r="CL73" s="191">
        <f>'Functional Levels Drone Survey'!CL73-'Existing Levels Drone Survey'!CL73</f>
        <v>0.36816818181824829</v>
      </c>
      <c r="CM73" s="191">
        <f>'Functional Levels Drone Survey'!CM73-'Existing Levels Drone Survey'!CM73</f>
        <v>0.37536818181825993</v>
      </c>
      <c r="CN73" s="191">
        <f>'Functional Levels Drone Survey'!CN73-'Existing Levels Drone Survey'!CN73</f>
        <v>0.39586818181828676</v>
      </c>
      <c r="CO73" s="279">
        <f>'Functional Levels Drone Survey'!CO73-'Existing Levels Drone Survey'!CO73</f>
        <v>0.3768681818182813</v>
      </c>
      <c r="CP73" s="191">
        <f>'Functional Levels Drone Survey'!CP73-'Existing Levels Drone Survey'!CP73</f>
        <v>0.130423809524018</v>
      </c>
      <c r="CQ73" s="279">
        <f>'Functional Levels Drone Survey'!CQ73-'Existing Levels Drone Survey'!CQ73</f>
        <v>0.12682380952401218</v>
      </c>
      <c r="CR73" s="191">
        <f>'Functional Levels Drone Survey'!CR73-'Existing Levels Drone Survey'!CR73</f>
        <v>6.6723809523978161E-2</v>
      </c>
      <c r="CS73" s="191">
        <f>'Functional Levels Drone Survey'!CS73-'Existing Levels Drone Survey'!CS73</f>
        <v>0.20822380952398589</v>
      </c>
      <c r="CT73" s="191">
        <f>'Functional Levels Drone Survey'!CT73-'Existing Levels Drone Survey'!CT73</f>
        <v>0.27092380952399253</v>
      </c>
      <c r="CU73" s="191">
        <f>'Functional Levels Drone Survey'!CU73-'Existing Levels Drone Survey'!CU73</f>
        <v>0.31372380952399226</v>
      </c>
      <c r="CV73" s="191">
        <f>'Functional Levels Drone Survey'!CV73-'Existing Levels Drone Survey'!CV73</f>
        <v>0.35632380952398535</v>
      </c>
      <c r="CW73" s="191">
        <f>'Functional Levels Drone Survey'!CW73-'Existing Levels Drone Survey'!CW73</f>
        <v>0.33932380952398944</v>
      </c>
      <c r="CX73" s="191">
        <f>'Functional Levels Drone Survey'!CX73-'Existing Levels Drone Survey'!CX73</f>
        <v>0.32752380952399562</v>
      </c>
      <c r="CY73" s="191">
        <f>'Functional Levels Drone Survey'!CY73-'Existing Levels Drone Survey'!CY73</f>
        <v>0.20202380952400745</v>
      </c>
      <c r="CZ73" s="191">
        <f>'Functional Levels Drone Survey'!CZ73-'Existing Levels Drone Survey'!CZ73</f>
        <v>0.36282380952400217</v>
      </c>
      <c r="DA73" s="191">
        <f>'Functional Levels Drone Survey'!DA73-'Existing Levels Drone Survey'!DA73</f>
        <v>0.33322380952398589</v>
      </c>
      <c r="DB73" s="191">
        <f>'Functional Levels Drone Survey'!DB73-'Existing Levels Drone Survey'!DB73</f>
        <v>0.36742380952398435</v>
      </c>
      <c r="DC73" s="191">
        <f>'Functional Levels Drone Survey'!DC73-'Existing Levels Drone Survey'!DC73</f>
        <v>0.36912380952401236</v>
      </c>
      <c r="DD73" s="191">
        <f>'Functional Levels Drone Survey'!DD73-'Existing Levels Drone Survey'!DD73</f>
        <v>0.32432380952400308</v>
      </c>
      <c r="DE73" s="191">
        <f>'Functional Levels Drone Survey'!DE73-'Existing Levels Drone Survey'!DE73</f>
        <v>0.34502380952397971</v>
      </c>
      <c r="DF73" s="191">
        <f>'Functional Levels Drone Survey'!DF73-'Existing Levels Drone Survey'!DF73</f>
        <v>0.32542380952401118</v>
      </c>
      <c r="DG73" s="191">
        <f>'Functional Levels Drone Survey'!DG73-'Existing Levels Drone Survey'!DG73</f>
        <v>0.16042380952399071</v>
      </c>
      <c r="DH73" s="191">
        <f>'Functional Levels Drone Survey'!DH73-'Existing Levels Drone Survey'!DH73</f>
        <v>0.43342380952395843</v>
      </c>
      <c r="DI73" s="191">
        <f>'Functional Levels Drone Survey'!DI73-'Existing Levels Drone Survey'!DI73</f>
        <v>0.39022380952400226</v>
      </c>
      <c r="DJ73" s="191">
        <f>'Functional Levels Drone Survey'!DJ73-'Existing Levels Drone Survey'!DJ73</f>
        <v>0.40742380952400481</v>
      </c>
      <c r="DK73" s="279">
        <f>'Functional Levels Drone Survey'!DK73-'Existing Levels Drone Survey'!DK73</f>
        <v>0.42032380952400672</v>
      </c>
      <c r="DL73" s="191">
        <f>'Functional Levels Drone Survey'!DL73-'Existing Levels Drone Survey'!DL73</f>
        <v>7.6323809523898944E-2</v>
      </c>
      <c r="DM73" s="191">
        <f>'Functional Levels Drone Survey'!DM73-'Existing Levels Drone Survey'!DM73</f>
        <v>0.19132380952390804</v>
      </c>
      <c r="DN73" s="191">
        <f>'Functional Levels Drone Survey'!DN73-'Existing Levels Drone Survey'!DN73</f>
        <v>5.5123809523934142E-2</v>
      </c>
      <c r="DO73" s="191">
        <f>'Functional Levels Drone Survey'!DO73-'Existing Levels Drone Survey'!DO73</f>
        <v>6.5223809523899945E-2</v>
      </c>
      <c r="DP73" s="191">
        <f>'Functional Levels Drone Survey'!DP73-'Existing Levels Drone Survey'!DP73</f>
        <v>-6.9076190476096144E-2</v>
      </c>
      <c r="DQ73" s="191">
        <f>'Functional Levels Drone Survey'!DQ73-'Existing Levels Drone Survey'!DQ73</f>
        <v>-0.13587619047609678</v>
      </c>
      <c r="DR73" s="191">
        <f>'Functional Levels Drone Survey'!DR73-'Existing Levels Drone Survey'!DR73</f>
        <v>-0.20997619047608396</v>
      </c>
      <c r="DS73" s="191">
        <f>'Functional Levels Drone Survey'!DS73-'Existing Levels Drone Survey'!DS73</f>
        <v>-0.10247619047606804</v>
      </c>
      <c r="DT73" s="191">
        <f>'Functional Levels Drone Survey'!DT73-'Existing Levels Drone Survey'!DT73</f>
        <v>-2.6176190476064676E-2</v>
      </c>
      <c r="DU73" s="191">
        <f>'Functional Levels Drone Survey'!DU73-'Existing Levels Drone Survey'!DU73</f>
        <v>-0.15187619047605949</v>
      </c>
      <c r="DV73" s="191">
        <f>'Functional Levels Drone Survey'!DV73-'Existing Levels Drone Survey'!DV73</f>
        <v>0.12232380952389121</v>
      </c>
      <c r="DW73" s="191">
        <f>'Functional Levels Drone Survey'!DW73-'Existing Levels Drone Survey'!DW73</f>
        <v>8.5823809523901673E-2</v>
      </c>
      <c r="DX73" s="191">
        <f>'Functional Levels Drone Survey'!DX73-'Existing Levels Drone Survey'!DX73</f>
        <v>-0.13717619047605467</v>
      </c>
      <c r="DY73" s="191">
        <f>'Functional Levels Drone Survey'!DY73-'Existing Levels Drone Survey'!DY73</f>
        <v>6.3223809523890395E-2</v>
      </c>
      <c r="DZ73" s="278">
        <f>'Functional Levels Drone Survey'!DZ73-'Existing Levels Drone Survey'!DZ73</f>
        <v>-0.15007619047605658</v>
      </c>
      <c r="EA73" s="191">
        <f>'Functional Levels Drone Survey'!EA73-'Existing Levels Drone Survey'!EA73</f>
        <v>0</v>
      </c>
      <c r="EB73" s="191">
        <f>'Functional Levels Drone Survey'!EB73-'Existing Levels Drone Survey'!EB73</f>
        <v>0</v>
      </c>
      <c r="EC73" s="191">
        <f>'Functional Levels Drone Survey'!EC73-'Existing Levels Drone Survey'!EC73</f>
        <v>0</v>
      </c>
      <c r="ED73" s="191">
        <f>'Functional Levels Drone Survey'!ED73-'Existing Levels Drone Survey'!ED73</f>
        <v>0</v>
      </c>
      <c r="EE73" s="191">
        <f>'Functional Levels Drone Survey'!EE73-'Existing Levels Drone Survey'!EE73</f>
        <v>0</v>
      </c>
      <c r="EF73" s="191">
        <f>'Functional Levels Drone Survey'!EF73-'Existing Levels Drone Survey'!EF73</f>
        <v>0</v>
      </c>
      <c r="EG73" s="191">
        <f>'Functional Levels Drone Survey'!EG73-'Existing Levels Drone Survey'!EG73</f>
        <v>0</v>
      </c>
      <c r="EH73" s="191">
        <f>'Functional Levels Drone Survey'!EH73-'Existing Levels Drone Survey'!EH73</f>
        <v>0</v>
      </c>
      <c r="EI73" s="191">
        <f>'Functional Levels Drone Survey'!EI73-'Existing Levels Drone Survey'!EI73</f>
        <v>0</v>
      </c>
      <c r="EJ73" s="191">
        <f>'Functional Levels Drone Survey'!EJ73-'Existing Levels Drone Survey'!EJ73</f>
        <v>0</v>
      </c>
      <c r="EK73" s="191">
        <f>'Functional Levels Drone Survey'!EK73-'Existing Levels Drone Survey'!EK73</f>
        <v>0</v>
      </c>
      <c r="EL73" s="191">
        <f>'Functional Levels Drone Survey'!EL73-'Existing Levels Drone Survey'!EL73</f>
        <v>0</v>
      </c>
      <c r="EM73" s="191">
        <f>'Functional Levels Drone Survey'!EM73-'Existing Levels Drone Survey'!EM73</f>
        <v>0</v>
      </c>
      <c r="EN73" s="191">
        <f>'Functional Levels Drone Survey'!EN73-'Existing Levels Drone Survey'!EN73</f>
        <v>0</v>
      </c>
      <c r="EO73" s="191">
        <f>'Functional Levels Drone Survey'!EO73-'Existing Levels Drone Survey'!EO73</f>
        <v>0</v>
      </c>
      <c r="EP73" s="191">
        <f>'Functional Levels Drone Survey'!EP73-'Existing Levels Drone Survey'!EP73</f>
        <v>0</v>
      </c>
      <c r="EQ73" s="191">
        <f>'Functional Levels Drone Survey'!EQ73-'Existing Levels Drone Survey'!EQ73</f>
        <v>0</v>
      </c>
      <c r="ER73" s="191">
        <f>'Functional Levels Drone Survey'!ER73-'Existing Levels Drone Survey'!ER73</f>
        <v>0</v>
      </c>
      <c r="ES73" s="191">
        <f>'Functional Levels Drone Survey'!ES73-'Existing Levels Drone Survey'!ES73</f>
        <v>0</v>
      </c>
      <c r="ET73" s="191">
        <f>'Functional Levels Drone Survey'!ET73-'Existing Levels Drone Survey'!ET73</f>
        <v>0</v>
      </c>
      <c r="EU73" s="191">
        <f>'Functional Levels Drone Survey'!EU73-'Existing Levels Drone Survey'!EU73</f>
        <v>0</v>
      </c>
      <c r="EV73" s="191">
        <f>'Functional Levels Drone Survey'!EV73-'Existing Levels Drone Survey'!EV73</f>
        <v>0</v>
      </c>
      <c r="EW73" s="191">
        <f>'Functional Levels Drone Survey'!EW73-'Existing Levels Drone Survey'!EW73</f>
        <v>0</v>
      </c>
      <c r="EX73" s="191">
        <f>'Functional Levels Drone Survey'!EX73-'Existing Levels Drone Survey'!EX73</f>
        <v>0</v>
      </c>
      <c r="EY73" s="191">
        <f>'Functional Levels Drone Survey'!EY73-'Existing Levels Drone Survey'!EY73</f>
        <v>0</v>
      </c>
    </row>
    <row r="74" spans="1:155" ht="45" customHeight="1" x14ac:dyDescent="0.45">
      <c r="A74" s="277">
        <v>365</v>
      </c>
      <c r="B74" s="191">
        <f>'Functional Levels Drone Survey'!B74-'Existing Levels Drone Survey'!B74</f>
        <v>0</v>
      </c>
      <c r="C74" s="191">
        <f>'Functional Levels Drone Survey'!C74-'Existing Levels Drone Survey'!C74</f>
        <v>0</v>
      </c>
      <c r="D74" s="191">
        <f>'Functional Levels Drone Survey'!D74-'Existing Levels Drone Survey'!D74</f>
        <v>0</v>
      </c>
      <c r="E74" s="191">
        <f>'Functional Levels Drone Survey'!E74-'Existing Levels Drone Survey'!E74</f>
        <v>0</v>
      </c>
      <c r="F74" s="278">
        <f>'Functional Levels Drone Survey'!F74-'Existing Levels Drone Survey'!F74</f>
        <v>0.25204444444437968</v>
      </c>
      <c r="G74" s="191">
        <f>'Functional Levels Drone Survey'!G74-'Existing Levels Drone Survey'!G74</f>
        <v>0.27024444444441542</v>
      </c>
      <c r="H74" s="279">
        <f>'Functional Levels Drone Survey'!H74-'Existing Levels Drone Survey'!H74</f>
        <v>0.35804444444443106</v>
      </c>
      <c r="I74" s="191">
        <f>'Functional Levels Drone Survey'!I74-'Existing Levels Drone Survey'!I74</f>
        <v>0.34694444444443207</v>
      </c>
      <c r="J74" s="191">
        <f>'Functional Levels Drone Survey'!J74-'Existing Levels Drone Survey'!J74</f>
        <v>0.34394444444444616</v>
      </c>
      <c r="K74" s="191">
        <f>'Functional Levels Drone Survey'!K74-'Existing Levels Drone Survey'!K74</f>
        <v>0.35704444444439787</v>
      </c>
      <c r="L74" s="191">
        <f>'Functional Levels Drone Survey'!L74-'Existing Levels Drone Survey'!L74</f>
        <v>0.35244444444441569</v>
      </c>
      <c r="M74" s="191">
        <f>'Functional Levels Drone Survey'!M74-'Existing Levels Drone Survey'!M74</f>
        <v>0.33884444444441897</v>
      </c>
      <c r="N74" s="191">
        <f>'Functional Levels Drone Survey'!N74-'Existing Levels Drone Survey'!N74</f>
        <v>0.34284444444443807</v>
      </c>
      <c r="O74" s="191">
        <f>'Functional Levels Drone Survey'!O74-'Existing Levels Drone Survey'!O74</f>
        <v>0.31744444444444753</v>
      </c>
      <c r="P74" s="191">
        <f>'Functional Levels Drone Survey'!P74-'Existing Levels Drone Survey'!P74</f>
        <v>0.20994444444443161</v>
      </c>
      <c r="Q74" s="191">
        <f>'Functional Levels Drone Survey'!Q74-'Existing Levels Drone Survey'!Q74</f>
        <v>0.31134444444444398</v>
      </c>
      <c r="R74" s="191">
        <f>'Functional Levels Drone Survey'!R74-'Existing Levels Drone Survey'!R74</f>
        <v>0.3179444444444357</v>
      </c>
      <c r="S74" s="191">
        <f>'Functional Levels Drone Survey'!S74-'Existing Levels Drone Survey'!S74</f>
        <v>0.32324444444441269</v>
      </c>
      <c r="T74" s="191">
        <f>'Functional Levels Drone Survey'!T74-'Existing Levels Drone Survey'!T74</f>
        <v>0.3372444444444227</v>
      </c>
      <c r="U74" s="191">
        <f>'Functional Levels Drone Survey'!U74-'Existing Levels Drone Survey'!U74</f>
        <v>0.35464444444443188</v>
      </c>
      <c r="V74" s="191">
        <f>'Functional Levels Drone Survey'!V74-'Existing Levels Drone Survey'!V74</f>
        <v>0.36354444444441469</v>
      </c>
      <c r="W74" s="191">
        <f>'Functional Levels Drone Survey'!W74-'Existing Levels Drone Survey'!W74</f>
        <v>0.36104444444441697</v>
      </c>
      <c r="X74" s="191">
        <f>'Functional Levels Drone Survey'!X74-'Existing Levels Drone Survey'!X74</f>
        <v>0.37424444444440041</v>
      </c>
      <c r="Y74" s="279">
        <f>'Functional Levels Drone Survey'!Y74-'Existing Levels Drone Survey'!Y74</f>
        <v>0.36914444444443006</v>
      </c>
      <c r="Z74" s="191">
        <f>'Functional Levels Drone Survey'!Z74-'Existing Levels Drone Survey'!Z74</f>
        <v>5.7142857142764569E-2</v>
      </c>
      <c r="AA74" s="279">
        <f>'Functional Levels Drone Survey'!AA74-'Existing Levels Drone Survey'!AA74</f>
        <v>4.3942857142724279E-2</v>
      </c>
      <c r="AB74" s="191">
        <f>'Functional Levels Drone Survey'!AB74-'Existing Levels Drone Survey'!AB74</f>
        <v>3.464285714272819E-2</v>
      </c>
      <c r="AC74" s="191">
        <f>'Functional Levels Drone Survey'!AC74-'Existing Levels Drone Survey'!AC74</f>
        <v>-1.7957142857255803E-2</v>
      </c>
      <c r="AD74" s="191">
        <f>'Functional Levels Drone Survey'!AD74-'Existing Levels Drone Survey'!AD74</f>
        <v>9.2428571427376482E-3</v>
      </c>
      <c r="AE74" s="191">
        <f>'Functional Levels Drone Survey'!AE74-'Existing Levels Drone Survey'!AE74</f>
        <v>5.2428571427185489E-3</v>
      </c>
      <c r="AF74" s="191">
        <f>'Functional Levels Drone Survey'!AF74-'Existing Levels Drone Survey'!AF74</f>
        <v>-1.1757142857277358E-2</v>
      </c>
      <c r="AG74" s="191">
        <f>'Functional Levels Drone Survey'!AG74-'Existing Levels Drone Survey'!AG74</f>
        <v>-2.60571428572689E-2</v>
      </c>
      <c r="AH74" s="191">
        <f>'Functional Levels Drone Survey'!AH74-'Existing Levels Drone Survey'!AH74</f>
        <v>-4.8457142857273539E-2</v>
      </c>
      <c r="AI74" s="191">
        <f>'Functional Levels Drone Survey'!AI74-'Existing Levels Drone Survey'!AI74</f>
        <v>-4.1957142857256713E-2</v>
      </c>
      <c r="AJ74" s="191">
        <f>'Functional Levels Drone Survey'!AJ74-'Existing Levels Drone Survey'!AJ74</f>
        <v>-8.295714285725353E-2</v>
      </c>
      <c r="AK74" s="191">
        <f>'Functional Levels Drone Survey'!AK74-'Existing Levels Drone Survey'!AK74</f>
        <v>-9.8757142857266444E-2</v>
      </c>
      <c r="AL74" s="191">
        <f>'Functional Levels Drone Survey'!AL74-'Existing Levels Drone Survey'!AL74</f>
        <v>-6.0557142857305735E-2</v>
      </c>
      <c r="AM74" s="191">
        <f>'Functional Levels Drone Survey'!AM74-'Existing Levels Drone Survey'!AM74</f>
        <v>-4.5157142857306098E-2</v>
      </c>
      <c r="AN74" s="191">
        <f>'Functional Levels Drone Survey'!AN74-'Existing Levels Drone Survey'!AN74</f>
        <v>-5.4557142857277086E-2</v>
      </c>
      <c r="AO74" s="191">
        <f>'Functional Levels Drone Survey'!AO74-'Existing Levels Drone Survey'!AO74</f>
        <v>-7.4457142857283998E-2</v>
      </c>
      <c r="AP74" s="191">
        <f>'Functional Levels Drone Survey'!AP74-'Existing Levels Drone Survey'!AP74</f>
        <v>-8.8057142857280724E-2</v>
      </c>
      <c r="AQ74" s="191">
        <f>'Functional Levels Drone Survey'!AQ74-'Existing Levels Drone Survey'!AQ74</f>
        <v>-8.7257142857254166E-2</v>
      </c>
      <c r="AR74" s="191">
        <f>'Functional Levels Drone Survey'!AR74-'Existing Levels Drone Survey'!AR74</f>
        <v>-6.3357142857284998E-2</v>
      </c>
      <c r="AS74" s="191">
        <f>'Functional Levels Drone Survey'!AS74-'Existing Levels Drone Survey'!AS74</f>
        <v>-9.6257142857268718E-2</v>
      </c>
      <c r="AT74" s="191">
        <f>'Functional Levels Drone Survey'!AT74-'Existing Levels Drone Survey'!AT74</f>
        <v>4.8642857142738194E-2</v>
      </c>
      <c r="AU74" s="279">
        <f>'Functional Levels Drone Survey'!AU74-'Existing Levels Drone Survey'!AU74</f>
        <v>4.2342857142728008E-2</v>
      </c>
      <c r="AV74" s="191">
        <f>'Functional Levels Drone Survey'!AV74-'Existing Levels Drone Survey'!AV74</f>
        <v>-2.8557142857266626E-2</v>
      </c>
      <c r="AW74" s="191">
        <f>'Functional Levels Drone Survey'!AW74-'Existing Levels Drone Survey'!AW74</f>
        <v>-9.0899999999976444E-2</v>
      </c>
      <c r="AX74" s="279">
        <f>'Functional Levels Drone Survey'!AX74-'Existing Levels Drone Survey'!AX74</f>
        <v>0.19175238095226632</v>
      </c>
      <c r="AY74" s="191">
        <f>'Functional Levels Drone Survey'!AY74-'Existing Levels Drone Survey'!AY74</f>
        <v>0.20025238095223585</v>
      </c>
      <c r="AZ74" s="191">
        <f>'Functional Levels Drone Survey'!AZ74-'Existing Levels Drone Survey'!AZ74</f>
        <v>0.14645238095226887</v>
      </c>
      <c r="BA74" s="191">
        <f>'Functional Levels Drone Survey'!BA74-'Existing Levels Drone Survey'!BA74</f>
        <v>0.14845238095227842</v>
      </c>
      <c r="BB74" s="191">
        <f>'Functional Levels Drone Survey'!BB74-'Existing Levels Drone Survey'!BB74</f>
        <v>0.14875238095225995</v>
      </c>
      <c r="BC74" s="191">
        <f>'Functional Levels Drone Survey'!BC74-'Existing Levels Drone Survey'!BC74</f>
        <v>0.11405238095227332</v>
      </c>
      <c r="BD74" s="191">
        <f>'Functional Levels Drone Survey'!BD74-'Existing Levels Drone Survey'!BD74</f>
        <v>0.1296523809522796</v>
      </c>
      <c r="BE74" s="191">
        <f>'Functional Levels Drone Survey'!BE74-'Existing Levels Drone Survey'!BE74</f>
        <v>0.1074523809522816</v>
      </c>
      <c r="BF74" s="191">
        <f>'Functional Levels Drone Survey'!BF74-'Existing Levels Drone Survey'!BF74</f>
        <v>0.14585238095224895</v>
      </c>
      <c r="BG74" s="191">
        <f>'Functional Levels Drone Survey'!BG74-'Existing Levels Drone Survey'!BG74</f>
        <v>0.16215238095225004</v>
      </c>
      <c r="BH74" s="191">
        <f>'Functional Levels Drone Survey'!BH74-'Existing Levels Drone Survey'!BH74</f>
        <v>7.7252380952245403E-2</v>
      </c>
      <c r="BI74" s="191">
        <f>'Functional Levels Drone Survey'!BI74-'Existing Levels Drone Survey'!BI74</f>
        <v>7.5152380952260955E-2</v>
      </c>
      <c r="BJ74" s="191">
        <f>'Functional Levels Drone Survey'!BJ74-'Existing Levels Drone Survey'!BJ74</f>
        <v>0.15135238095223258</v>
      </c>
      <c r="BK74" s="191">
        <f>'Functional Levels Drone Survey'!BK74-'Existing Levels Drone Survey'!BK74</f>
        <v>0.19045238095225159</v>
      </c>
      <c r="BL74" s="191">
        <f>'Functional Levels Drone Survey'!BL74-'Existing Levels Drone Survey'!BL74</f>
        <v>0.21065238095224004</v>
      </c>
      <c r="BM74" s="191">
        <f>'Functional Levels Drone Survey'!BM74-'Existing Levels Drone Survey'!BM74</f>
        <v>0.23095238095226023</v>
      </c>
      <c r="BN74" s="191">
        <f>'Functional Levels Drone Survey'!BN74-'Existing Levels Drone Survey'!BN74</f>
        <v>0.24975238095225905</v>
      </c>
      <c r="BO74" s="191">
        <f>'Functional Levels Drone Survey'!BO74-'Existing Levels Drone Survey'!BO74</f>
        <v>0.1963523809522485</v>
      </c>
      <c r="BP74" s="191">
        <f>'Functional Levels Drone Survey'!BP74-'Existing Levels Drone Survey'!BP74</f>
        <v>0.31815238095225595</v>
      </c>
      <c r="BQ74" s="191">
        <f>'Functional Levels Drone Survey'!BQ74-'Existing Levels Drone Survey'!BQ74</f>
        <v>0.45855238095225559</v>
      </c>
      <c r="BR74" s="279">
        <f>'Functional Levels Drone Survey'!BR74-'Existing Levels Drone Survey'!BR74</f>
        <v>0.3909523809522284</v>
      </c>
      <c r="BS74" s="191">
        <f>'Functional Levels Drone Survey'!BS74-'Existing Levels Drone Survey'!BS74</f>
        <v>0.23996818181825574</v>
      </c>
      <c r="BT74" s="279">
        <f>'Functional Levels Drone Survey'!BT74-'Existing Levels Drone Survey'!BT74</f>
        <v>0.19126818181825911</v>
      </c>
      <c r="BU74" s="191">
        <f>'Functional Levels Drone Survey'!BU74-'Existing Levels Drone Survey'!BU74</f>
        <v>0.12626818181826138</v>
      </c>
      <c r="BV74" s="191">
        <f>'Functional Levels Drone Survey'!BV74-'Existing Levels Drone Survey'!BV74</f>
        <v>0.1591681818182451</v>
      </c>
      <c r="BW74" s="191">
        <f>'Functional Levels Drone Survey'!BW74-'Existing Levels Drone Survey'!BW74</f>
        <v>0.13776818181827366</v>
      </c>
      <c r="BX74" s="191">
        <f>'Functional Levels Drone Survey'!BX74-'Existing Levels Drone Survey'!BX74</f>
        <v>0.16436818181824719</v>
      </c>
      <c r="BY74" s="191">
        <f>'Functional Levels Drone Survey'!BY74-'Existing Levels Drone Survey'!BY74</f>
        <v>0.3366681818182542</v>
      </c>
      <c r="BZ74" s="191">
        <f>'Functional Levels Drone Survey'!BZ74-'Existing Levels Drone Survey'!BZ74</f>
        <v>0.32126818181825456</v>
      </c>
      <c r="CA74" s="191">
        <f>'Functional Levels Drone Survey'!CA74-'Existing Levels Drone Survey'!CA74</f>
        <v>0.35016818181827603</v>
      </c>
      <c r="CB74" s="191">
        <f>'Functional Levels Drone Survey'!CB74-'Existing Levels Drone Survey'!CB74</f>
        <v>0.36386818181824765</v>
      </c>
      <c r="CC74" s="191">
        <f>'Functional Levels Drone Survey'!CC74-'Existing Levels Drone Survey'!CC74</f>
        <v>0.3728681818182622</v>
      </c>
      <c r="CD74" s="191">
        <f>'Functional Levels Drone Survey'!CD74-'Existing Levels Drone Survey'!CD74</f>
        <v>0.37016818181825784</v>
      </c>
      <c r="CE74" s="191">
        <f>'Functional Levels Drone Survey'!CE74-'Existing Levels Drone Survey'!CE74</f>
        <v>0.3921681818182492</v>
      </c>
      <c r="CF74" s="191">
        <f>'Functional Levels Drone Survey'!CF74-'Existing Levels Drone Survey'!CF74</f>
        <v>0.36376818181827275</v>
      </c>
      <c r="CG74" s="191">
        <f>'Functional Levels Drone Survey'!CG74-'Existing Levels Drone Survey'!CG74</f>
        <v>0.38576818181826411</v>
      </c>
      <c r="CH74" s="191">
        <f>'Functional Levels Drone Survey'!CH74-'Existing Levels Drone Survey'!CH74</f>
        <v>0.34436818181825402</v>
      </c>
      <c r="CI74" s="191">
        <f>'Functional Levels Drone Survey'!CI74-'Existing Levels Drone Survey'!CI74</f>
        <v>0.28166818181824738</v>
      </c>
      <c r="CJ74" s="191">
        <f>'Functional Levels Drone Survey'!CJ74-'Existing Levels Drone Survey'!CJ74</f>
        <v>0.36936818181828812</v>
      </c>
      <c r="CK74" s="191">
        <f>'Functional Levels Drone Survey'!CK74-'Existing Levels Drone Survey'!CK74</f>
        <v>0.3880681818182552</v>
      </c>
      <c r="CL74" s="191">
        <f>'Functional Levels Drone Survey'!CL74-'Existing Levels Drone Survey'!CL74</f>
        <v>0.39576818181825502</v>
      </c>
      <c r="CM74" s="191">
        <f>'Functional Levels Drone Survey'!CM74-'Existing Levels Drone Survey'!CM74</f>
        <v>0.38826818181826184</v>
      </c>
      <c r="CN74" s="191">
        <f>'Functional Levels Drone Survey'!CN74-'Existing Levels Drone Survey'!CN74</f>
        <v>0.38136818181828858</v>
      </c>
      <c r="CO74" s="279">
        <f>'Functional Levels Drone Survey'!CO74-'Existing Levels Drone Survey'!CO74</f>
        <v>0.38716818181825374</v>
      </c>
      <c r="CP74" s="191">
        <f>'Functional Levels Drone Survey'!CP74-'Existing Levels Drone Survey'!CP74</f>
        <v>0.13202380952401427</v>
      </c>
      <c r="CQ74" s="279">
        <f>'Functional Levels Drone Survey'!CQ74-'Existing Levels Drone Survey'!CQ74</f>
        <v>0.18402380952397834</v>
      </c>
      <c r="CR74" s="191">
        <f>'Functional Levels Drone Survey'!CR74-'Existing Levels Drone Survey'!CR74</f>
        <v>0.10752380952396834</v>
      </c>
      <c r="CS74" s="191">
        <f>'Functional Levels Drone Survey'!CS74-'Existing Levels Drone Survey'!CS74</f>
        <v>0.20582380952401991</v>
      </c>
      <c r="CT74" s="191">
        <f>'Functional Levels Drone Survey'!CT74-'Existing Levels Drone Survey'!CT74</f>
        <v>0.2877238095239818</v>
      </c>
      <c r="CU74" s="191">
        <f>'Functional Levels Drone Survey'!CU74-'Existing Levels Drone Survey'!CU74</f>
        <v>0.32062380952402236</v>
      </c>
      <c r="CV74" s="191">
        <f>'Functional Levels Drone Survey'!CV74-'Existing Levels Drone Survey'!CV74</f>
        <v>0.31272380952401591</v>
      </c>
      <c r="CW74" s="191">
        <f>'Functional Levels Drone Survey'!CW74-'Existing Levels Drone Survey'!CW74</f>
        <v>0.34442380952401663</v>
      </c>
      <c r="CX74" s="191">
        <f>'Functional Levels Drone Survey'!CX74-'Existing Levels Drone Survey'!CX74</f>
        <v>0.32942380952397343</v>
      </c>
      <c r="CY74" s="191">
        <f>'Functional Levels Drone Survey'!CY74-'Existing Levels Drone Survey'!CY74</f>
        <v>0.2806238095240019</v>
      </c>
      <c r="CZ74" s="191">
        <f>'Functional Levels Drone Survey'!CZ74-'Existing Levels Drone Survey'!CZ74</f>
        <v>0.36812380952397916</v>
      </c>
      <c r="DA74" s="191">
        <f>'Functional Levels Drone Survey'!DA74-'Existing Levels Drone Survey'!DA74</f>
        <v>0.37222380952397316</v>
      </c>
      <c r="DB74" s="191">
        <f>'Functional Levels Drone Survey'!DB74-'Existing Levels Drone Survey'!DB74</f>
        <v>0.40232380952397762</v>
      </c>
      <c r="DC74" s="191">
        <f>'Functional Levels Drone Survey'!DC74-'Existing Levels Drone Survey'!DC74</f>
        <v>0.39122380952397862</v>
      </c>
      <c r="DD74" s="191">
        <f>'Functional Levels Drone Survey'!DD74-'Existing Levels Drone Survey'!DD74</f>
        <v>0.32652380952401927</v>
      </c>
      <c r="DE74" s="191">
        <f>'Functional Levels Drone Survey'!DE74-'Existing Levels Drone Survey'!DE74</f>
        <v>0.30722380952397543</v>
      </c>
      <c r="DF74" s="191">
        <f>'Functional Levels Drone Survey'!DF74-'Existing Levels Drone Survey'!DF74</f>
        <v>0.37102380952399017</v>
      </c>
      <c r="DG74" s="279">
        <f>'Functional Levels Drone Survey'!DG74-'Existing Levels Drone Survey'!DG74</f>
        <v>0.40692380952401663</v>
      </c>
      <c r="DH74" s="279">
        <f>'Functional Levels Drone Survey'!DH74-'Existing Levels Drone Survey'!DH74</f>
        <v>0.53262380952401145</v>
      </c>
      <c r="DI74" s="279">
        <f>'Functional Levels Drone Survey'!DI74-'Existing Levels Drone Survey'!DI74</f>
        <v>0.55702380952396879</v>
      </c>
      <c r="DJ74" s="279">
        <f>'Functional Levels Drone Survey'!DJ74-'Existing Levels Drone Survey'!DJ74</f>
        <v>0.40042380952399981</v>
      </c>
      <c r="DK74" s="279">
        <f>'Functional Levels Drone Survey'!DK74-'Existing Levels Drone Survey'!DK74</f>
        <v>0.56232380952400263</v>
      </c>
      <c r="DL74" s="191">
        <f>'Functional Levels Drone Survey'!DL74-'Existing Levels Drone Survey'!DL74</f>
        <v>0.22352380952389694</v>
      </c>
      <c r="DM74" s="191">
        <f>'Functional Levels Drone Survey'!DM74-'Existing Levels Drone Survey'!DM74</f>
        <v>-5.7176190476070587E-2</v>
      </c>
      <c r="DN74" s="191">
        <f>'Functional Levels Drone Survey'!DN74-'Existing Levels Drone Survey'!DN74</f>
        <v>-0.18587619047610815</v>
      </c>
      <c r="DO74" s="191">
        <f>'Functional Levels Drone Survey'!DO74-'Existing Levels Drone Survey'!DO74</f>
        <v>-3.3776190476089596E-2</v>
      </c>
      <c r="DP74" s="191">
        <f>'Functional Levels Drone Survey'!DP74-'Existing Levels Drone Survey'!DP74</f>
        <v>-5.1676190476086958E-2</v>
      </c>
      <c r="DQ74" s="191">
        <f>'Functional Levels Drone Survey'!DQ74-'Existing Levels Drone Survey'!DQ74</f>
        <v>-3.0776190476103693E-2</v>
      </c>
      <c r="DR74" s="191">
        <f>'Functional Levels Drone Survey'!DR74-'Existing Levels Drone Survey'!DR74</f>
        <v>-0.24427619047605731</v>
      </c>
      <c r="DS74" s="191">
        <f>'Functional Levels Drone Survey'!DS74-'Existing Levels Drone Survey'!DS74</f>
        <v>4.5523809523899672E-2</v>
      </c>
      <c r="DT74" s="191">
        <f>'Functional Levels Drone Survey'!DT74-'Existing Levels Drone Survey'!DT74</f>
        <v>-1.6676190476061947E-2</v>
      </c>
      <c r="DU74" s="191">
        <f>'Functional Levels Drone Survey'!DU74-'Existing Levels Drone Survey'!DU74</f>
        <v>-7.7676190476097418E-2</v>
      </c>
      <c r="DV74" s="191">
        <f>'Functional Levels Drone Survey'!DV74-'Existing Levels Drone Survey'!DV74</f>
        <v>-0.50917619047606877</v>
      </c>
      <c r="DW74" s="191">
        <f>'Functional Levels Drone Survey'!DW74-'Existing Levels Drone Survey'!DW74</f>
        <v>-0.47207619047605931</v>
      </c>
      <c r="DX74" s="191">
        <f>'Functional Levels Drone Survey'!DX74-'Existing Levels Drone Survey'!DX74</f>
        <v>-0.21797619047606531</v>
      </c>
      <c r="DY74" s="191">
        <f>'Functional Levels Drone Survey'!DY74-'Existing Levels Drone Survey'!DY74</f>
        <v>-0.60347619047610124</v>
      </c>
      <c r="DZ74" s="278">
        <f>'Functional Levels Drone Survey'!DZ74-'Existing Levels Drone Survey'!DZ74</f>
        <v>-0.36757619047608614</v>
      </c>
      <c r="EA74" s="191">
        <f>'Functional Levels Drone Survey'!EA74-'Existing Levels Drone Survey'!EA74</f>
        <v>0</v>
      </c>
      <c r="EB74" s="191">
        <f>'Functional Levels Drone Survey'!EB74-'Existing Levels Drone Survey'!EB74</f>
        <v>0</v>
      </c>
      <c r="EC74" s="191">
        <f>'Functional Levels Drone Survey'!EC74-'Existing Levels Drone Survey'!EC74</f>
        <v>0</v>
      </c>
      <c r="ED74" s="191">
        <f>'Functional Levels Drone Survey'!ED74-'Existing Levels Drone Survey'!ED74</f>
        <v>0</v>
      </c>
      <c r="EE74" s="191">
        <f>'Functional Levels Drone Survey'!EE74-'Existing Levels Drone Survey'!EE74</f>
        <v>0</v>
      </c>
      <c r="EF74" s="191">
        <f>'Functional Levels Drone Survey'!EF74-'Existing Levels Drone Survey'!EF74</f>
        <v>0</v>
      </c>
      <c r="EG74" s="191">
        <f>'Functional Levels Drone Survey'!EG74-'Existing Levels Drone Survey'!EG74</f>
        <v>0</v>
      </c>
      <c r="EH74" s="191">
        <f>'Functional Levels Drone Survey'!EH74-'Existing Levels Drone Survey'!EH74</f>
        <v>0</v>
      </c>
      <c r="EI74" s="191">
        <f>'Functional Levels Drone Survey'!EI74-'Existing Levels Drone Survey'!EI74</f>
        <v>0</v>
      </c>
      <c r="EJ74" s="191">
        <f>'Functional Levels Drone Survey'!EJ74-'Existing Levels Drone Survey'!EJ74</f>
        <v>0</v>
      </c>
      <c r="EK74" s="191">
        <f>'Functional Levels Drone Survey'!EK74-'Existing Levels Drone Survey'!EK74</f>
        <v>0</v>
      </c>
      <c r="EL74" s="191">
        <f>'Functional Levels Drone Survey'!EL74-'Existing Levels Drone Survey'!EL74</f>
        <v>0</v>
      </c>
      <c r="EM74" s="191">
        <f>'Functional Levels Drone Survey'!EM74-'Existing Levels Drone Survey'!EM74</f>
        <v>0</v>
      </c>
      <c r="EN74" s="191">
        <f>'Functional Levels Drone Survey'!EN74-'Existing Levels Drone Survey'!EN74</f>
        <v>0</v>
      </c>
      <c r="EO74" s="191">
        <f>'Functional Levels Drone Survey'!EO74-'Existing Levels Drone Survey'!EO74</f>
        <v>0</v>
      </c>
      <c r="EP74" s="191">
        <f>'Functional Levels Drone Survey'!EP74-'Existing Levels Drone Survey'!EP74</f>
        <v>0</v>
      </c>
      <c r="EQ74" s="191">
        <f>'Functional Levels Drone Survey'!EQ74-'Existing Levels Drone Survey'!EQ74</f>
        <v>0</v>
      </c>
      <c r="ER74" s="191">
        <f>'Functional Levels Drone Survey'!ER74-'Existing Levels Drone Survey'!ER74</f>
        <v>0</v>
      </c>
      <c r="ES74" s="191">
        <f>'Functional Levels Drone Survey'!ES74-'Existing Levels Drone Survey'!ES74</f>
        <v>0</v>
      </c>
      <c r="ET74" s="191">
        <f>'Functional Levels Drone Survey'!ET74-'Existing Levels Drone Survey'!ET74</f>
        <v>0</v>
      </c>
      <c r="EU74" s="191">
        <f>'Functional Levels Drone Survey'!EU74-'Existing Levels Drone Survey'!EU74</f>
        <v>0</v>
      </c>
      <c r="EV74" s="191">
        <f>'Functional Levels Drone Survey'!EV74-'Existing Levels Drone Survey'!EV74</f>
        <v>0</v>
      </c>
      <c r="EW74" s="191">
        <f>'Functional Levels Drone Survey'!EW74-'Existing Levels Drone Survey'!EW74</f>
        <v>0</v>
      </c>
      <c r="EX74" s="191">
        <f>'Functional Levels Drone Survey'!EX74-'Existing Levels Drone Survey'!EX74</f>
        <v>0</v>
      </c>
      <c r="EY74" s="191">
        <f>'Functional Levels Drone Survey'!EY74-'Existing Levels Drone Survey'!EY74</f>
        <v>0</v>
      </c>
    </row>
    <row r="75" spans="1:155" ht="45" customHeight="1" x14ac:dyDescent="0.45">
      <c r="A75" s="277">
        <v>370</v>
      </c>
      <c r="B75" s="191">
        <f>'Functional Levels Drone Survey'!B75-'Existing Levels Drone Survey'!B75</f>
        <v>0</v>
      </c>
      <c r="C75" s="191">
        <f>'Functional Levels Drone Survey'!C75-'Existing Levels Drone Survey'!C75</f>
        <v>0</v>
      </c>
      <c r="D75" s="191">
        <f>'Functional Levels Drone Survey'!D75-'Existing Levels Drone Survey'!D75</f>
        <v>0</v>
      </c>
      <c r="E75" s="191">
        <f>'Functional Levels Drone Survey'!E75-'Existing Levels Drone Survey'!E75</f>
        <v>0</v>
      </c>
      <c r="F75" s="278">
        <f>'Functional Levels Drone Survey'!F75-'Existing Levels Drone Survey'!F75</f>
        <v>0.30064444444440142</v>
      </c>
      <c r="G75" s="191">
        <f>'Functional Levels Drone Survey'!G75-'Existing Levels Drone Survey'!G75</f>
        <v>0.33554444444439468</v>
      </c>
      <c r="H75" s="279">
        <f>'Functional Levels Drone Survey'!H75-'Existing Levels Drone Survey'!H75</f>
        <v>0.39884444444442124</v>
      </c>
      <c r="I75" s="191">
        <f>'Functional Levels Drone Survey'!I75-'Existing Levels Drone Survey'!I75</f>
        <v>0.38134444444443716</v>
      </c>
      <c r="J75" s="191">
        <f>'Functional Levels Drone Survey'!J75-'Existing Levels Drone Survey'!J75</f>
        <v>0.38874444444445544</v>
      </c>
      <c r="K75" s="191">
        <f>'Functional Levels Drone Survey'!K75-'Existing Levels Drone Survey'!K75</f>
        <v>0.41044444444440842</v>
      </c>
      <c r="L75" s="191">
        <f>'Functional Levels Drone Survey'!L75-'Existing Levels Drone Survey'!L75</f>
        <v>0.4108444444444217</v>
      </c>
      <c r="M75" s="191">
        <f>'Functional Levels Drone Survey'!M75-'Existing Levels Drone Survey'!M75</f>
        <v>0.38184444444442533</v>
      </c>
      <c r="N75" s="191">
        <f>'Functional Levels Drone Survey'!N75-'Existing Levels Drone Survey'!N75</f>
        <v>0.37654444444444835</v>
      </c>
      <c r="O75" s="191">
        <f>'Functional Levels Drone Survey'!O75-'Existing Levels Drone Survey'!O75</f>
        <v>0.37084444444445808</v>
      </c>
      <c r="P75" s="191">
        <f>'Functional Levels Drone Survey'!P75-'Existing Levels Drone Survey'!P75</f>
        <v>0.29784444444442215</v>
      </c>
      <c r="Q75" s="191">
        <f>'Functional Levels Drone Survey'!Q75-'Existing Levels Drone Survey'!Q75</f>
        <v>0.34534444444443579</v>
      </c>
      <c r="R75" s="191">
        <f>'Functional Levels Drone Survey'!R75-'Existing Levels Drone Survey'!R75</f>
        <v>0.32144444444440978</v>
      </c>
      <c r="S75" s="191">
        <f>'Functional Levels Drone Survey'!S75-'Existing Levels Drone Survey'!S75</f>
        <v>0.3341444444444619</v>
      </c>
      <c r="T75" s="191">
        <f>'Functional Levels Drone Survey'!T75-'Existing Levels Drone Survey'!T75</f>
        <v>0.34804444444444016</v>
      </c>
      <c r="U75" s="191">
        <f>'Functional Levels Drone Survey'!U75-'Existing Levels Drone Survey'!U75</f>
        <v>0.36274444444444498</v>
      </c>
      <c r="V75" s="191">
        <f>'Functional Levels Drone Survey'!V75-'Existing Levels Drone Survey'!V75</f>
        <v>0.38594444444441933</v>
      </c>
      <c r="W75" s="191">
        <f>'Functional Levels Drone Survey'!W75-'Existing Levels Drone Survey'!W75</f>
        <v>0.3855444444444629</v>
      </c>
      <c r="X75" s="191">
        <f>'Functional Levels Drone Survey'!X75-'Existing Levels Drone Survey'!X75</f>
        <v>0.40134444444441897</v>
      </c>
      <c r="Y75" s="279">
        <f>'Functional Levels Drone Survey'!Y75-'Existing Levels Drone Survey'!Y75</f>
        <v>0.39414444444446417</v>
      </c>
      <c r="Z75" s="191">
        <f>'Functional Levels Drone Survey'!Z75-'Existing Levels Drone Survey'!Z75</f>
        <v>-8.1571428572146942E-3</v>
      </c>
      <c r="AA75" s="279">
        <f>'Functional Levels Drone Survey'!AA75-'Existing Levels Drone Survey'!AA75</f>
        <v>1.1542857142728735E-2</v>
      </c>
      <c r="AB75" s="191">
        <f>'Functional Levels Drone Survey'!AB75-'Existing Levels Drone Survey'!AB75</f>
        <v>-1.6857142857304552E-2</v>
      </c>
      <c r="AC75" s="191">
        <f>'Functional Levels Drone Survey'!AC75-'Existing Levels Drone Survey'!AC75</f>
        <v>-4.9757142857288272E-2</v>
      </c>
      <c r="AD75" s="191">
        <f>'Functional Levels Drone Survey'!AD75-'Existing Levels Drone Survey'!AD75</f>
        <v>-4.9657142857313374E-2</v>
      </c>
      <c r="AE75" s="191">
        <f>'Functional Levels Drone Survey'!AE75-'Existing Levels Drone Survey'!AE75</f>
        <v>-4.3157142857296549E-2</v>
      </c>
      <c r="AF75" s="191">
        <f>'Functional Levels Drone Survey'!AF75-'Existing Levels Drone Survey'!AF75</f>
        <v>-8.1257142857282361E-2</v>
      </c>
      <c r="AG75" s="191">
        <f>'Functional Levels Drone Survey'!AG75-'Existing Levels Drone Survey'!AG75</f>
        <v>-7.5757142857298732E-2</v>
      </c>
      <c r="AH75" s="191">
        <f>'Functional Levels Drone Survey'!AH75-'Existing Levels Drone Survey'!AH75</f>
        <v>-9.5557142857273902E-2</v>
      </c>
      <c r="AI75" s="191">
        <f>'Functional Levels Drone Survey'!AI75-'Existing Levels Drone Survey'!AI75</f>
        <v>-0.11805714285731028</v>
      </c>
      <c r="AJ75" s="191">
        <f>'Functional Levels Drone Survey'!AJ75-'Existing Levels Drone Survey'!AJ75</f>
        <v>-0.12245714285728582</v>
      </c>
      <c r="AK75" s="191">
        <f>'Functional Levels Drone Survey'!AK75-'Existing Levels Drone Survey'!AK75</f>
        <v>-0.12665714285731156</v>
      </c>
      <c r="AL75" s="191">
        <f>'Functional Levels Drone Survey'!AL75-'Existing Levels Drone Survey'!AL75</f>
        <v>-0.12765714285728791</v>
      </c>
      <c r="AM75" s="191">
        <f>'Functional Levels Drone Survey'!AM75-'Existing Levels Drone Survey'!AM75</f>
        <v>-0.11905714285728664</v>
      </c>
      <c r="AN75" s="191">
        <f>'Functional Levels Drone Survey'!AN75-'Existing Levels Drone Survey'!AN75</f>
        <v>-0.12785714285729455</v>
      </c>
      <c r="AO75" s="191">
        <f>'Functional Levels Drone Survey'!AO75-'Existing Levels Drone Survey'!AO75</f>
        <v>-0.14505714285729709</v>
      </c>
      <c r="AP75" s="191">
        <f>'Functional Levels Drone Survey'!AP75-'Existing Levels Drone Survey'!AP75</f>
        <v>-0.15945714285732038</v>
      </c>
      <c r="AQ75" s="191">
        <f>'Functional Levels Drone Survey'!AQ75-'Existing Levels Drone Survey'!AQ75</f>
        <v>-0.13945714285728172</v>
      </c>
      <c r="AR75" s="191">
        <f>'Functional Levels Drone Survey'!AR75-'Existing Levels Drone Survey'!AR75</f>
        <v>-0.16985714285726772</v>
      </c>
      <c r="AS75" s="191">
        <f>'Functional Levels Drone Survey'!AS75-'Existing Levels Drone Survey'!AS75</f>
        <v>-0.1841571428573161</v>
      </c>
      <c r="AT75" s="191">
        <f>'Functional Levels Drone Survey'!AT75-'Existing Levels Drone Survey'!AT75</f>
        <v>-4.3057142857264807E-2</v>
      </c>
      <c r="AU75" s="279">
        <f>'Functional Levels Drone Survey'!AU75-'Existing Levels Drone Survey'!AU75</f>
        <v>5.1428571426868075E-3</v>
      </c>
      <c r="AV75" s="191">
        <f>'Functional Levels Drone Survey'!AV75-'Existing Levels Drone Survey'!AV75</f>
        <v>-5.5757142857316921E-2</v>
      </c>
      <c r="AW75" s="191">
        <f>'Functional Levels Drone Survey'!AW75-'Existing Levels Drone Survey'!AW75</f>
        <v>-9.8400000000026466E-2</v>
      </c>
      <c r="AX75" s="279">
        <f>'Functional Levels Drone Survey'!AX75-'Existing Levels Drone Survey'!AX75</f>
        <v>0.1327523809522404</v>
      </c>
      <c r="AY75" s="191">
        <f>'Functional Levels Drone Survey'!AY75-'Existing Levels Drone Survey'!AY75</f>
        <v>0.11885238095226214</v>
      </c>
      <c r="AZ75" s="191">
        <f>'Functional Levels Drone Survey'!AZ75-'Existing Levels Drone Survey'!AZ75</f>
        <v>0.10365238095226914</v>
      </c>
      <c r="BA75" s="191">
        <f>'Functional Levels Drone Survey'!BA75-'Existing Levels Drone Survey'!BA75</f>
        <v>6.0652380952262774E-2</v>
      </c>
      <c r="BB75" s="191">
        <f>'Functional Levels Drone Survey'!BB75-'Existing Levels Drone Survey'!BB75</f>
        <v>6.8252380952230851E-2</v>
      </c>
      <c r="BC75" s="191">
        <f>'Functional Levels Drone Survey'!BC75-'Existing Levels Drone Survey'!BC75</f>
        <v>4.1752380952232215E-2</v>
      </c>
      <c r="BD75" s="191">
        <f>'Functional Levels Drone Survey'!BD75-'Existing Levels Drone Survey'!BD75</f>
        <v>5.1052380952228305E-2</v>
      </c>
      <c r="BE75" s="191">
        <f>'Functional Levels Drone Survey'!BE75-'Existing Levels Drone Survey'!BE75</f>
        <v>3.4452380952245676E-2</v>
      </c>
      <c r="BF75" s="191">
        <f>'Functional Levels Drone Survey'!BF75-'Existing Levels Drone Survey'!BF75</f>
        <v>6.9752380952252224E-2</v>
      </c>
      <c r="BG75" s="191">
        <f>'Functional Levels Drone Survey'!BG75-'Existing Levels Drone Survey'!BG75</f>
        <v>7.2052380952243311E-2</v>
      </c>
      <c r="BH75" s="191">
        <f>'Functional Levels Drone Survey'!BH75-'Existing Levels Drone Survey'!BH75</f>
        <v>1.6652380952223211E-2</v>
      </c>
      <c r="BI75" s="191">
        <f>'Functional Levels Drone Survey'!BI75-'Existing Levels Drone Survey'!BI75</f>
        <v>8.2523809522285774E-3</v>
      </c>
      <c r="BJ75" s="191">
        <f>'Functional Levels Drone Survey'!BJ75-'Existing Levels Drone Survey'!BJ75</f>
        <v>8.2352380952272597E-2</v>
      </c>
      <c r="BK75" s="191">
        <f>'Functional Levels Drone Survey'!BK75-'Existing Levels Drone Survey'!BK75</f>
        <v>0.11925238095221857</v>
      </c>
      <c r="BL75" s="191">
        <f>'Functional Levels Drone Survey'!BL75-'Existing Levels Drone Survey'!BL75</f>
        <v>0.13905238095225059</v>
      </c>
      <c r="BM75" s="191">
        <f>'Functional Levels Drone Survey'!BM75-'Existing Levels Drone Survey'!BM75</f>
        <v>0.15915238095226414</v>
      </c>
      <c r="BN75" s="191">
        <f>'Functional Levels Drone Survey'!BN75-'Existing Levels Drone Survey'!BN75</f>
        <v>0.17595238095225341</v>
      </c>
      <c r="BO75" s="191">
        <f>'Functional Levels Drone Survey'!BO75-'Existing Levels Drone Survey'!BO75</f>
        <v>7.6652380952225485E-2</v>
      </c>
      <c r="BP75" s="191">
        <f>'Functional Levels Drone Survey'!BP75-'Existing Levels Drone Survey'!BP75</f>
        <v>0.2023523809522203</v>
      </c>
      <c r="BQ75" s="191">
        <f>'Functional Levels Drone Survey'!BQ75-'Existing Levels Drone Survey'!BQ75</f>
        <v>0.31375238095222358</v>
      </c>
      <c r="BR75" s="279">
        <f>'Functional Levels Drone Survey'!BR75-'Existing Levels Drone Survey'!BR75</f>
        <v>0.30875238095222812</v>
      </c>
      <c r="BS75" s="191">
        <f>'Functional Levels Drone Survey'!BS75-'Existing Levels Drone Survey'!BS75</f>
        <v>0.2922681818182582</v>
      </c>
      <c r="BT75" s="279">
        <f>'Functional Levels Drone Survey'!BT75-'Existing Levels Drone Survey'!BT75</f>
        <v>0.24866818181828876</v>
      </c>
      <c r="BU75" s="279">
        <f>'Functional Levels Drone Survey'!BU75-'Existing Levels Drone Survey'!BU75</f>
        <v>0.20686818181826538</v>
      </c>
      <c r="BV75" s="279">
        <f>'Functional Levels Drone Survey'!BV75-'Existing Levels Drone Survey'!BV75</f>
        <v>0.19776818181827593</v>
      </c>
      <c r="BW75" s="279">
        <f>'Functional Levels Drone Survey'!BW75-'Existing Levels Drone Survey'!BW75</f>
        <v>0.23436818181829722</v>
      </c>
      <c r="BX75" s="279">
        <f>'Functional Levels Drone Survey'!BX75-'Existing Levels Drone Survey'!BX75</f>
        <v>0.20376818181830458</v>
      </c>
      <c r="BY75" s="279">
        <f>'Functional Levels Drone Survey'!BY75-'Existing Levels Drone Survey'!BY75</f>
        <v>0.34526818181825547</v>
      </c>
      <c r="BZ75" s="279">
        <f>'Functional Levels Drone Survey'!BZ75-'Existing Levels Drone Survey'!BZ75</f>
        <v>0.3405681818182984</v>
      </c>
      <c r="CA75" s="279">
        <f>'Functional Levels Drone Survey'!CA75-'Existing Levels Drone Survey'!CA75</f>
        <v>0.37546818181829167</v>
      </c>
      <c r="CB75" s="279">
        <f>'Functional Levels Drone Survey'!CB75-'Existing Levels Drone Survey'!CB75</f>
        <v>0.38296818181828485</v>
      </c>
      <c r="CC75" s="279">
        <f>'Functional Levels Drone Survey'!CC75-'Existing Levels Drone Survey'!CC75</f>
        <v>0.36836818181825493</v>
      </c>
      <c r="CD75" s="279">
        <f>'Functional Levels Drone Survey'!CD75-'Existing Levels Drone Survey'!CD75</f>
        <v>0.3920681818182743</v>
      </c>
      <c r="CE75" s="279">
        <f>'Functional Levels Drone Survey'!CE75-'Existing Levels Drone Survey'!CE75</f>
        <v>0.38406818181829294</v>
      </c>
      <c r="CF75" s="279">
        <f>'Functional Levels Drone Survey'!CF75-'Existing Levels Drone Survey'!CF75</f>
        <v>0.37526818181828503</v>
      </c>
      <c r="CG75" s="279">
        <f>'Functional Levels Drone Survey'!CG75-'Existing Levels Drone Survey'!CG75</f>
        <v>0.41436818181830404</v>
      </c>
      <c r="CH75" s="279">
        <f>'Functional Levels Drone Survey'!CH75-'Existing Levels Drone Survey'!CH75</f>
        <v>0.39856818181829112</v>
      </c>
      <c r="CI75" s="279">
        <f>'Functional Levels Drone Survey'!CI75-'Existing Levels Drone Survey'!CI75</f>
        <v>0.40426818181828139</v>
      </c>
      <c r="CJ75" s="279">
        <f>'Functional Levels Drone Survey'!CJ75-'Existing Levels Drone Survey'!CJ75</f>
        <v>0.39676818181828821</v>
      </c>
      <c r="CK75" s="279">
        <f>'Functional Levels Drone Survey'!CK75-'Existing Levels Drone Survey'!CK75</f>
        <v>0.4031681818182733</v>
      </c>
      <c r="CL75" s="279">
        <f>'Functional Levels Drone Survey'!CL75-'Existing Levels Drone Survey'!CL75</f>
        <v>0.40956818181825838</v>
      </c>
      <c r="CM75" s="279">
        <f>'Functional Levels Drone Survey'!CM75-'Existing Levels Drone Survey'!CM75</f>
        <v>0.41836818181826629</v>
      </c>
      <c r="CN75" s="279">
        <f>'Functional Levels Drone Survey'!CN75-'Existing Levels Drone Survey'!CN75</f>
        <v>0.37786818181825765</v>
      </c>
      <c r="CO75" s="279">
        <f>'Functional Levels Drone Survey'!CO75-'Existing Levels Drone Survey'!CO75</f>
        <v>0.39366818181827057</v>
      </c>
      <c r="CP75" s="191">
        <f>'Functional Levels Drone Survey'!CP75-'Existing Levels Drone Survey'!CP75</f>
        <v>0.16532380952401127</v>
      </c>
      <c r="CQ75" s="279">
        <f>'Functional Levels Drone Survey'!CQ75-'Existing Levels Drone Survey'!CQ75</f>
        <v>0.21472380952400272</v>
      </c>
      <c r="CR75" s="279">
        <f>'Functional Levels Drone Survey'!CR75-'Existing Levels Drone Survey'!CR75</f>
        <v>0.13722380952401636</v>
      </c>
      <c r="CS75" s="279">
        <f>'Functional Levels Drone Survey'!CS75-'Existing Levels Drone Survey'!CS75</f>
        <v>0.21152380952401018</v>
      </c>
      <c r="CT75" s="279">
        <f>'Functional Levels Drone Survey'!CT75-'Existing Levels Drone Survey'!CT75</f>
        <v>0.37582380952403582</v>
      </c>
      <c r="CU75" s="279">
        <f>'Functional Levels Drone Survey'!CU75-'Existing Levels Drone Survey'!CU75</f>
        <v>0.38262380952403419</v>
      </c>
      <c r="CV75" s="279">
        <f>'Functional Levels Drone Survey'!CV75-'Existing Levels Drone Survey'!CV75</f>
        <v>0.31552380952399517</v>
      </c>
      <c r="CW75" s="279">
        <f>'Functional Levels Drone Survey'!CW75-'Existing Levels Drone Survey'!CW75</f>
        <v>0.32342380952400163</v>
      </c>
      <c r="CX75" s="279">
        <f>'Functional Levels Drone Survey'!CX75-'Existing Levels Drone Survey'!CX75</f>
        <v>0.29202380952398244</v>
      </c>
      <c r="CY75" s="279">
        <f>'Functional Levels Drone Survey'!CY75-'Existing Levels Drone Survey'!CY75</f>
        <v>0.26832380952401991</v>
      </c>
      <c r="CZ75" s="279">
        <f>'Functional Levels Drone Survey'!CZ75-'Existing Levels Drone Survey'!CZ75</f>
        <v>0.35682380952403037</v>
      </c>
      <c r="DA75" s="279">
        <f>'Functional Levels Drone Survey'!DA75-'Existing Levels Drone Survey'!DA75</f>
        <v>0.37172380952398498</v>
      </c>
      <c r="DB75" s="279">
        <f>'Functional Levels Drone Survey'!DB75-'Existing Levels Drone Survey'!DB75</f>
        <v>0.38072380952399953</v>
      </c>
      <c r="DC75" s="279">
        <f>'Functional Levels Drone Survey'!DC75-'Existing Levels Drone Survey'!DC75</f>
        <v>0.39942380952402345</v>
      </c>
      <c r="DD75" s="279">
        <f>'Functional Levels Drone Survey'!DD75-'Existing Levels Drone Survey'!DD75</f>
        <v>0.38942380952403255</v>
      </c>
      <c r="DE75" s="279">
        <f>'Functional Levels Drone Survey'!DE75-'Existing Levels Drone Survey'!DE75</f>
        <v>0.3986238095239969</v>
      </c>
      <c r="DF75" s="279">
        <f>'Functional Levels Drone Survey'!DF75-'Existing Levels Drone Survey'!DF75</f>
        <v>0.39932380952399171</v>
      </c>
      <c r="DG75" s="191">
        <f>'Functional Levels Drone Survey'!DG75-'Existing Levels Drone Survey'!DG75</f>
        <v>0.24292380952397252</v>
      </c>
      <c r="DH75" s="278">
        <f>'Functional Levels Drone Survey'!DH75-'Existing Levels Drone Survey'!DH75</f>
        <v>0.45472380952401181</v>
      </c>
      <c r="DI75" s="278">
        <f>'Functional Levels Drone Survey'!DI75-'Existing Levels Drone Survey'!DI75</f>
        <v>-7.1276190475998646E-2</v>
      </c>
      <c r="DJ75" s="278">
        <f>'Functional Levels Drone Survey'!DJ75-'Existing Levels Drone Survey'!DJ75</f>
        <v>-0.29257619047604067</v>
      </c>
      <c r="DK75" s="278">
        <f>'Functional Levels Drone Survey'!DK75-'Existing Levels Drone Survey'!DK75</f>
        <v>-0.19507619047601565</v>
      </c>
      <c r="DL75" s="278">
        <f>'Functional Levels Drone Survey'!DL75-'Existing Levels Drone Survey'!DL75</f>
        <v>-0.48057619047608569</v>
      </c>
      <c r="DM75" s="191">
        <f>'Functional Levels Drone Survey'!DM75-'Existing Levels Drone Survey'!DM75</f>
        <v>-0.50597619047607623</v>
      </c>
      <c r="DN75" s="191">
        <f>'Functional Levels Drone Survey'!DN75-'Existing Levels Drone Survey'!DN75</f>
        <v>-3.1776190476080046E-2</v>
      </c>
      <c r="DO75" s="191">
        <f>'Functional Levels Drone Survey'!DO75-'Existing Levels Drone Survey'!DO75</f>
        <v>-0.39227619047608187</v>
      </c>
      <c r="DP75" s="191">
        <f>'Functional Levels Drone Survey'!DP75-'Existing Levels Drone Survey'!DP75</f>
        <v>-3.7276190476063675E-2</v>
      </c>
      <c r="DQ75" s="191">
        <f>'Functional Levels Drone Survey'!DQ75-'Existing Levels Drone Survey'!DQ75</f>
        <v>-0.21057619047610387</v>
      </c>
      <c r="DR75" s="191">
        <f>'Functional Levels Drone Survey'!DR75-'Existing Levels Drone Survey'!DR75</f>
        <v>-4.7076190476104784E-2</v>
      </c>
      <c r="DS75" s="191">
        <f>'Functional Levels Drone Survey'!DS75-'Existing Levels Drone Survey'!DS75</f>
        <v>-0.10547619047605394</v>
      </c>
      <c r="DT75" s="191">
        <f>'Functional Levels Drone Survey'!DT75-'Existing Levels Drone Survey'!DT75</f>
        <v>-0.1435761904760966</v>
      </c>
      <c r="DU75" s="191">
        <f>'Functional Levels Drone Survey'!DU75-'Existing Levels Drone Survey'!DU75</f>
        <v>-0.46857619047608523</v>
      </c>
      <c r="DV75" s="191">
        <f>'Functional Levels Drone Survey'!DV75-'Existing Levels Drone Survey'!DV75</f>
        <v>-0.74167619047608468</v>
      </c>
      <c r="DW75" s="191">
        <f>'Functional Levels Drone Survey'!DW75-'Existing Levels Drone Survey'!DW75</f>
        <v>-0.50487619047606813</v>
      </c>
      <c r="DX75" s="191">
        <f>'Functional Levels Drone Survey'!DX75-'Existing Levels Drone Survey'!DX75</f>
        <v>-0.6133761904760604</v>
      </c>
      <c r="DY75" s="191">
        <f>'Functional Levels Drone Survey'!DY75-'Existing Levels Drone Survey'!DY75</f>
        <v>-0.68357619047606022</v>
      </c>
      <c r="DZ75" s="278">
        <f>'Functional Levels Drone Survey'!DZ75-'Existing Levels Drone Survey'!DZ75</f>
        <v>-0.46487619047610451</v>
      </c>
      <c r="EA75" s="191">
        <f>'Functional Levels Drone Survey'!EA75-'Existing Levels Drone Survey'!EA75</f>
        <v>0</v>
      </c>
      <c r="EB75" s="191">
        <f>'Functional Levels Drone Survey'!EB75-'Existing Levels Drone Survey'!EB75</f>
        <v>0</v>
      </c>
      <c r="EC75" s="191">
        <f>'Functional Levels Drone Survey'!EC75-'Existing Levels Drone Survey'!EC75</f>
        <v>0</v>
      </c>
      <c r="ED75" s="191">
        <f>'Functional Levels Drone Survey'!ED75-'Existing Levels Drone Survey'!ED75</f>
        <v>0</v>
      </c>
      <c r="EE75" s="191">
        <f>'Functional Levels Drone Survey'!EE75-'Existing Levels Drone Survey'!EE75</f>
        <v>0</v>
      </c>
      <c r="EF75" s="191">
        <f>'Functional Levels Drone Survey'!EF75-'Existing Levels Drone Survey'!EF75</f>
        <v>0</v>
      </c>
      <c r="EG75" s="191">
        <f>'Functional Levels Drone Survey'!EG75-'Existing Levels Drone Survey'!EG75</f>
        <v>0</v>
      </c>
      <c r="EH75" s="191">
        <f>'Functional Levels Drone Survey'!EH75-'Existing Levels Drone Survey'!EH75</f>
        <v>0</v>
      </c>
      <c r="EI75" s="191">
        <f>'Functional Levels Drone Survey'!EI75-'Existing Levels Drone Survey'!EI75</f>
        <v>0</v>
      </c>
      <c r="EJ75" s="191">
        <f>'Functional Levels Drone Survey'!EJ75-'Existing Levels Drone Survey'!EJ75</f>
        <v>0</v>
      </c>
      <c r="EK75" s="191">
        <f>'Functional Levels Drone Survey'!EK75-'Existing Levels Drone Survey'!EK75</f>
        <v>0</v>
      </c>
      <c r="EL75" s="191">
        <f>'Functional Levels Drone Survey'!EL75-'Existing Levels Drone Survey'!EL75</f>
        <v>0</v>
      </c>
      <c r="EM75" s="191">
        <f>'Functional Levels Drone Survey'!EM75-'Existing Levels Drone Survey'!EM75</f>
        <v>0</v>
      </c>
      <c r="EN75" s="191">
        <f>'Functional Levels Drone Survey'!EN75-'Existing Levels Drone Survey'!EN75</f>
        <v>0</v>
      </c>
      <c r="EO75" s="191">
        <f>'Functional Levels Drone Survey'!EO75-'Existing Levels Drone Survey'!EO75</f>
        <v>0</v>
      </c>
      <c r="EP75" s="191">
        <f>'Functional Levels Drone Survey'!EP75-'Existing Levels Drone Survey'!EP75</f>
        <v>0</v>
      </c>
      <c r="EQ75" s="191">
        <f>'Functional Levels Drone Survey'!EQ75-'Existing Levels Drone Survey'!EQ75</f>
        <v>0</v>
      </c>
      <c r="ER75" s="191">
        <f>'Functional Levels Drone Survey'!ER75-'Existing Levels Drone Survey'!ER75</f>
        <v>0</v>
      </c>
      <c r="ES75" s="191">
        <f>'Functional Levels Drone Survey'!ES75-'Existing Levels Drone Survey'!ES75</f>
        <v>0</v>
      </c>
      <c r="ET75" s="191">
        <f>'Functional Levels Drone Survey'!ET75-'Existing Levels Drone Survey'!ET75</f>
        <v>0</v>
      </c>
      <c r="EU75" s="191">
        <f>'Functional Levels Drone Survey'!EU75-'Existing Levels Drone Survey'!EU75</f>
        <v>0</v>
      </c>
      <c r="EV75" s="191">
        <f>'Functional Levels Drone Survey'!EV75-'Existing Levels Drone Survey'!EV75</f>
        <v>0</v>
      </c>
      <c r="EW75" s="191">
        <f>'Functional Levels Drone Survey'!EW75-'Existing Levels Drone Survey'!EW75</f>
        <v>0</v>
      </c>
      <c r="EX75" s="191">
        <f>'Functional Levels Drone Survey'!EX75-'Existing Levels Drone Survey'!EX75</f>
        <v>0</v>
      </c>
      <c r="EY75" s="191">
        <f>'Functional Levels Drone Survey'!EY75-'Existing Levels Drone Survey'!EY75</f>
        <v>0</v>
      </c>
    </row>
    <row r="76" spans="1:155" ht="45" customHeight="1" x14ac:dyDescent="0.45">
      <c r="A76" s="277">
        <v>375</v>
      </c>
      <c r="B76" s="191">
        <f>'Functional Levels Drone Survey'!B76-'Existing Levels Drone Survey'!B76</f>
        <v>0</v>
      </c>
      <c r="C76" s="191">
        <f>'Functional Levels Drone Survey'!C76-'Existing Levels Drone Survey'!C76</f>
        <v>0</v>
      </c>
      <c r="D76" s="191">
        <f>'Functional Levels Drone Survey'!D76-'Existing Levels Drone Survey'!D76</f>
        <v>0</v>
      </c>
      <c r="E76" s="191">
        <f>'Functional Levels Drone Survey'!E76-'Existing Levels Drone Survey'!E76</f>
        <v>0</v>
      </c>
      <c r="F76" s="278">
        <f>'Functional Levels Drone Survey'!F76-'Existing Levels Drone Survey'!F76</f>
        <v>0.17014444444441779</v>
      </c>
      <c r="G76" s="191">
        <f>'Functional Levels Drone Survey'!G76-'Existing Levels Drone Survey'!G76</f>
        <v>0.28624444444437813</v>
      </c>
      <c r="H76" s="279">
        <f>'Functional Levels Drone Survey'!H76-'Existing Levels Drone Survey'!H76</f>
        <v>0.37464444444441369</v>
      </c>
      <c r="I76" s="191">
        <f>'Functional Levels Drone Survey'!I76-'Existing Levels Drone Survey'!I76</f>
        <v>0.35244444444441569</v>
      </c>
      <c r="J76" s="191">
        <f>'Functional Levels Drone Survey'!J76-'Existing Levels Drone Survey'!J76</f>
        <v>0.33764444444443598</v>
      </c>
      <c r="K76" s="191">
        <f>'Functional Levels Drone Survey'!K76-'Existing Levels Drone Survey'!K76</f>
        <v>0.35224444444440905</v>
      </c>
      <c r="L76" s="191">
        <f>'Functional Levels Drone Survey'!L76-'Existing Levels Drone Survey'!L76</f>
        <v>0.32444444444445253</v>
      </c>
      <c r="M76" s="191">
        <f>'Functional Levels Drone Survey'!M76-'Existing Levels Drone Survey'!M76</f>
        <v>0.32444444444445253</v>
      </c>
      <c r="N76" s="191">
        <f>'Functional Levels Drone Survey'!N76-'Existing Levels Drone Survey'!N76</f>
        <v>0.31534444444440624</v>
      </c>
      <c r="O76" s="191">
        <f>'Functional Levels Drone Survey'!O76-'Existing Levels Drone Survey'!O76</f>
        <v>0.31294444444444025</v>
      </c>
      <c r="P76" s="191">
        <f>'Functional Levels Drone Survey'!P76-'Existing Levels Drone Survey'!P76</f>
        <v>0.2292444444444186</v>
      </c>
      <c r="Q76" s="191">
        <f>'Functional Levels Drone Survey'!Q76-'Existing Levels Drone Survey'!Q76</f>
        <v>0.29384444444440305</v>
      </c>
      <c r="R76" s="191">
        <f>'Functional Levels Drone Survey'!R76-'Existing Levels Drone Survey'!R76</f>
        <v>0.27394444444445298</v>
      </c>
      <c r="S76" s="191">
        <f>'Functional Levels Drone Survey'!S76-'Existing Levels Drone Survey'!S76</f>
        <v>0.27884444444441669</v>
      </c>
      <c r="T76" s="191">
        <f>'Functional Levels Drone Survey'!T76-'Existing Levels Drone Survey'!T76</f>
        <v>0.28724444444441133</v>
      </c>
      <c r="U76" s="191">
        <f>'Functional Levels Drone Survey'!U76-'Existing Levels Drone Survey'!U76</f>
        <v>0.29014444444442233</v>
      </c>
      <c r="V76" s="191">
        <f>'Functional Levels Drone Survey'!V76-'Existing Levels Drone Survey'!V76</f>
        <v>0.29324444444443998</v>
      </c>
      <c r="W76" s="191">
        <f>'Functional Levels Drone Survey'!W76-'Existing Levels Drone Survey'!W76</f>
        <v>0.29594444444444434</v>
      </c>
      <c r="X76" s="191">
        <f>'Functional Levels Drone Survey'!X76-'Existing Levels Drone Survey'!X76</f>
        <v>0.3139444444444166</v>
      </c>
      <c r="Y76" s="279">
        <f>'Functional Levels Drone Survey'!Y76-'Existing Levels Drone Survey'!Y76</f>
        <v>0.31764444444439732</v>
      </c>
      <c r="Z76" s="191">
        <f>'Functional Levels Drone Survey'!Z76-'Existing Levels Drone Survey'!Z76</f>
        <v>-6.4157142857254712E-2</v>
      </c>
      <c r="AA76" s="279">
        <f>'Functional Levels Drone Survey'!AA76-'Existing Levels Drone Survey'!AA76</f>
        <v>-5.9557142857329382E-2</v>
      </c>
      <c r="AB76" s="191">
        <f>'Functional Levels Drone Survey'!AB76-'Existing Levels Drone Survey'!AB76</f>
        <v>-7.7457142857326744E-2</v>
      </c>
      <c r="AC76" s="191">
        <f>'Functional Levels Drone Survey'!AC76-'Existing Levels Drone Survey'!AC76</f>
        <v>-6.8657142857318831E-2</v>
      </c>
      <c r="AD76" s="191">
        <f>'Functional Levels Drone Survey'!AD76-'Existing Levels Drone Survey'!AD76</f>
        <v>-9.9857142857331382E-2</v>
      </c>
      <c r="AE76" s="191">
        <f>'Functional Levels Drone Survey'!AE76-'Existing Levels Drone Survey'!AE76</f>
        <v>-9.0057142857290273E-2</v>
      </c>
      <c r="AF76" s="191">
        <f>'Functional Levels Drone Survey'!AF76-'Existing Levels Drone Survey'!AF76</f>
        <v>-0.14245714285732447</v>
      </c>
      <c r="AG76" s="191">
        <f>'Functional Levels Drone Survey'!AG76-'Existing Levels Drone Survey'!AG76</f>
        <v>-0.12215714285730428</v>
      </c>
      <c r="AH76" s="191">
        <f>'Functional Levels Drone Survey'!AH76-'Existing Levels Drone Survey'!AH76</f>
        <v>-0.15045714285730583</v>
      </c>
      <c r="AI76" s="191">
        <f>'Functional Levels Drone Survey'!AI76-'Existing Levels Drone Survey'!AI76</f>
        <v>-0.19305714285729891</v>
      </c>
      <c r="AJ76" s="191">
        <f>'Functional Levels Drone Survey'!AJ76-'Existing Levels Drone Survey'!AJ76</f>
        <v>-0.16435714285728409</v>
      </c>
      <c r="AK76" s="191">
        <f>'Functional Levels Drone Survey'!AK76-'Existing Levels Drone Survey'!AK76</f>
        <v>-0.17065714285729428</v>
      </c>
      <c r="AL76" s="191">
        <f>'Functional Levels Drone Survey'!AL76-'Existing Levels Drone Survey'!AL76</f>
        <v>-0.21555714285727845</v>
      </c>
      <c r="AM76" s="191">
        <f>'Functional Levels Drone Survey'!AM76-'Existing Levels Drone Survey'!AM76</f>
        <v>-0.19255714285731074</v>
      </c>
      <c r="AN76" s="191">
        <f>'Functional Levels Drone Survey'!AN76-'Existing Levels Drone Survey'!AN76</f>
        <v>-0.20115714285731201</v>
      </c>
      <c r="AO76" s="191">
        <f>'Functional Levels Drone Survey'!AO76-'Existing Levels Drone Survey'!AO76</f>
        <v>-0.21485714285728363</v>
      </c>
      <c r="AP76" s="191">
        <f>'Functional Levels Drone Survey'!AP76-'Existing Levels Drone Survey'!AP76</f>
        <v>-0.22465714285732474</v>
      </c>
      <c r="AQ76" s="191">
        <f>'Functional Levels Drone Survey'!AQ76-'Existing Levels Drone Survey'!AQ76</f>
        <v>-0.19335714285728045</v>
      </c>
      <c r="AR76" s="191">
        <f>'Functional Levels Drone Survey'!AR76-'Existing Levels Drone Survey'!AR76</f>
        <v>-0.22295714285729673</v>
      </c>
      <c r="AS76" s="191">
        <f>'Functional Levels Drone Survey'!AS76-'Existing Levels Drone Survey'!AS76</f>
        <v>-0.26435714285730683</v>
      </c>
      <c r="AT76" s="191">
        <f>'Functional Levels Drone Survey'!AT76-'Existing Levels Drone Survey'!AT76</f>
        <v>-0.13135714285732547</v>
      </c>
      <c r="AU76" s="279">
        <f>'Functional Levels Drone Survey'!AU76-'Existing Levels Drone Survey'!AU76</f>
        <v>-9.815714285730337E-2</v>
      </c>
      <c r="AV76" s="191">
        <f>'Functional Levels Drone Survey'!AV76-'Existing Levels Drone Survey'!AV76</f>
        <v>-0.15975714285730191</v>
      </c>
      <c r="AW76" s="191">
        <f>'Functional Levels Drone Survey'!AW76-'Existing Levels Drone Survey'!AW76</f>
        <v>-0.16550000000000864</v>
      </c>
      <c r="AX76" s="279">
        <f>'Functional Levels Drone Survey'!AX76-'Existing Levels Drone Survey'!AX76</f>
        <v>9.8452380952210206E-2</v>
      </c>
      <c r="AY76" s="191">
        <f>'Functional Levels Drone Survey'!AY76-'Existing Levels Drone Survey'!AY76</f>
        <v>8.155238095224604E-2</v>
      </c>
      <c r="AZ76" s="191">
        <f>'Functional Levels Drone Survey'!AZ76-'Existing Levels Drone Survey'!AZ76</f>
        <v>5.6552380952211934E-2</v>
      </c>
      <c r="BA76" s="191">
        <f>'Functional Levels Drone Survey'!BA76-'Existing Levels Drone Survey'!BA76</f>
        <v>2.8952380952262047E-2</v>
      </c>
      <c r="BB76" s="191">
        <f>'Functional Levels Drone Survey'!BB76-'Existing Levels Drone Survey'!BB76</f>
        <v>-1.4476190477807904E-3</v>
      </c>
      <c r="BC76" s="191">
        <f>'Functional Levels Drone Survey'!BC76-'Existing Levels Drone Survey'!BC76</f>
        <v>3.1523809522582269E-3</v>
      </c>
      <c r="BD76" s="191">
        <f>'Functional Levels Drone Survey'!BD76-'Existing Levels Drone Survey'!BD76</f>
        <v>-1.1547619047746593E-2</v>
      </c>
      <c r="BE76" s="191">
        <f>'Functional Levels Drone Survey'!BE76-'Existing Levels Drone Survey'!BE76</f>
        <v>-3.3447619047763055E-2</v>
      </c>
      <c r="BF76" s="191">
        <f>'Functional Levels Drone Survey'!BF76-'Existing Levels Drone Survey'!BF76</f>
        <v>-5.9476190477880664E-3</v>
      </c>
      <c r="BG76" s="191">
        <f>'Functional Levels Drone Survey'!BG76-'Existing Levels Drone Survey'!BG76</f>
        <v>7.7523809522404008E-3</v>
      </c>
      <c r="BH76" s="191">
        <f>'Functional Levels Drone Survey'!BH76-'Existing Levels Drone Survey'!BH76</f>
        <v>-0.10334761904778134</v>
      </c>
      <c r="BI76" s="191">
        <f>'Functional Levels Drone Survey'!BI76-'Existing Levels Drone Survey'!BI76</f>
        <v>-4.5147619047781973E-2</v>
      </c>
      <c r="BJ76" s="191">
        <f>'Functional Levels Drone Survey'!BJ76-'Existing Levels Drone Survey'!BJ76</f>
        <v>1.2552380952229214E-2</v>
      </c>
      <c r="BK76" s="191">
        <f>'Functional Levels Drone Survey'!BK76-'Existing Levels Drone Survey'!BK76</f>
        <v>4.7352380952247586E-2</v>
      </c>
      <c r="BL76" s="191">
        <f>'Functional Levels Drone Survey'!BL76-'Existing Levels Drone Survey'!BL76</f>
        <v>6.7652380952210933E-2</v>
      </c>
      <c r="BM76" s="191">
        <f>'Functional Levels Drone Survey'!BM76-'Existing Levels Drone Survey'!BM76</f>
        <v>8.7652380952249587E-2</v>
      </c>
      <c r="BN76" s="191">
        <f>'Functional Levels Drone Survey'!BN76-'Existing Levels Drone Survey'!BN76</f>
        <v>0.10255238095226105</v>
      </c>
      <c r="BO76" s="191">
        <f>'Functional Levels Drone Survey'!BO76-'Existing Levels Drone Survey'!BO76</f>
        <v>-0.11654761904776478</v>
      </c>
      <c r="BP76" s="191">
        <f>'Functional Levels Drone Survey'!BP76-'Existing Levels Drone Survey'!BP76</f>
        <v>0.12235238095223622</v>
      </c>
      <c r="BQ76" s="191">
        <f>'Functional Levels Drone Survey'!BQ76-'Existing Levels Drone Survey'!BQ76</f>
        <v>0.18035238095222894</v>
      </c>
      <c r="BR76" s="279">
        <f>'Functional Levels Drone Survey'!BR76-'Existing Levels Drone Survey'!BR76</f>
        <v>0.26445238095220702</v>
      </c>
      <c r="BS76" s="191">
        <f>'Functional Levels Drone Survey'!BS76-'Existing Levels Drone Survey'!BS76</f>
        <v>0.11536818181826902</v>
      </c>
      <c r="BT76" s="191">
        <f>'Functional Levels Drone Survey'!BT76-'Existing Levels Drone Survey'!BT76</f>
        <v>5.4168181818283756E-2</v>
      </c>
      <c r="BU76" s="191">
        <f>'Functional Levels Drone Survey'!BU76-'Existing Levels Drone Survey'!BU76</f>
        <v>4.7768181818298672E-2</v>
      </c>
      <c r="BV76" s="191">
        <f>'Functional Levels Drone Survey'!BV76-'Existing Levels Drone Survey'!BV76</f>
        <v>7.3968181818258927E-2</v>
      </c>
      <c r="BW76" s="191">
        <f>'Functional Levels Drone Survey'!BW76-'Existing Levels Drone Survey'!BW76</f>
        <v>3.7768181818307767E-2</v>
      </c>
      <c r="BX76" s="191">
        <f>'Functional Levels Drone Survey'!BX76-'Existing Levels Drone Survey'!BX76</f>
        <v>-0.25203181818170606</v>
      </c>
      <c r="BY76" s="191">
        <f>'Functional Levels Drone Survey'!BY76-'Existing Levels Drone Survey'!BY76</f>
        <v>-0.40383181818174307</v>
      </c>
      <c r="BZ76" s="191">
        <f>'Functional Levels Drone Survey'!BZ76-'Existing Levels Drone Survey'!BZ76</f>
        <v>0.13516818181830104</v>
      </c>
      <c r="CA76" s="191">
        <f>'Functional Levels Drone Survey'!CA76-'Existing Levels Drone Survey'!CA76</f>
        <v>0.13656818181829067</v>
      </c>
      <c r="CB76" s="191">
        <f>'Functional Levels Drone Survey'!CB76-'Existing Levels Drone Survey'!CB76</f>
        <v>0.13916818181826329</v>
      </c>
      <c r="CC76" s="191">
        <f>'Functional Levels Drone Survey'!CC76-'Existing Levels Drone Survey'!CC76</f>
        <v>0.16646818181828849</v>
      </c>
      <c r="CD76" s="191">
        <f>'Functional Levels Drone Survey'!CD76-'Existing Levels Drone Survey'!CD76</f>
        <v>0.19066818181829603</v>
      </c>
      <c r="CE76" s="191">
        <f>'Functional Levels Drone Survey'!CE76-'Existing Levels Drone Survey'!CE76</f>
        <v>0.16096818181830486</v>
      </c>
      <c r="CF76" s="191">
        <f>'Functional Levels Drone Survey'!CF76-'Existing Levels Drone Survey'!CF76</f>
        <v>0.14996818181828075</v>
      </c>
      <c r="CG76" s="191">
        <f>'Functional Levels Drone Survey'!CG76-'Existing Levels Drone Survey'!CG76</f>
        <v>0.22186818181830859</v>
      </c>
      <c r="CH76" s="191">
        <f>'Functional Levels Drone Survey'!CH76-'Existing Levels Drone Survey'!CH76</f>
        <v>0.21096818181825938</v>
      </c>
      <c r="CI76" s="191">
        <f>'Functional Levels Drone Survey'!CI76-'Existing Levels Drone Survey'!CI76</f>
        <v>0.21306818181830067</v>
      </c>
      <c r="CJ76" s="191">
        <f>'Functional Levels Drone Survey'!CJ76-'Existing Levels Drone Survey'!CJ76</f>
        <v>0.18556818181826884</v>
      </c>
      <c r="CK76" s="191">
        <f>'Functional Levels Drone Survey'!CK76-'Existing Levels Drone Survey'!CK76</f>
        <v>0.15946818181828348</v>
      </c>
      <c r="CL76" s="191">
        <f>'Functional Levels Drone Survey'!CL76-'Existing Levels Drone Survey'!CL76</f>
        <v>9.8268181818298217E-2</v>
      </c>
      <c r="CM76" s="278">
        <f>'Functional Levels Drone Survey'!CM76-'Existing Levels Drone Survey'!CM76</f>
        <v>0.10326818181829367</v>
      </c>
      <c r="CN76" s="278">
        <f>'Functional Levels Drone Survey'!CN76-'Existing Levels Drone Survey'!CN76</f>
        <v>-4.7318181817104232E-3</v>
      </c>
      <c r="CO76" s="278">
        <f>'Functional Levels Drone Survey'!CO76-'Existing Levels Drone Survey'!CO76</f>
        <v>-5.1731818181735889E-2</v>
      </c>
      <c r="CP76" s="278">
        <f>'Functional Levels Drone Survey'!CP76-'Existing Levels Drone Survey'!CP76</f>
        <v>-0.16953181818172425</v>
      </c>
      <c r="CQ76" s="278">
        <f>'Functional Levels Drone Survey'!CQ76-'Existing Levels Drone Survey'!CQ76</f>
        <v>-0.40847619047599437</v>
      </c>
      <c r="CR76" s="278">
        <f>'Functional Levels Drone Survey'!CR76-'Existing Levels Drone Survey'!CR76</f>
        <v>-0.2595761904760252</v>
      </c>
      <c r="CS76" s="278">
        <f>'Functional Levels Drone Survey'!CS76-'Existing Levels Drone Survey'!CS76</f>
        <v>-0.19147619047600983</v>
      </c>
      <c r="CT76" s="278">
        <f>'Functional Levels Drone Survey'!CT76-'Existing Levels Drone Survey'!CT76</f>
        <v>0.28142380952397161</v>
      </c>
      <c r="CU76" s="278">
        <f>'Functional Levels Drone Survey'!CU76-'Existing Levels Drone Survey'!CU76</f>
        <v>0.26172380952397134</v>
      </c>
      <c r="CV76" s="278">
        <f>'Functional Levels Drone Survey'!CV76-'Existing Levels Drone Survey'!CV76</f>
        <v>0.19542380952395888</v>
      </c>
      <c r="CW76" s="278">
        <f>'Functional Levels Drone Survey'!CW76-'Existing Levels Drone Survey'!CW76</f>
        <v>0.17422380952399408</v>
      </c>
      <c r="CX76" s="278">
        <f>'Functional Levels Drone Survey'!CX76-'Existing Levels Drone Survey'!CX76</f>
        <v>0.10332380952399944</v>
      </c>
      <c r="CY76" s="278">
        <f>'Functional Levels Drone Survey'!CY76-'Existing Levels Drone Survey'!CY76</f>
        <v>9.4023809524003354E-2</v>
      </c>
      <c r="CZ76" s="278">
        <f>'Functional Levels Drone Survey'!CZ76-'Existing Levels Drone Survey'!CZ76</f>
        <v>6.3423809524010721E-2</v>
      </c>
      <c r="DA76" s="278">
        <f>'Functional Levels Drone Survey'!DA76-'Existing Levels Drone Survey'!DA76</f>
        <v>0.14772380952399544</v>
      </c>
      <c r="DB76" s="278">
        <f>'Functional Levels Drone Survey'!DB76-'Existing Levels Drone Survey'!DB76</f>
        <v>-1.4276190476039119E-2</v>
      </c>
      <c r="DC76" s="278">
        <f>'Functional Levels Drone Survey'!DC76-'Existing Levels Drone Survey'!DC76</f>
        <v>-1.8876190476021293E-2</v>
      </c>
      <c r="DD76" s="278">
        <f>'Functional Levels Drone Survey'!DD76-'Existing Levels Drone Survey'!DD76</f>
        <v>-0.28667619047598691</v>
      </c>
      <c r="DE76" s="278">
        <f>'Functional Levels Drone Survey'!DE76-'Existing Levels Drone Survey'!DE76</f>
        <v>-0.37477619047604094</v>
      </c>
      <c r="DF76" s="278">
        <f>'Functional Levels Drone Survey'!DF76-'Existing Levels Drone Survey'!DF76</f>
        <v>-0.52157619047602566</v>
      </c>
      <c r="DG76" s="278">
        <f>'Functional Levels Drone Survey'!DG76-'Existing Levels Drone Survey'!DG76</f>
        <v>-0.45457619047601838</v>
      </c>
      <c r="DH76" s="191">
        <f>'Functional Levels Drone Survey'!DH76-'Existing Levels Drone Survey'!DH76</f>
        <v>263.66452380952398</v>
      </c>
      <c r="DI76" s="191">
        <f>'Functional Levels Drone Survey'!DI76-'Existing Levels Drone Survey'!DI76</f>
        <v>263.66452380952398</v>
      </c>
      <c r="DJ76" s="191">
        <f>'Functional Levels Drone Survey'!DJ76-'Existing Levels Drone Survey'!DJ76</f>
        <v>263.66452380952398</v>
      </c>
      <c r="DK76" s="191">
        <f>'Functional Levels Drone Survey'!DK76-'Existing Levels Drone Survey'!DK76</f>
        <v>263.66452380952398</v>
      </c>
      <c r="DL76" s="191">
        <f>'Functional Levels Drone Survey'!DL76-'Existing Levels Drone Survey'!DL76</f>
        <v>0</v>
      </c>
      <c r="DM76" s="278">
        <f>'Functional Levels Drone Survey'!DM76-'Existing Levels Drone Survey'!DM76</f>
        <v>-0.70687619047606631</v>
      </c>
      <c r="DN76" s="278">
        <f>'Functional Levels Drone Survey'!DN76-'Existing Levels Drone Survey'!DN76</f>
        <v>-0.58567619047607877</v>
      </c>
      <c r="DO76" s="278">
        <f>'Functional Levels Drone Survey'!DO76-'Existing Levels Drone Survey'!DO76</f>
        <v>-0.61627619047607141</v>
      </c>
      <c r="DP76" s="278">
        <f>'Functional Levels Drone Survey'!DP76-'Existing Levels Drone Survey'!DP76</f>
        <v>-0.5397761904760614</v>
      </c>
      <c r="DQ76" s="278">
        <f>'Functional Levels Drone Survey'!DQ76-'Existing Levels Drone Survey'!DQ76</f>
        <v>-0.36967619047607059</v>
      </c>
      <c r="DR76" s="278">
        <f>'Functional Levels Drone Survey'!DR76-'Existing Levels Drone Survey'!DR76</f>
        <v>-0.40707619047606158</v>
      </c>
      <c r="DS76" s="278">
        <f>'Functional Levels Drone Survey'!DS76-'Existing Levels Drone Survey'!DS76</f>
        <v>-0.57517619047609969</v>
      </c>
      <c r="DT76" s="278">
        <f>'Functional Levels Drone Survey'!DT76-'Existing Levels Drone Survey'!DT76</f>
        <v>-0.4005761904761016</v>
      </c>
      <c r="DU76" s="278">
        <f>'Functional Levels Drone Survey'!DU76-'Existing Levels Drone Survey'!DU76</f>
        <v>-0.5063761904760895</v>
      </c>
      <c r="DV76" s="278">
        <f>'Functional Levels Drone Survey'!DV76-'Existing Levels Drone Survey'!DV76</f>
        <v>-0.83567619047607877</v>
      </c>
      <c r="DW76" s="278">
        <f>'Functional Levels Drone Survey'!DW76-'Existing Levels Drone Survey'!DW76</f>
        <v>-0.64417619047605967</v>
      </c>
      <c r="DX76" s="278">
        <f>'Functional Levels Drone Survey'!DX76-'Existing Levels Drone Survey'!DX76</f>
        <v>-0.57267619047610197</v>
      </c>
      <c r="DY76" s="278">
        <f>'Functional Levels Drone Survey'!DY76-'Existing Levels Drone Survey'!DY76</f>
        <v>-0.66357619047607841</v>
      </c>
      <c r="DZ76" s="278">
        <f>'Functional Levels Drone Survey'!DZ76-'Existing Levels Drone Survey'!DZ76</f>
        <v>-0.22107619047608296</v>
      </c>
      <c r="EA76" s="191">
        <f>'Functional Levels Drone Survey'!EA76-'Existing Levels Drone Survey'!EA76</f>
        <v>0</v>
      </c>
      <c r="EB76" s="191">
        <f>'Functional Levels Drone Survey'!EB76-'Existing Levels Drone Survey'!EB76</f>
        <v>0</v>
      </c>
      <c r="EC76" s="191">
        <f>'Functional Levels Drone Survey'!EC76-'Existing Levels Drone Survey'!EC76</f>
        <v>0</v>
      </c>
      <c r="ED76" s="191">
        <f>'Functional Levels Drone Survey'!ED76-'Existing Levels Drone Survey'!ED76</f>
        <v>0</v>
      </c>
      <c r="EE76" s="191">
        <f>'Functional Levels Drone Survey'!EE76-'Existing Levels Drone Survey'!EE76</f>
        <v>0</v>
      </c>
      <c r="EF76" s="191">
        <f>'Functional Levels Drone Survey'!EF76-'Existing Levels Drone Survey'!EF76</f>
        <v>0</v>
      </c>
      <c r="EG76" s="191">
        <f>'Functional Levels Drone Survey'!EG76-'Existing Levels Drone Survey'!EG76</f>
        <v>0</v>
      </c>
      <c r="EH76" s="191">
        <f>'Functional Levels Drone Survey'!EH76-'Existing Levels Drone Survey'!EH76</f>
        <v>0</v>
      </c>
      <c r="EI76" s="191">
        <f>'Functional Levels Drone Survey'!EI76-'Existing Levels Drone Survey'!EI76</f>
        <v>0</v>
      </c>
      <c r="EJ76" s="191">
        <f>'Functional Levels Drone Survey'!EJ76-'Existing Levels Drone Survey'!EJ76</f>
        <v>0</v>
      </c>
      <c r="EK76" s="191">
        <f>'Functional Levels Drone Survey'!EK76-'Existing Levels Drone Survey'!EK76</f>
        <v>0</v>
      </c>
      <c r="EL76" s="191">
        <f>'Functional Levels Drone Survey'!EL76-'Existing Levels Drone Survey'!EL76</f>
        <v>0</v>
      </c>
      <c r="EM76" s="191">
        <f>'Functional Levels Drone Survey'!EM76-'Existing Levels Drone Survey'!EM76</f>
        <v>0</v>
      </c>
      <c r="EN76" s="191">
        <f>'Functional Levels Drone Survey'!EN76-'Existing Levels Drone Survey'!EN76</f>
        <v>0</v>
      </c>
      <c r="EO76" s="191">
        <f>'Functional Levels Drone Survey'!EO76-'Existing Levels Drone Survey'!EO76</f>
        <v>0</v>
      </c>
      <c r="EP76" s="191">
        <f>'Functional Levels Drone Survey'!EP76-'Existing Levels Drone Survey'!EP76</f>
        <v>0</v>
      </c>
      <c r="EQ76" s="191">
        <f>'Functional Levels Drone Survey'!EQ76-'Existing Levels Drone Survey'!EQ76</f>
        <v>0</v>
      </c>
      <c r="ER76" s="191">
        <f>'Functional Levels Drone Survey'!ER76-'Existing Levels Drone Survey'!ER76</f>
        <v>0</v>
      </c>
      <c r="ES76" s="191">
        <f>'Functional Levels Drone Survey'!ES76-'Existing Levels Drone Survey'!ES76</f>
        <v>0</v>
      </c>
      <c r="ET76" s="191">
        <f>'Functional Levels Drone Survey'!ET76-'Existing Levels Drone Survey'!ET76</f>
        <v>0</v>
      </c>
      <c r="EU76" s="191">
        <f>'Functional Levels Drone Survey'!EU76-'Existing Levels Drone Survey'!EU76</f>
        <v>0</v>
      </c>
      <c r="EV76" s="191">
        <f>'Functional Levels Drone Survey'!EV76-'Existing Levels Drone Survey'!EV76</f>
        <v>0</v>
      </c>
      <c r="EW76" s="191">
        <f>'Functional Levels Drone Survey'!EW76-'Existing Levels Drone Survey'!EW76</f>
        <v>0</v>
      </c>
      <c r="EX76" s="191">
        <f>'Functional Levels Drone Survey'!EX76-'Existing Levels Drone Survey'!EX76</f>
        <v>0</v>
      </c>
      <c r="EY76" s="191">
        <f>'Functional Levels Drone Survey'!EY76-'Existing Levels Drone Survey'!EY76</f>
        <v>0</v>
      </c>
    </row>
    <row r="77" spans="1:155" ht="45" customHeight="1" x14ac:dyDescent="0.45">
      <c r="A77" s="277">
        <v>380</v>
      </c>
      <c r="B77" s="191">
        <f>'Functional Levels Drone Survey'!B77-'Existing Levels Drone Survey'!B77</f>
        <v>0</v>
      </c>
      <c r="C77" s="191">
        <f>'Functional Levels Drone Survey'!C77-'Existing Levels Drone Survey'!C77</f>
        <v>0</v>
      </c>
      <c r="D77" s="191">
        <f>'Functional Levels Drone Survey'!D77-'Existing Levels Drone Survey'!D77</f>
        <v>0</v>
      </c>
      <c r="E77" s="191">
        <f>'Functional Levels Drone Survey'!E77-'Existing Levels Drone Survey'!E77</f>
        <v>0</v>
      </c>
      <c r="F77" s="278">
        <f>'Functional Levels Drone Survey'!F77-'Existing Levels Drone Survey'!F77</f>
        <v>3.4444444444375222E-2</v>
      </c>
      <c r="G77" s="191">
        <f>'Functional Levels Drone Survey'!G77-'Existing Levels Drone Survey'!G77</f>
        <v>0.22294444444440842</v>
      </c>
      <c r="H77" s="279">
        <f>'Functional Levels Drone Survey'!H77-'Existing Levels Drone Survey'!H77</f>
        <v>0.35394444444443707</v>
      </c>
      <c r="I77" s="191">
        <f>'Functional Levels Drone Survey'!I77-'Existing Levels Drone Survey'!I77</f>
        <v>0.33404444444443016</v>
      </c>
      <c r="J77" s="191">
        <f>'Functional Levels Drone Survey'!J77-'Existing Levels Drone Survey'!J77</f>
        <v>0.31744444444439068</v>
      </c>
      <c r="K77" s="191">
        <f>'Functional Levels Drone Survey'!K77-'Existing Levels Drone Survey'!K77</f>
        <v>0.3181444444443855</v>
      </c>
      <c r="L77" s="191">
        <f>'Functional Levels Drone Survey'!L77-'Existing Levels Drone Survey'!L77</f>
        <v>0.29784444444442215</v>
      </c>
      <c r="M77" s="191">
        <f>'Functional Levels Drone Survey'!M77-'Existing Levels Drone Survey'!M77</f>
        <v>0.27914444444439823</v>
      </c>
      <c r="N77" s="191">
        <f>'Functional Levels Drone Survey'!N77-'Existing Levels Drone Survey'!N77</f>
        <v>0.25514444444439732</v>
      </c>
      <c r="O77" s="191">
        <f>'Functional Levels Drone Survey'!O77-'Existing Levels Drone Survey'!O77</f>
        <v>0.22024444444440405</v>
      </c>
      <c r="P77" s="191">
        <f>'Functional Levels Drone Survey'!P77-'Existing Levels Drone Survey'!P77</f>
        <v>0.15384444444441669</v>
      </c>
      <c r="Q77" s="191">
        <f>'Functional Levels Drone Survey'!Q77-'Existing Levels Drone Survey'!Q77</f>
        <v>0.23384444444440078</v>
      </c>
      <c r="R77" s="191">
        <f>'Functional Levels Drone Survey'!R77-'Existing Levels Drone Survey'!R77</f>
        <v>0.23104444444442152</v>
      </c>
      <c r="S77" s="191">
        <f>'Functional Levels Drone Survey'!S77-'Existing Levels Drone Survey'!S77</f>
        <v>0.22874444444443043</v>
      </c>
      <c r="T77" s="191">
        <f>'Functional Levels Drone Survey'!T77-'Existing Levels Drone Survey'!T77</f>
        <v>0.22164444444439368</v>
      </c>
      <c r="U77" s="191">
        <f>'Functional Levels Drone Survey'!U77-'Existing Levels Drone Survey'!U77</f>
        <v>0.22134444444441215</v>
      </c>
      <c r="V77" s="191">
        <f>'Functional Levels Drone Survey'!V77-'Existing Levels Drone Survey'!V77</f>
        <v>0.21994444444442252</v>
      </c>
      <c r="W77" s="191">
        <f>'Functional Levels Drone Survey'!W77-'Existing Levels Drone Survey'!W77</f>
        <v>0.22374444444443498</v>
      </c>
      <c r="X77" s="191">
        <f>'Functional Levels Drone Survey'!X77-'Existing Levels Drone Survey'!X77</f>
        <v>0.22954444444440014</v>
      </c>
      <c r="Y77" s="279">
        <f>'Functional Levels Drone Survey'!Y77-'Existing Levels Drone Survey'!Y77</f>
        <v>0.24834444444439896</v>
      </c>
      <c r="Z77" s="191">
        <f>'Functional Levels Drone Survey'!Z77-'Existing Levels Drone Survey'!Z77</f>
        <v>-0.13825714285724189</v>
      </c>
      <c r="AA77" s="279">
        <f>'Functional Levels Drone Survey'!AA77-'Existing Levels Drone Survey'!AA77</f>
        <v>-0.12605714285729164</v>
      </c>
      <c r="AB77" s="279">
        <f>'Functional Levels Drone Survey'!AB77-'Existing Levels Drone Survey'!AB77</f>
        <v>-0.12865714285732111</v>
      </c>
      <c r="AC77" s="279">
        <f>'Functional Levels Drone Survey'!AC77-'Existing Levels Drone Survey'!AC77</f>
        <v>-0.18625714285730055</v>
      </c>
      <c r="AD77" s="279">
        <f>'Functional Levels Drone Survey'!AD77-'Existing Levels Drone Survey'!AD77</f>
        <v>-0.12905714285733438</v>
      </c>
      <c r="AE77" s="279">
        <f>'Functional Levels Drone Survey'!AE77-'Existing Levels Drone Survey'!AE77</f>
        <v>-0.16975714285729282</v>
      </c>
      <c r="AF77" s="279">
        <f>'Functional Levels Drone Survey'!AF77-'Existing Levels Drone Survey'!AF77</f>
        <v>-0.18995714285733811</v>
      </c>
      <c r="AG77" s="279">
        <f>'Functional Levels Drone Survey'!AG77-'Existing Levels Drone Survey'!AG77</f>
        <v>-0.17465714285731337</v>
      </c>
      <c r="AH77" s="279">
        <f>'Functional Levels Drone Survey'!AH77-'Existing Levels Drone Survey'!AH77</f>
        <v>-0.20915714285729337</v>
      </c>
      <c r="AI77" s="279">
        <f>'Functional Levels Drone Survey'!AI77-'Existing Levels Drone Survey'!AI77</f>
        <v>-0.23235714285732456</v>
      </c>
      <c r="AJ77" s="279">
        <f>'Functional Levels Drone Survey'!AJ77-'Existing Levels Drone Survey'!AJ77</f>
        <v>-0.21065714285731474</v>
      </c>
      <c r="AK77" s="279">
        <f>'Functional Levels Drone Survey'!AK77-'Existing Levels Drone Survey'!AK77</f>
        <v>-0.15165714285728882</v>
      </c>
      <c r="AL77" s="279">
        <f>'Functional Levels Drone Survey'!AL77-'Existing Levels Drone Survey'!AL77</f>
        <v>-0.19375714285729373</v>
      </c>
      <c r="AM77" s="279">
        <f>'Functional Levels Drone Survey'!AM77-'Existing Levels Drone Survey'!AM77</f>
        <v>-0.25085714285734184</v>
      </c>
      <c r="AN77" s="279">
        <f>'Functional Levels Drone Survey'!AN77-'Existing Levels Drone Survey'!AN77</f>
        <v>-0.24565714285733975</v>
      </c>
      <c r="AO77" s="279">
        <f>'Functional Levels Drone Survey'!AO77-'Existing Levels Drone Survey'!AO77</f>
        <v>-0.24625714285730282</v>
      </c>
      <c r="AP77" s="279">
        <f>'Functional Levels Drone Survey'!AP77-'Existing Levels Drone Survey'!AP77</f>
        <v>-0.23815714285728973</v>
      </c>
      <c r="AQ77" s="279">
        <f>'Functional Levels Drone Survey'!AQ77-'Existing Levels Drone Survey'!AQ77</f>
        <v>-0.29025714285734239</v>
      </c>
      <c r="AR77" s="279">
        <f>'Functional Levels Drone Survey'!AR77-'Existing Levels Drone Survey'!AR77</f>
        <v>-0.29165714285733202</v>
      </c>
      <c r="AS77" s="279">
        <f>'Functional Levels Drone Survey'!AS77-'Existing Levels Drone Survey'!AS77</f>
        <v>-0.32225714285732465</v>
      </c>
      <c r="AT77" s="279">
        <f>'Functional Levels Drone Survey'!AT77-'Existing Levels Drone Survey'!AT77</f>
        <v>-0.22515714285731292</v>
      </c>
      <c r="AU77" s="279">
        <f>'Functional Levels Drone Survey'!AU77-'Existing Levels Drone Survey'!AU77</f>
        <v>-0.20065714285732383</v>
      </c>
      <c r="AV77" s="191">
        <f>'Functional Levels Drone Survey'!AV77-'Existing Levels Drone Survey'!AV77</f>
        <v>-0.25785714285734684</v>
      </c>
      <c r="AW77" s="191">
        <f>'Functional Levels Drone Survey'!AW77-'Existing Levels Drone Survey'!AW77</f>
        <v>-0.23140000000000782</v>
      </c>
      <c r="AX77" s="279">
        <f>'Functional Levels Drone Survey'!AX77-'Existing Levels Drone Survey'!AX77</f>
        <v>4.0752380952199019E-2</v>
      </c>
      <c r="AY77" s="191">
        <f>'Functional Levels Drone Survey'!AY77-'Existing Levels Drone Survey'!AY77</f>
        <v>2.085238095224895E-2</v>
      </c>
      <c r="AZ77" s="191">
        <f>'Functional Levels Drone Survey'!AZ77-'Existing Levels Drone Survey'!AZ77</f>
        <v>2.2852380952201656E-2</v>
      </c>
      <c r="BA77" s="191">
        <f>'Functional Levels Drone Survey'!BA77-'Existing Levels Drone Survey'!BA77</f>
        <v>-1.9847619047766329E-2</v>
      </c>
      <c r="BB77" s="191">
        <f>'Functional Levels Drone Survey'!BB77-'Existing Levels Drone Survey'!BB77</f>
        <v>-3.6847619047762237E-2</v>
      </c>
      <c r="BC77" s="191">
        <f>'Functional Levels Drone Survey'!BC77-'Existing Levels Drone Survey'!BC77</f>
        <v>-5.7047619047750686E-2</v>
      </c>
      <c r="BD77" s="191">
        <f>'Functional Levels Drone Survey'!BD77-'Existing Levels Drone Survey'!BD77</f>
        <v>-7.2447619047750322E-2</v>
      </c>
      <c r="BE77" s="191">
        <f>'Functional Levels Drone Survey'!BE77-'Existing Levels Drone Survey'!BE77</f>
        <v>-9.8047619047804346E-2</v>
      </c>
      <c r="BF77" s="191">
        <f>'Functional Levels Drone Survey'!BF77-'Existing Levels Drone Survey'!BF77</f>
        <v>-8.6647619047766966E-2</v>
      </c>
      <c r="BG77" s="191">
        <f>'Functional Levels Drone Survey'!BG77-'Existing Levels Drone Survey'!BG77</f>
        <v>-5.0647619047765602E-2</v>
      </c>
      <c r="BH77" s="191">
        <f>'Functional Levels Drone Survey'!BH77-'Existing Levels Drone Survey'!BH77</f>
        <v>-7.8747619047760509E-2</v>
      </c>
      <c r="BI77" s="191">
        <f>'Functional Levels Drone Survey'!BI77-'Existing Levels Drone Survey'!BI77</f>
        <v>-6.8247619047781427E-2</v>
      </c>
      <c r="BJ77" s="191">
        <f>'Functional Levels Drone Survey'!BJ77-'Existing Levels Drone Survey'!BJ77</f>
        <v>-5.684761904780089E-2</v>
      </c>
      <c r="BK77" s="191">
        <f>'Functional Levels Drone Survey'!BK77-'Existing Levels Drone Survey'!BK77</f>
        <v>-2.4047619047792068E-2</v>
      </c>
      <c r="BL77" s="191">
        <f>'Functional Levels Drone Survey'!BL77-'Existing Levels Drone Survey'!BL77</f>
        <v>-4.0476190477534146E-3</v>
      </c>
      <c r="BM77" s="191">
        <f>'Functional Levels Drone Survey'!BM77-'Existing Levels Drone Survey'!BM77</f>
        <v>1.5552380952215117E-2</v>
      </c>
      <c r="BN77" s="191">
        <f>'Functional Levels Drone Survey'!BN77-'Existing Levels Drone Survey'!BN77</f>
        <v>-2.54476190477817E-2</v>
      </c>
      <c r="BO77" s="191">
        <f>'Functional Levels Drone Survey'!BO77-'Existing Levels Drone Survey'!BO77</f>
        <v>-0.17214761904779152</v>
      </c>
      <c r="BP77" s="191">
        <f>'Functional Levels Drone Survey'!BP77-'Existing Levels Drone Survey'!BP77</f>
        <v>5.7652380952220028E-2</v>
      </c>
      <c r="BQ77" s="191">
        <f>'Functional Levels Drone Survey'!BQ77-'Existing Levels Drone Survey'!BQ77</f>
        <v>0.17335238095222394</v>
      </c>
      <c r="BR77" s="279">
        <f>'Functional Levels Drone Survey'!BR77-'Existing Levels Drone Survey'!BR77</f>
        <v>0.15075238095221266</v>
      </c>
      <c r="BS77" s="191">
        <f>'Functional Levels Drone Survey'!BS77-'Existing Levels Drone Survey'!BS77</f>
        <v>5.7681818182686584E-3</v>
      </c>
      <c r="BT77" s="191">
        <f>'Functional Levels Drone Survey'!BT77-'Existing Levels Drone Survey'!BT77</f>
        <v>2.8468181818254834E-2</v>
      </c>
      <c r="BU77" s="191">
        <f>'Functional Levels Drone Survey'!BU77-'Existing Levels Drone Survey'!BU77</f>
        <v>3.3968181818295307E-2</v>
      </c>
      <c r="BV77" s="191">
        <f>'Functional Levels Drone Survey'!BV77-'Existing Levels Drone Survey'!BV77</f>
        <v>2.206818181826975E-2</v>
      </c>
      <c r="BW77" s="191">
        <f>'Functional Levels Drone Survey'!BW77-'Existing Levels Drone Survey'!BW77</f>
        <v>3.7368181818294488E-2</v>
      </c>
      <c r="BX77" s="191">
        <f>'Functional Levels Drone Survey'!BX77-'Existing Levels Drone Survey'!BX77</f>
        <v>-0.24153181818172698</v>
      </c>
      <c r="BY77" s="278">
        <f>'Functional Levels Drone Survey'!BY77-'Existing Levels Drone Survey'!BY77</f>
        <v>-1.0387318181817022</v>
      </c>
      <c r="BZ77" s="278">
        <f>'Functional Levels Drone Survey'!BZ77-'Existing Levels Drone Survey'!BZ77</f>
        <v>-0.32643181818173161</v>
      </c>
      <c r="CA77" s="278">
        <f>'Functional Levels Drone Survey'!CA77-'Existing Levels Drone Survey'!CA77</f>
        <v>-3.5431818181734798E-2</v>
      </c>
      <c r="CB77" s="278">
        <f>'Functional Levels Drone Survey'!CB77-'Existing Levels Drone Survey'!CB77</f>
        <v>-0.15143181818172025</v>
      </c>
      <c r="CC77" s="278">
        <f>'Functional Levels Drone Survey'!CC77-'Existing Levels Drone Survey'!CC77</f>
        <v>-6.2131818181740073E-2</v>
      </c>
      <c r="CD77" s="278">
        <f>'Functional Levels Drone Survey'!CD77-'Existing Levels Drone Survey'!CD77</f>
        <v>7.016818181830331E-2</v>
      </c>
      <c r="CE77" s="278">
        <f>'Functional Levels Drone Survey'!CE77-'Existing Levels Drone Survey'!CE77</f>
        <v>0.11226818181830822</v>
      </c>
      <c r="CF77" s="278">
        <f>'Functional Levels Drone Survey'!CF77-'Existing Levels Drone Survey'!CF77</f>
        <v>-0.3510318181816956</v>
      </c>
      <c r="CG77" s="278">
        <f>'Functional Levels Drone Survey'!CG77-'Existing Levels Drone Survey'!CG77</f>
        <v>0.10716818181828103</v>
      </c>
      <c r="CH77" s="278">
        <f>'Functional Levels Drone Survey'!CH77-'Existing Levels Drone Survey'!CH77</f>
        <v>0.1531681818182733</v>
      </c>
      <c r="CI77" s="278">
        <f>'Functional Levels Drone Survey'!CI77-'Existing Levels Drone Survey'!CI77</f>
        <v>8.7268181818274115E-2</v>
      </c>
      <c r="CJ77" s="278">
        <f>'Functional Levels Drone Survey'!CJ77-'Existing Levels Drone Survey'!CJ77</f>
        <v>0.14626818181830004</v>
      </c>
      <c r="CK77" s="278">
        <f>'Functional Levels Drone Survey'!CK77-'Existing Levels Drone Survey'!CK77</f>
        <v>0.14526818181826684</v>
      </c>
      <c r="CL77" s="278">
        <f>'Functional Levels Drone Survey'!CL77-'Existing Levels Drone Survey'!CL77</f>
        <v>3.9368181818304038E-2</v>
      </c>
      <c r="CM77" s="191">
        <f>'Functional Levels Drone Survey'!CM77-'Existing Levels Drone Survey'!CM77</f>
        <v>0</v>
      </c>
      <c r="CN77" s="191">
        <f>'Functional Levels Drone Survey'!CN77-'Existing Levels Drone Survey'!CN77</f>
        <v>0</v>
      </c>
      <c r="CO77" s="191">
        <f>'Functional Levels Drone Survey'!CO77-'Existing Levels Drone Survey'!CO77</f>
        <v>0</v>
      </c>
      <c r="CP77" s="191">
        <f>'Functional Levels Drone Survey'!CP77-'Existing Levels Drone Survey'!CP77</f>
        <v>0</v>
      </c>
      <c r="CQ77" s="191">
        <f>'Functional Levels Drone Survey'!CQ77-'Existing Levels Drone Survey'!CQ77</f>
        <v>0</v>
      </c>
      <c r="CR77" s="191">
        <f>'Functional Levels Drone Survey'!CR77-'Existing Levels Drone Survey'!CR77</f>
        <v>0</v>
      </c>
      <c r="CS77" s="191">
        <f>'Functional Levels Drone Survey'!CS77-'Existing Levels Drone Survey'!CS77</f>
        <v>0</v>
      </c>
      <c r="CT77" s="191">
        <f>'Functional Levels Drone Survey'!CT77-'Existing Levels Drone Survey'!CT77</f>
        <v>0</v>
      </c>
      <c r="CU77" s="191">
        <f>'Functional Levels Drone Survey'!CU77-'Existing Levels Drone Survey'!CU77</f>
        <v>0</v>
      </c>
      <c r="CV77" s="191">
        <f>'Functional Levels Drone Survey'!CV77-'Existing Levels Drone Survey'!CV77</f>
        <v>0</v>
      </c>
      <c r="CW77" s="191">
        <f>'Functional Levels Drone Survey'!CW77-'Existing Levels Drone Survey'!CW77</f>
        <v>0</v>
      </c>
      <c r="CX77" s="191">
        <f>'Functional Levels Drone Survey'!CX77-'Existing Levels Drone Survey'!CX77</f>
        <v>0</v>
      </c>
      <c r="CY77" s="191">
        <f>'Functional Levels Drone Survey'!CY77-'Existing Levels Drone Survey'!CY77</f>
        <v>0</v>
      </c>
      <c r="CZ77" s="191">
        <f>'Functional Levels Drone Survey'!CZ77-'Existing Levels Drone Survey'!CZ77</f>
        <v>0</v>
      </c>
      <c r="DA77" s="191">
        <f>'Functional Levels Drone Survey'!DA77-'Existing Levels Drone Survey'!DA77</f>
        <v>0</v>
      </c>
      <c r="DB77" s="191">
        <f>'Functional Levels Drone Survey'!DB77-'Existing Levels Drone Survey'!DB77</f>
        <v>0</v>
      </c>
      <c r="DC77" s="191">
        <f>'Functional Levels Drone Survey'!DC77-'Existing Levels Drone Survey'!DC77</f>
        <v>0</v>
      </c>
      <c r="DD77" s="191">
        <f>'Functional Levels Drone Survey'!DD77-'Existing Levels Drone Survey'!DD77</f>
        <v>0</v>
      </c>
      <c r="DE77" s="191">
        <f>'Functional Levels Drone Survey'!DE77-'Existing Levels Drone Survey'!DE77</f>
        <v>0</v>
      </c>
      <c r="DF77" s="191">
        <f>'Functional Levels Drone Survey'!DF77-'Existing Levels Drone Survey'!DF77</f>
        <v>0</v>
      </c>
      <c r="DG77" s="191">
        <f>'Functional Levels Drone Survey'!DG77-'Existing Levels Drone Survey'!DG77</f>
        <v>0</v>
      </c>
      <c r="DH77" s="191">
        <f>'Functional Levels Drone Survey'!DH77-'Existing Levels Drone Survey'!DH77</f>
        <v>0</v>
      </c>
      <c r="DI77" s="191">
        <f>'Functional Levels Drone Survey'!DI77-'Existing Levels Drone Survey'!DI77</f>
        <v>0</v>
      </c>
      <c r="DJ77" s="191">
        <f>'Functional Levels Drone Survey'!DJ77-'Existing Levels Drone Survey'!DJ77</f>
        <v>0</v>
      </c>
      <c r="DK77" s="191">
        <f>'Functional Levels Drone Survey'!DK77-'Existing Levels Drone Survey'!DK77</f>
        <v>0</v>
      </c>
      <c r="DL77" s="191">
        <f>'Functional Levels Drone Survey'!DL77-'Existing Levels Drone Survey'!DL77</f>
        <v>0</v>
      </c>
      <c r="DM77" s="191">
        <f>'Functional Levels Drone Survey'!DM77-'Existing Levels Drone Survey'!DM77</f>
        <v>0</v>
      </c>
      <c r="DN77" s="191">
        <f>'Functional Levels Drone Survey'!DN77-'Existing Levels Drone Survey'!DN77</f>
        <v>0</v>
      </c>
      <c r="DO77" s="191">
        <f>'Functional Levels Drone Survey'!DO77-'Existing Levels Drone Survey'!DO77</f>
        <v>0</v>
      </c>
      <c r="DP77" s="191">
        <f>'Functional Levels Drone Survey'!DP77-'Existing Levels Drone Survey'!DP77</f>
        <v>0</v>
      </c>
      <c r="DQ77" s="191">
        <f>'Functional Levels Drone Survey'!DQ77-'Existing Levels Drone Survey'!DQ77</f>
        <v>0</v>
      </c>
      <c r="DR77" s="191">
        <f>'Functional Levels Drone Survey'!DR77-'Existing Levels Drone Survey'!DR77</f>
        <v>0</v>
      </c>
      <c r="DS77" s="191">
        <f>'Functional Levels Drone Survey'!DS77-'Existing Levels Drone Survey'!DS77</f>
        <v>0</v>
      </c>
      <c r="DT77" s="191">
        <f>'Functional Levels Drone Survey'!DT77-'Existing Levels Drone Survey'!DT77</f>
        <v>0</v>
      </c>
      <c r="DU77" s="191">
        <f>'Functional Levels Drone Survey'!DU77-'Existing Levels Drone Survey'!DU77</f>
        <v>0</v>
      </c>
      <c r="DV77" s="191">
        <f>'Functional Levels Drone Survey'!DV77-'Existing Levels Drone Survey'!DV77</f>
        <v>0</v>
      </c>
      <c r="DW77" s="191">
        <f>'Functional Levels Drone Survey'!DW77-'Existing Levels Drone Survey'!DW77</f>
        <v>0</v>
      </c>
      <c r="DX77" s="191">
        <f>'Functional Levels Drone Survey'!DX77-'Existing Levels Drone Survey'!DX77</f>
        <v>0</v>
      </c>
      <c r="DY77" s="191">
        <f>'Functional Levels Drone Survey'!DY77-'Existing Levels Drone Survey'!DY77</f>
        <v>0</v>
      </c>
      <c r="DZ77" s="191">
        <f>'Functional Levels Drone Survey'!DZ77-'Existing Levels Drone Survey'!DZ77</f>
        <v>0</v>
      </c>
      <c r="EA77" s="191">
        <f>'Functional Levels Drone Survey'!EA77-'Existing Levels Drone Survey'!EA77</f>
        <v>0</v>
      </c>
      <c r="EB77" s="191">
        <f>'Functional Levels Drone Survey'!EB77-'Existing Levels Drone Survey'!EB77</f>
        <v>0</v>
      </c>
      <c r="EC77" s="191">
        <f>'Functional Levels Drone Survey'!EC77-'Existing Levels Drone Survey'!EC77</f>
        <v>0</v>
      </c>
      <c r="ED77" s="191">
        <f>'Functional Levels Drone Survey'!ED77-'Existing Levels Drone Survey'!ED77</f>
        <v>0</v>
      </c>
      <c r="EE77" s="191">
        <f>'Functional Levels Drone Survey'!EE77-'Existing Levels Drone Survey'!EE77</f>
        <v>0</v>
      </c>
      <c r="EF77" s="191">
        <f>'Functional Levels Drone Survey'!EF77-'Existing Levels Drone Survey'!EF77</f>
        <v>0</v>
      </c>
      <c r="EG77" s="191">
        <f>'Functional Levels Drone Survey'!EG77-'Existing Levels Drone Survey'!EG77</f>
        <v>0</v>
      </c>
      <c r="EH77" s="191">
        <f>'Functional Levels Drone Survey'!EH77-'Existing Levels Drone Survey'!EH77</f>
        <v>0</v>
      </c>
      <c r="EI77" s="191">
        <f>'Functional Levels Drone Survey'!EI77-'Existing Levels Drone Survey'!EI77</f>
        <v>0</v>
      </c>
      <c r="EJ77" s="191">
        <f>'Functional Levels Drone Survey'!EJ77-'Existing Levels Drone Survey'!EJ77</f>
        <v>0</v>
      </c>
      <c r="EK77" s="191">
        <f>'Functional Levels Drone Survey'!EK77-'Existing Levels Drone Survey'!EK77</f>
        <v>0</v>
      </c>
      <c r="EL77" s="191">
        <f>'Functional Levels Drone Survey'!EL77-'Existing Levels Drone Survey'!EL77</f>
        <v>0</v>
      </c>
      <c r="EM77" s="191">
        <f>'Functional Levels Drone Survey'!EM77-'Existing Levels Drone Survey'!EM77</f>
        <v>0</v>
      </c>
      <c r="EN77" s="191">
        <f>'Functional Levels Drone Survey'!EN77-'Existing Levels Drone Survey'!EN77</f>
        <v>0</v>
      </c>
      <c r="EO77" s="191">
        <f>'Functional Levels Drone Survey'!EO77-'Existing Levels Drone Survey'!EO77</f>
        <v>0</v>
      </c>
      <c r="EP77" s="191">
        <f>'Functional Levels Drone Survey'!EP77-'Existing Levels Drone Survey'!EP77</f>
        <v>0</v>
      </c>
      <c r="EQ77" s="191">
        <f>'Functional Levels Drone Survey'!EQ77-'Existing Levels Drone Survey'!EQ77</f>
        <v>0</v>
      </c>
      <c r="ER77" s="191">
        <f>'Functional Levels Drone Survey'!ER77-'Existing Levels Drone Survey'!ER77</f>
        <v>0</v>
      </c>
      <c r="ES77" s="191">
        <f>'Functional Levels Drone Survey'!ES77-'Existing Levels Drone Survey'!ES77</f>
        <v>0</v>
      </c>
      <c r="ET77" s="191">
        <f>'Functional Levels Drone Survey'!ET77-'Existing Levels Drone Survey'!ET77</f>
        <v>0</v>
      </c>
      <c r="EU77" s="191">
        <f>'Functional Levels Drone Survey'!EU77-'Existing Levels Drone Survey'!EU77</f>
        <v>0</v>
      </c>
      <c r="EV77" s="191">
        <f>'Functional Levels Drone Survey'!EV77-'Existing Levels Drone Survey'!EV77</f>
        <v>0</v>
      </c>
      <c r="EW77" s="191">
        <f>'Functional Levels Drone Survey'!EW77-'Existing Levels Drone Survey'!EW77</f>
        <v>0</v>
      </c>
      <c r="EX77" s="191">
        <f>'Functional Levels Drone Survey'!EX77-'Existing Levels Drone Survey'!EX77</f>
        <v>0</v>
      </c>
      <c r="EY77" s="191">
        <f>'Functional Levels Drone Survey'!EY77-'Existing Levels Drone Survey'!EY77</f>
        <v>0</v>
      </c>
    </row>
    <row r="78" spans="1:155" ht="45" customHeight="1" x14ac:dyDescent="0.45">
      <c r="A78" s="277">
        <v>385</v>
      </c>
      <c r="B78" s="191">
        <f>'Functional Levels Drone Survey'!B78-'Existing Levels Drone Survey'!B78</f>
        <v>0</v>
      </c>
      <c r="C78" s="191">
        <f>'Functional Levels Drone Survey'!C78-'Existing Levels Drone Survey'!C78</f>
        <v>0</v>
      </c>
      <c r="D78" s="191">
        <f>'Functional Levels Drone Survey'!D78-'Existing Levels Drone Survey'!D78</f>
        <v>0</v>
      </c>
      <c r="E78" s="191">
        <f>'Functional Levels Drone Survey'!E78-'Existing Levels Drone Survey'!E78</f>
        <v>0</v>
      </c>
      <c r="F78" s="278">
        <f>'Functional Levels Drone Survey'!F78-'Existing Levels Drone Survey'!F78</f>
        <v>-1.9955555555611681E-2</v>
      </c>
      <c r="G78" s="191">
        <f>'Functional Levels Drone Survey'!G78-'Existing Levels Drone Survey'!G78</f>
        <v>0.16934444444439123</v>
      </c>
      <c r="H78" s="279">
        <f>'Functional Levels Drone Survey'!H78-'Existing Levels Drone Survey'!H78</f>
        <v>0.26734444444440442</v>
      </c>
      <c r="I78" s="191">
        <f>'Functional Levels Drone Survey'!I78-'Existing Levels Drone Survey'!I78</f>
        <v>0.25114444444437822</v>
      </c>
      <c r="J78" s="191">
        <f>'Functional Levels Drone Survey'!J78-'Existing Levels Drone Survey'!J78</f>
        <v>0.29004444444439059</v>
      </c>
      <c r="K78" s="191">
        <f>'Functional Levels Drone Survey'!K78-'Existing Levels Drone Survey'!K78</f>
        <v>0.25084444444439669</v>
      </c>
      <c r="L78" s="191">
        <f>'Functional Levels Drone Survey'!L78-'Existing Levels Drone Survey'!L78</f>
        <v>0.25474444444438404</v>
      </c>
      <c r="M78" s="191">
        <f>'Functional Levels Drone Survey'!M78-'Existing Levels Drone Survey'!M78</f>
        <v>0.22954444444440014</v>
      </c>
      <c r="N78" s="191">
        <f>'Functional Levels Drone Survey'!N78-'Existing Levels Drone Survey'!N78</f>
        <v>0.21874444444438268</v>
      </c>
      <c r="O78" s="191">
        <f>'Functional Levels Drone Survey'!O78-'Existing Levels Drone Survey'!O78</f>
        <v>0.17464444444442506</v>
      </c>
      <c r="P78" s="191">
        <f>'Functional Levels Drone Survey'!P78-'Existing Levels Drone Survey'!P78</f>
        <v>0.10254444444439059</v>
      </c>
      <c r="Q78" s="191">
        <f>'Functional Levels Drone Survey'!Q78-'Existing Levels Drone Survey'!Q78</f>
        <v>0.18184444444437986</v>
      </c>
      <c r="R78" s="191">
        <f>'Functional Levels Drone Survey'!R78-'Existing Levels Drone Survey'!R78</f>
        <v>0.17924444444440724</v>
      </c>
      <c r="S78" s="191">
        <f>'Functional Levels Drone Survey'!S78-'Existing Levels Drone Survey'!S78</f>
        <v>0.16114444444440323</v>
      </c>
      <c r="T78" s="191">
        <f>'Functional Levels Drone Survey'!T78-'Existing Levels Drone Survey'!T78</f>
        <v>0.16094444444439659</v>
      </c>
      <c r="U78" s="191">
        <f>'Functional Levels Drone Survey'!U78-'Existing Levels Drone Survey'!U78</f>
        <v>0.16644444444438022</v>
      </c>
      <c r="V78" s="191">
        <f>'Functional Levels Drone Survey'!V78-'Existing Levels Drone Survey'!V78</f>
        <v>0.16994444444441115</v>
      </c>
      <c r="W78" s="191">
        <f>'Functional Levels Drone Survey'!W78-'Existing Levels Drone Survey'!W78</f>
        <v>0.1668444444443935</v>
      </c>
      <c r="X78" s="191">
        <f>'Functional Levels Drone Survey'!X78-'Existing Levels Drone Survey'!X78</f>
        <v>0.15044444444441751</v>
      </c>
      <c r="Y78" s="279">
        <f>'Functional Levels Drone Survey'!Y78-'Existing Levels Drone Survey'!Y78</f>
        <v>0.15924444444442543</v>
      </c>
      <c r="Z78" s="278">
        <f>'Functional Levels Drone Survey'!Z78-'Existing Levels Drone Survey'!Z78</f>
        <v>-1.3057142857292092E-2</v>
      </c>
      <c r="AA78" s="278">
        <f>'Functional Levels Drone Survey'!AA78-'Existing Levels Drone Survey'!AA78</f>
        <v>-0.23165714285732975</v>
      </c>
      <c r="AB78" s="278">
        <f>'Functional Levels Drone Survey'!AB78-'Existing Levels Drone Survey'!AB78</f>
        <v>-0.38425714285733648</v>
      </c>
      <c r="AC78" s="278">
        <f>'Functional Levels Drone Survey'!AC78-'Existing Levels Drone Survey'!AC78</f>
        <v>-0.66375714285732101</v>
      </c>
      <c r="AD78" s="278">
        <f>'Functional Levels Drone Survey'!AD78-'Existing Levels Drone Survey'!AD78</f>
        <v>-0.20425714285732965</v>
      </c>
      <c r="AE78" s="278">
        <f>'Functional Levels Drone Survey'!AE78-'Existing Levels Drone Survey'!AE78</f>
        <v>-0.33115714285736431</v>
      </c>
      <c r="AF78" s="278">
        <f>'Functional Levels Drone Survey'!AF78-'Existing Levels Drone Survey'!AF78</f>
        <v>-0.24975714285733375</v>
      </c>
      <c r="AG78" s="278">
        <f>'Functional Levels Drone Survey'!AG78-'Existing Levels Drone Survey'!AG78</f>
        <v>-0.21835714285731456</v>
      </c>
      <c r="AH78" s="278">
        <f>'Functional Levels Drone Survey'!AH78-'Existing Levels Drone Survey'!AH78</f>
        <v>-0.29035714285731729</v>
      </c>
      <c r="AI78" s="278">
        <f>'Functional Levels Drone Survey'!AI78-'Existing Levels Drone Survey'!AI78</f>
        <v>-0.27055714285734211</v>
      </c>
      <c r="AJ78" s="278">
        <f>'Functional Levels Drone Survey'!AJ78-'Existing Levels Drone Survey'!AJ78</f>
        <v>-0.29565714285735112</v>
      </c>
      <c r="AK78" s="278">
        <f>'Functional Levels Drone Survey'!AK78-'Existing Levels Drone Survey'!AK78</f>
        <v>-0.29865714285733702</v>
      </c>
      <c r="AL78" s="278">
        <f>'Functional Levels Drone Survey'!AL78-'Existing Levels Drone Survey'!AL78</f>
        <v>-0.37395714285736403</v>
      </c>
      <c r="AM78" s="278">
        <f>'Functional Levels Drone Survey'!AM78-'Existing Levels Drone Survey'!AM78</f>
        <v>-0.31465714285735658</v>
      </c>
      <c r="AN78" s="278">
        <f>'Functional Levels Drone Survey'!AN78-'Existing Levels Drone Survey'!AN78</f>
        <v>-0.29975714285734512</v>
      </c>
      <c r="AO78" s="278">
        <f>'Functional Levels Drone Survey'!AO78-'Existing Levels Drone Survey'!AO78</f>
        <v>-0.52735714285734048</v>
      </c>
      <c r="AP78" s="278">
        <f>'Functional Levels Drone Survey'!AP78-'Existing Levels Drone Survey'!AP78</f>
        <v>-0.41675714285736376</v>
      </c>
      <c r="AQ78" s="278">
        <f>'Functional Levels Drone Survey'!AQ78-'Existing Levels Drone Survey'!AQ78</f>
        <v>-0.42625714285730965</v>
      </c>
      <c r="AR78" s="278">
        <f>'Functional Levels Drone Survey'!AR78-'Existing Levels Drone Survey'!AR78</f>
        <v>-0.4340571428573412</v>
      </c>
      <c r="AS78" s="278">
        <f>'Functional Levels Drone Survey'!AS78-'Existing Levels Drone Survey'!AS78</f>
        <v>-0.41555714285732392</v>
      </c>
      <c r="AT78" s="191">
        <f>'Functional Levels Drone Survey'!AT78-'Existing Levels Drone Survey'!AT78</f>
        <v>-0.40515714285731974</v>
      </c>
      <c r="AU78" s="191">
        <f>'Functional Levels Drone Survey'!AU78-'Existing Levels Drone Survey'!AU78</f>
        <v>-0.36375714285730965</v>
      </c>
      <c r="AV78" s="191">
        <f>'Functional Levels Drone Survey'!AV78-'Existing Levels Drone Survey'!AV78</f>
        <v>-0.36255714285732665</v>
      </c>
      <c r="AW78" s="191">
        <f>'Functional Levels Drone Survey'!AW78-'Existing Levels Drone Survey'!AW78</f>
        <v>-0.33725714285731101</v>
      </c>
      <c r="AX78" s="279">
        <f>'Functional Levels Drone Survey'!AX78-'Existing Levels Drone Survey'!AX78</f>
        <v>-8.5447619047783974E-2</v>
      </c>
      <c r="AY78" s="191">
        <f>'Functional Levels Drone Survey'!AY78-'Existing Levels Drone Survey'!AY78</f>
        <v>-7.8147619047797434E-2</v>
      </c>
      <c r="AZ78" s="191">
        <f>'Functional Levels Drone Survey'!AZ78-'Existing Levels Drone Survey'!AZ78</f>
        <v>-0.10884761904776497</v>
      </c>
      <c r="BA78" s="191">
        <f>'Functional Levels Drone Survey'!BA78-'Existing Levels Drone Survey'!BA78</f>
        <v>-6.1447619047783064E-2</v>
      </c>
      <c r="BB78" s="191">
        <f>'Functional Levels Drone Survey'!BB78-'Existing Levels Drone Survey'!BB78</f>
        <v>-0.1031476190477747</v>
      </c>
      <c r="BC78" s="191">
        <f>'Functional Levels Drone Survey'!BC78-'Existing Levels Drone Survey'!BC78</f>
        <v>-0.11784761904777952</v>
      </c>
      <c r="BD78" s="191">
        <f>'Functional Levels Drone Survey'!BD78-'Existing Levels Drone Survey'!BD78</f>
        <v>-0.13264761904781608</v>
      </c>
      <c r="BE78" s="191">
        <f>'Functional Levels Drone Survey'!BE78-'Existing Levels Drone Survey'!BE78</f>
        <v>-0.16284761904779543</v>
      </c>
      <c r="BF78" s="191">
        <f>'Functional Levels Drone Survey'!BF78-'Existing Levels Drone Survey'!BF78</f>
        <v>-0.15504761904776387</v>
      </c>
      <c r="BG78" s="191">
        <f>'Functional Levels Drone Survey'!BG78-'Existing Levels Drone Survey'!BG78</f>
        <v>-0.14874761904781053</v>
      </c>
      <c r="BH78" s="191">
        <f>'Functional Levels Drone Survey'!BH78-'Existing Levels Drone Survey'!BH78</f>
        <v>-0.18464761904778015</v>
      </c>
      <c r="BI78" s="191">
        <f>'Functional Levels Drone Survey'!BI78-'Existing Levels Drone Survey'!BI78</f>
        <v>-0.17884761904781499</v>
      </c>
      <c r="BJ78" s="191">
        <f>'Functional Levels Drone Survey'!BJ78-'Existing Levels Drone Survey'!BJ78</f>
        <v>-0.12024761904780235</v>
      </c>
      <c r="BK78" s="191">
        <f>'Functional Levels Drone Survey'!BK78-'Existing Levels Drone Survey'!BK78</f>
        <v>-9.8047619047804346E-2</v>
      </c>
      <c r="BL78" s="191">
        <f>'Functional Levels Drone Survey'!BL78-'Existing Levels Drone Survey'!BL78</f>
        <v>-8.4347619047775879E-2</v>
      </c>
      <c r="BM78" s="191">
        <f>'Functional Levels Drone Survey'!BM78-'Existing Levels Drone Survey'!BM78</f>
        <v>-0.11034761904778634</v>
      </c>
      <c r="BN78" s="191">
        <f>'Functional Levels Drone Survey'!BN78-'Existing Levels Drone Survey'!BN78</f>
        <v>-8.3547619047806165E-2</v>
      </c>
      <c r="BO78" s="191">
        <f>'Functional Levels Drone Survey'!BO78-'Existing Levels Drone Survey'!BO78</f>
        <v>-0.2683476190478018</v>
      </c>
      <c r="BP78" s="191">
        <f>'Functional Levels Drone Survey'!BP78-'Existing Levels Drone Survey'!BP78</f>
        <v>9.6152380952219119E-2</v>
      </c>
      <c r="BQ78" s="191">
        <f>'Functional Levels Drone Survey'!BQ78-'Existing Levels Drone Survey'!BQ78</f>
        <v>8.4052380952186923E-2</v>
      </c>
      <c r="BR78" s="279">
        <f>'Functional Levels Drone Survey'!BR78-'Existing Levels Drone Survey'!BR78</f>
        <v>5.2152380952236399E-2</v>
      </c>
      <c r="BS78" s="191">
        <f>'Functional Levels Drone Survey'!BS78-'Existing Levels Drone Survey'!BS78</f>
        <v>-4.6431818181702056E-2</v>
      </c>
      <c r="BT78" s="191">
        <f>'Functional Levels Drone Survey'!BT78-'Existing Levels Drone Survey'!BT78</f>
        <v>-2.7931818181741619E-2</v>
      </c>
      <c r="BU78" s="191">
        <f>'Functional Levels Drone Survey'!BU78-'Existing Levels Drone Survey'!BU78</f>
        <v>2.8468181818254834E-2</v>
      </c>
      <c r="BV78" s="191">
        <f>'Functional Levels Drone Survey'!BV78-'Existing Levels Drone Survey'!BV78</f>
        <v>-1.8318181816994183E-3</v>
      </c>
      <c r="BW78" s="191">
        <f>'Functional Levels Drone Survey'!BW78-'Existing Levels Drone Survey'!BW78</f>
        <v>-2.9931818181694325E-2</v>
      </c>
      <c r="BX78" s="191">
        <f>'Functional Levels Drone Survey'!BX78-'Existing Levels Drone Survey'!BX78</f>
        <v>-4.0731818181711787E-2</v>
      </c>
      <c r="BY78" s="278">
        <f>'Functional Levels Drone Survey'!BY78-'Existing Levels Drone Survey'!BY78</f>
        <v>-0.61733181818169669</v>
      </c>
      <c r="BZ78" s="191">
        <f>'Functional Levels Drone Survey'!BZ78-'Existing Levels Drone Survey'!BZ78</f>
        <v>0</v>
      </c>
      <c r="CA78" s="191">
        <f>'Functional Levels Drone Survey'!CA78-'Existing Levels Drone Survey'!CA78</f>
        <v>0</v>
      </c>
      <c r="CB78" s="191">
        <f>'Functional Levels Drone Survey'!CB78-'Existing Levels Drone Survey'!CB78</f>
        <v>0</v>
      </c>
      <c r="CC78" s="191">
        <f>'Functional Levels Drone Survey'!CC78-'Existing Levels Drone Survey'!CC78</f>
        <v>0</v>
      </c>
      <c r="CD78" s="191">
        <f>'Functional Levels Drone Survey'!CD78-'Existing Levels Drone Survey'!CD78</f>
        <v>0</v>
      </c>
      <c r="CE78" s="191">
        <f>'Functional Levels Drone Survey'!CE78-'Existing Levels Drone Survey'!CE78</f>
        <v>0</v>
      </c>
      <c r="CF78" s="191">
        <f>'Functional Levels Drone Survey'!CF78-'Existing Levels Drone Survey'!CF78</f>
        <v>0</v>
      </c>
      <c r="CG78" s="191">
        <f>'Functional Levels Drone Survey'!CG78-'Existing Levels Drone Survey'!CG78</f>
        <v>0</v>
      </c>
      <c r="CH78" s="191">
        <f>'Functional Levels Drone Survey'!CH78-'Existing Levels Drone Survey'!CH78</f>
        <v>0</v>
      </c>
      <c r="CI78" s="191">
        <f>'Functional Levels Drone Survey'!CI78-'Existing Levels Drone Survey'!CI78</f>
        <v>0</v>
      </c>
      <c r="CJ78" s="191">
        <f>'Functional Levels Drone Survey'!CJ78-'Existing Levels Drone Survey'!CJ78</f>
        <v>0</v>
      </c>
      <c r="CK78" s="191">
        <f>'Functional Levels Drone Survey'!CK78-'Existing Levels Drone Survey'!CK78</f>
        <v>0</v>
      </c>
      <c r="CL78" s="191">
        <f>'Functional Levels Drone Survey'!CL78-'Existing Levels Drone Survey'!CL78</f>
        <v>0</v>
      </c>
      <c r="CM78" s="191">
        <f>'Functional Levels Drone Survey'!CM78-'Existing Levels Drone Survey'!CM78</f>
        <v>0</v>
      </c>
      <c r="CN78" s="191">
        <f>'Functional Levels Drone Survey'!CN78-'Existing Levels Drone Survey'!CN78</f>
        <v>0</v>
      </c>
      <c r="CO78" s="191">
        <f>'Functional Levels Drone Survey'!CO78-'Existing Levels Drone Survey'!CO78</f>
        <v>0</v>
      </c>
      <c r="CP78" s="191">
        <f>'Functional Levels Drone Survey'!CP78-'Existing Levels Drone Survey'!CP78</f>
        <v>0</v>
      </c>
      <c r="CQ78" s="191">
        <f>'Functional Levels Drone Survey'!CQ78-'Existing Levels Drone Survey'!CQ78</f>
        <v>0</v>
      </c>
      <c r="CR78" s="191">
        <f>'Functional Levels Drone Survey'!CR78-'Existing Levels Drone Survey'!CR78</f>
        <v>0</v>
      </c>
      <c r="CS78" s="191">
        <f>'Functional Levels Drone Survey'!CS78-'Existing Levels Drone Survey'!CS78</f>
        <v>0</v>
      </c>
      <c r="CT78" s="191">
        <f>'Functional Levels Drone Survey'!CT78-'Existing Levels Drone Survey'!CT78</f>
        <v>0</v>
      </c>
      <c r="CU78" s="191">
        <f>'Functional Levels Drone Survey'!CU78-'Existing Levels Drone Survey'!CU78</f>
        <v>0</v>
      </c>
      <c r="CV78" s="191">
        <f>'Functional Levels Drone Survey'!CV78-'Existing Levels Drone Survey'!CV78</f>
        <v>0</v>
      </c>
      <c r="CW78" s="191">
        <f>'Functional Levels Drone Survey'!CW78-'Existing Levels Drone Survey'!CW78</f>
        <v>0</v>
      </c>
      <c r="CX78" s="191">
        <f>'Functional Levels Drone Survey'!CX78-'Existing Levels Drone Survey'!CX78</f>
        <v>0</v>
      </c>
      <c r="CY78" s="191">
        <f>'Functional Levels Drone Survey'!CY78-'Existing Levels Drone Survey'!CY78</f>
        <v>0</v>
      </c>
      <c r="CZ78" s="191">
        <f>'Functional Levels Drone Survey'!CZ78-'Existing Levels Drone Survey'!CZ78</f>
        <v>0</v>
      </c>
      <c r="DA78" s="191">
        <f>'Functional Levels Drone Survey'!DA78-'Existing Levels Drone Survey'!DA78</f>
        <v>0</v>
      </c>
      <c r="DB78" s="191">
        <f>'Functional Levels Drone Survey'!DB78-'Existing Levels Drone Survey'!DB78</f>
        <v>0</v>
      </c>
      <c r="DC78" s="191">
        <f>'Functional Levels Drone Survey'!DC78-'Existing Levels Drone Survey'!DC78</f>
        <v>0</v>
      </c>
      <c r="DD78" s="191">
        <f>'Functional Levels Drone Survey'!DD78-'Existing Levels Drone Survey'!DD78</f>
        <v>0</v>
      </c>
      <c r="DE78" s="191">
        <f>'Functional Levels Drone Survey'!DE78-'Existing Levels Drone Survey'!DE78</f>
        <v>0</v>
      </c>
      <c r="DF78" s="191">
        <f>'Functional Levels Drone Survey'!DF78-'Existing Levels Drone Survey'!DF78</f>
        <v>0</v>
      </c>
      <c r="DG78" s="191">
        <f>'Functional Levels Drone Survey'!DG78-'Existing Levels Drone Survey'!DG78</f>
        <v>0</v>
      </c>
      <c r="DH78" s="191">
        <f>'Functional Levels Drone Survey'!DH78-'Existing Levels Drone Survey'!DH78</f>
        <v>0</v>
      </c>
      <c r="DI78" s="191">
        <f>'Functional Levels Drone Survey'!DI78-'Existing Levels Drone Survey'!DI78</f>
        <v>0</v>
      </c>
      <c r="DJ78" s="191">
        <f>'Functional Levels Drone Survey'!DJ78-'Existing Levels Drone Survey'!DJ78</f>
        <v>0</v>
      </c>
      <c r="DK78" s="191">
        <f>'Functional Levels Drone Survey'!DK78-'Existing Levels Drone Survey'!DK78</f>
        <v>0</v>
      </c>
      <c r="DL78" s="191">
        <f>'Functional Levels Drone Survey'!DL78-'Existing Levels Drone Survey'!DL78</f>
        <v>0</v>
      </c>
      <c r="DM78" s="191">
        <f>'Functional Levels Drone Survey'!DM78-'Existing Levels Drone Survey'!DM78</f>
        <v>0</v>
      </c>
      <c r="DN78" s="191">
        <f>'Functional Levels Drone Survey'!DN78-'Existing Levels Drone Survey'!DN78</f>
        <v>0</v>
      </c>
      <c r="DO78" s="191">
        <f>'Functional Levels Drone Survey'!DO78-'Existing Levels Drone Survey'!DO78</f>
        <v>0</v>
      </c>
      <c r="DP78" s="191">
        <f>'Functional Levels Drone Survey'!DP78-'Existing Levels Drone Survey'!DP78</f>
        <v>0</v>
      </c>
      <c r="DQ78" s="191">
        <f>'Functional Levels Drone Survey'!DQ78-'Existing Levels Drone Survey'!DQ78</f>
        <v>0</v>
      </c>
      <c r="DR78" s="191">
        <f>'Functional Levels Drone Survey'!DR78-'Existing Levels Drone Survey'!DR78</f>
        <v>0</v>
      </c>
      <c r="DS78" s="191">
        <f>'Functional Levels Drone Survey'!DS78-'Existing Levels Drone Survey'!DS78</f>
        <v>0</v>
      </c>
      <c r="DT78" s="191">
        <f>'Functional Levels Drone Survey'!DT78-'Existing Levels Drone Survey'!DT78</f>
        <v>0</v>
      </c>
      <c r="DU78" s="191">
        <f>'Functional Levels Drone Survey'!DU78-'Existing Levels Drone Survey'!DU78</f>
        <v>0</v>
      </c>
      <c r="DV78" s="191">
        <f>'Functional Levels Drone Survey'!DV78-'Existing Levels Drone Survey'!DV78</f>
        <v>0</v>
      </c>
      <c r="DW78" s="191">
        <f>'Functional Levels Drone Survey'!DW78-'Existing Levels Drone Survey'!DW78</f>
        <v>0</v>
      </c>
      <c r="DX78" s="191">
        <f>'Functional Levels Drone Survey'!DX78-'Existing Levels Drone Survey'!DX78</f>
        <v>0</v>
      </c>
      <c r="DY78" s="191">
        <f>'Functional Levels Drone Survey'!DY78-'Existing Levels Drone Survey'!DY78</f>
        <v>0</v>
      </c>
      <c r="DZ78" s="191">
        <f>'Functional Levels Drone Survey'!DZ78-'Existing Levels Drone Survey'!DZ78</f>
        <v>0</v>
      </c>
      <c r="EA78" s="191">
        <f>'Functional Levels Drone Survey'!EA78-'Existing Levels Drone Survey'!EA78</f>
        <v>0</v>
      </c>
      <c r="EB78" s="191">
        <f>'Functional Levels Drone Survey'!EB78-'Existing Levels Drone Survey'!EB78</f>
        <v>0</v>
      </c>
      <c r="EC78" s="191">
        <f>'Functional Levels Drone Survey'!EC78-'Existing Levels Drone Survey'!EC78</f>
        <v>0</v>
      </c>
      <c r="ED78" s="191">
        <f>'Functional Levels Drone Survey'!ED78-'Existing Levels Drone Survey'!ED78</f>
        <v>0</v>
      </c>
      <c r="EE78" s="191">
        <f>'Functional Levels Drone Survey'!EE78-'Existing Levels Drone Survey'!EE78</f>
        <v>0</v>
      </c>
      <c r="EF78" s="191">
        <f>'Functional Levels Drone Survey'!EF78-'Existing Levels Drone Survey'!EF78</f>
        <v>0</v>
      </c>
      <c r="EG78" s="191">
        <f>'Functional Levels Drone Survey'!EG78-'Existing Levels Drone Survey'!EG78</f>
        <v>0</v>
      </c>
      <c r="EH78" s="191">
        <f>'Functional Levels Drone Survey'!EH78-'Existing Levels Drone Survey'!EH78</f>
        <v>0</v>
      </c>
      <c r="EI78" s="191">
        <f>'Functional Levels Drone Survey'!EI78-'Existing Levels Drone Survey'!EI78</f>
        <v>0</v>
      </c>
      <c r="EJ78" s="191">
        <f>'Functional Levels Drone Survey'!EJ78-'Existing Levels Drone Survey'!EJ78</f>
        <v>0</v>
      </c>
      <c r="EK78" s="191">
        <f>'Functional Levels Drone Survey'!EK78-'Existing Levels Drone Survey'!EK78</f>
        <v>0</v>
      </c>
      <c r="EL78" s="191">
        <f>'Functional Levels Drone Survey'!EL78-'Existing Levels Drone Survey'!EL78</f>
        <v>0</v>
      </c>
      <c r="EM78" s="191">
        <f>'Functional Levels Drone Survey'!EM78-'Existing Levels Drone Survey'!EM78</f>
        <v>0</v>
      </c>
      <c r="EN78" s="191">
        <f>'Functional Levels Drone Survey'!EN78-'Existing Levels Drone Survey'!EN78</f>
        <v>0</v>
      </c>
      <c r="EO78" s="191">
        <f>'Functional Levels Drone Survey'!EO78-'Existing Levels Drone Survey'!EO78</f>
        <v>0</v>
      </c>
      <c r="EP78" s="191">
        <f>'Functional Levels Drone Survey'!EP78-'Existing Levels Drone Survey'!EP78</f>
        <v>0</v>
      </c>
      <c r="EQ78" s="191">
        <f>'Functional Levels Drone Survey'!EQ78-'Existing Levels Drone Survey'!EQ78</f>
        <v>0</v>
      </c>
      <c r="ER78" s="191">
        <f>'Functional Levels Drone Survey'!ER78-'Existing Levels Drone Survey'!ER78</f>
        <v>0</v>
      </c>
      <c r="ES78" s="191">
        <f>'Functional Levels Drone Survey'!ES78-'Existing Levels Drone Survey'!ES78</f>
        <v>0</v>
      </c>
      <c r="ET78" s="191">
        <f>'Functional Levels Drone Survey'!ET78-'Existing Levels Drone Survey'!ET78</f>
        <v>0</v>
      </c>
      <c r="EU78" s="191">
        <f>'Functional Levels Drone Survey'!EU78-'Existing Levels Drone Survey'!EU78</f>
        <v>0</v>
      </c>
      <c r="EV78" s="191">
        <f>'Functional Levels Drone Survey'!EV78-'Existing Levels Drone Survey'!EV78</f>
        <v>0</v>
      </c>
      <c r="EW78" s="191">
        <f>'Functional Levels Drone Survey'!EW78-'Existing Levels Drone Survey'!EW78</f>
        <v>0</v>
      </c>
      <c r="EX78" s="191">
        <f>'Functional Levels Drone Survey'!EX78-'Existing Levels Drone Survey'!EX78</f>
        <v>0</v>
      </c>
      <c r="EY78" s="191">
        <f>'Functional Levels Drone Survey'!EY78-'Existing Levels Drone Survey'!EY78</f>
        <v>0</v>
      </c>
    </row>
    <row r="79" spans="1:155" ht="45" customHeight="1" x14ac:dyDescent="0.45">
      <c r="A79" s="277">
        <v>390</v>
      </c>
      <c r="B79" s="191">
        <f>'Functional Levels Drone Survey'!B79-'Existing Levels Drone Survey'!B79</f>
        <v>0</v>
      </c>
      <c r="C79" s="191">
        <f>'Functional Levels Drone Survey'!C79-'Existing Levels Drone Survey'!C79</f>
        <v>0</v>
      </c>
      <c r="D79" s="191">
        <f>'Functional Levels Drone Survey'!D79-'Existing Levels Drone Survey'!D79</f>
        <v>0</v>
      </c>
      <c r="E79" s="191">
        <f>'Functional Levels Drone Survey'!E79-'Existing Levels Drone Survey'!E79</f>
        <v>0</v>
      </c>
      <c r="F79" s="278">
        <f>'Functional Levels Drone Survey'!F79-'Existing Levels Drone Survey'!F79</f>
        <v>-8.8555555555615229E-2</v>
      </c>
      <c r="G79" s="191">
        <f>'Functional Levels Drone Survey'!G79-'Existing Levels Drone Survey'!G79</f>
        <v>8.974444444436358E-2</v>
      </c>
      <c r="H79" s="279">
        <f>'Functional Levels Drone Survey'!H79-'Existing Levels Drone Survey'!H79</f>
        <v>0.19804444444440605</v>
      </c>
      <c r="I79" s="191">
        <f>'Functional Levels Drone Survey'!I79-'Existing Levels Drone Survey'!I79</f>
        <v>0.17464444444436822</v>
      </c>
      <c r="J79" s="191">
        <f>'Functional Levels Drone Survey'!J79-'Existing Levels Drone Survey'!J79</f>
        <v>0.22494444444441797</v>
      </c>
      <c r="K79" s="191">
        <f>'Functional Levels Drone Survey'!K79-'Existing Levels Drone Survey'!K79</f>
        <v>0.19964444444440232</v>
      </c>
      <c r="L79" s="191">
        <f>'Functional Levels Drone Survey'!L79-'Existing Levels Drone Survey'!L79</f>
        <v>0.20274444444436313</v>
      </c>
      <c r="M79" s="191">
        <f>'Functional Levels Drone Survey'!M79-'Existing Levels Drone Survey'!M79</f>
        <v>0.19504444444436331</v>
      </c>
      <c r="N79" s="191">
        <f>'Functional Levels Drone Survey'!N79-'Existing Levels Drone Survey'!N79</f>
        <v>0.16144444444438477</v>
      </c>
      <c r="O79" s="191">
        <f>'Functional Levels Drone Survey'!O79-'Existing Levels Drone Survey'!O79</f>
        <v>0.13274444444436995</v>
      </c>
      <c r="P79" s="191">
        <f>'Functional Levels Drone Survey'!P79-'Existing Levels Drone Survey'!P79</f>
        <v>4.3444444444389774E-2</v>
      </c>
      <c r="Q79" s="191">
        <f>'Functional Levels Drone Survey'!Q79-'Existing Levels Drone Survey'!Q79</f>
        <v>0.11094444444438523</v>
      </c>
      <c r="R79" s="191">
        <f>'Functional Levels Drone Survey'!R79-'Existing Levels Drone Survey'!R79</f>
        <v>8.2144444444395504E-2</v>
      </c>
      <c r="S79" s="191">
        <f>'Functional Levels Drone Survey'!S79-'Existing Levels Drone Survey'!S79</f>
        <v>8.6844444444409419E-2</v>
      </c>
      <c r="T79" s="191">
        <f>'Functional Levels Drone Survey'!T79-'Existing Levels Drone Survey'!T79</f>
        <v>0.11384444444439623</v>
      </c>
      <c r="U79" s="191">
        <f>'Functional Levels Drone Survey'!U79-'Existing Levels Drone Survey'!U79</f>
        <v>9.4444444444377496E-2</v>
      </c>
      <c r="V79" s="191">
        <f>'Functional Levels Drone Survey'!V79-'Existing Levels Drone Survey'!V79</f>
        <v>0.10724444444440451</v>
      </c>
      <c r="W79" s="191">
        <f>'Functional Levels Drone Survey'!W79-'Existing Levels Drone Survey'!W79</f>
        <v>0.10734444444437941</v>
      </c>
      <c r="X79" s="191">
        <f>'Functional Levels Drone Survey'!X79-'Existing Levels Drone Survey'!X79</f>
        <v>9.8744444444378132E-2</v>
      </c>
      <c r="Y79" s="279">
        <f>'Functional Levels Drone Survey'!Y79-'Existing Levels Drone Survey'!Y79</f>
        <v>8.2144444444395504E-2</v>
      </c>
      <c r="Z79" s="278">
        <f>'Functional Levels Drone Survey'!Z79-'Existing Levels Drone Survey'!Z79</f>
        <v>-0.35595555555562441</v>
      </c>
      <c r="AA79" s="191">
        <f>'Functional Levels Drone Survey'!AA79-'Existing Levels Drone Survey'!AA79</f>
        <v>0</v>
      </c>
      <c r="AB79" s="191">
        <f>'Functional Levels Drone Survey'!AB79-'Existing Levels Drone Survey'!AB79</f>
        <v>0</v>
      </c>
      <c r="AC79" s="191">
        <f>'Functional Levels Drone Survey'!AC79-'Existing Levels Drone Survey'!AC79</f>
        <v>0</v>
      </c>
      <c r="AD79" s="191">
        <f>'Functional Levels Drone Survey'!AD79-'Existing Levels Drone Survey'!AD79</f>
        <v>0</v>
      </c>
      <c r="AE79" s="191">
        <f>'Functional Levels Drone Survey'!AE79-'Existing Levels Drone Survey'!AE79</f>
        <v>0</v>
      </c>
      <c r="AF79" s="191">
        <f>'Functional Levels Drone Survey'!AF79-'Existing Levels Drone Survey'!AF79</f>
        <v>0</v>
      </c>
      <c r="AG79" s="191">
        <f>'Functional Levels Drone Survey'!AG79-'Existing Levels Drone Survey'!AG79</f>
        <v>0</v>
      </c>
      <c r="AH79" s="191">
        <f>'Functional Levels Drone Survey'!AH79-'Existing Levels Drone Survey'!AH79</f>
        <v>0</v>
      </c>
      <c r="AI79" s="191">
        <f>'Functional Levels Drone Survey'!AI79-'Existing Levels Drone Survey'!AI79</f>
        <v>0</v>
      </c>
      <c r="AJ79" s="191">
        <f>'Functional Levels Drone Survey'!AJ79-'Existing Levels Drone Survey'!AJ79</f>
        <v>0</v>
      </c>
      <c r="AK79" s="191">
        <f>'Functional Levels Drone Survey'!AK79-'Existing Levels Drone Survey'!AK79</f>
        <v>0</v>
      </c>
      <c r="AL79" s="191">
        <f>'Functional Levels Drone Survey'!AL79-'Existing Levels Drone Survey'!AL79</f>
        <v>0</v>
      </c>
      <c r="AM79" s="191">
        <f>'Functional Levels Drone Survey'!AM79-'Existing Levels Drone Survey'!AM79</f>
        <v>0</v>
      </c>
      <c r="AN79" s="191">
        <f>'Functional Levels Drone Survey'!AN79-'Existing Levels Drone Survey'!AN79</f>
        <v>0</v>
      </c>
      <c r="AO79" s="191">
        <f>'Functional Levels Drone Survey'!AO79-'Existing Levels Drone Survey'!AO79</f>
        <v>0</v>
      </c>
      <c r="AP79" s="191">
        <f>'Functional Levels Drone Survey'!AP79-'Existing Levels Drone Survey'!AP79</f>
        <v>0</v>
      </c>
      <c r="AQ79" s="191">
        <f>'Functional Levels Drone Survey'!AQ79-'Existing Levels Drone Survey'!AQ79</f>
        <v>0</v>
      </c>
      <c r="AR79" s="191">
        <f>'Functional Levels Drone Survey'!AR79-'Existing Levels Drone Survey'!AR79</f>
        <v>0</v>
      </c>
      <c r="AS79" s="191">
        <f>'Functional Levels Drone Survey'!AS79-'Existing Levels Drone Survey'!AS79</f>
        <v>0</v>
      </c>
      <c r="AT79" s="278">
        <f>'Functional Levels Drone Survey'!AT79-'Existing Levels Drone Survey'!AT79</f>
        <v>-1.3263571428573186</v>
      </c>
      <c r="AU79" s="278">
        <f>'Functional Levels Drone Survey'!AU79-'Existing Levels Drone Survey'!AU79</f>
        <v>-0.28415714285733884</v>
      </c>
      <c r="AV79" s="278">
        <f>'Functional Levels Drone Survey'!AV79-'Existing Levels Drone Survey'!AV79</f>
        <v>-0.61595714285732583</v>
      </c>
      <c r="AW79" s="191">
        <f>'Functional Levels Drone Survey'!AW79-'Existing Levels Drone Survey'!AW79</f>
        <v>-0.34545714285735585</v>
      </c>
      <c r="AX79" s="279">
        <f>'Functional Levels Drone Survey'!AX79-'Existing Levels Drone Survey'!AX79</f>
        <v>-0.13274761904779098</v>
      </c>
      <c r="AY79" s="279">
        <f>'Functional Levels Drone Survey'!AY79-'Existing Levels Drone Survey'!AY79</f>
        <v>-0.18404761904781708</v>
      </c>
      <c r="AZ79" s="279">
        <f>'Functional Levels Drone Survey'!AZ79-'Existing Levels Drone Survey'!AZ79</f>
        <v>-0.17804761904778843</v>
      </c>
      <c r="BA79" s="279">
        <f>'Functional Levels Drone Survey'!BA79-'Existing Levels Drone Survey'!BA79</f>
        <v>-0.15374761904780598</v>
      </c>
      <c r="BB79" s="279">
        <f>'Functional Levels Drone Survey'!BB79-'Existing Levels Drone Survey'!BB79</f>
        <v>-0.21254761904782526</v>
      </c>
      <c r="BC79" s="279">
        <f>'Functional Levels Drone Survey'!BC79-'Existing Levels Drone Survey'!BC79</f>
        <v>-0.20664761904782836</v>
      </c>
      <c r="BD79" s="279">
        <f>'Functional Levels Drone Survey'!BD79-'Existing Levels Drone Survey'!BD79</f>
        <v>-0.26154761904780344</v>
      </c>
      <c r="BE79" s="279">
        <f>'Functional Levels Drone Survey'!BE79-'Existing Levels Drone Survey'!BE79</f>
        <v>-0.26994761904779807</v>
      </c>
      <c r="BF79" s="279">
        <f>'Functional Levels Drone Survey'!BF79-'Existing Levels Drone Survey'!BF79</f>
        <v>-0.22614761904782199</v>
      </c>
      <c r="BG79" s="279">
        <f>'Functional Levels Drone Survey'!BG79-'Existing Levels Drone Survey'!BG79</f>
        <v>-0.19094761904779034</v>
      </c>
      <c r="BH79" s="279">
        <f>'Functional Levels Drone Survey'!BH79-'Existing Levels Drone Survey'!BH79</f>
        <v>-0.23664761904780107</v>
      </c>
      <c r="BI79" s="279">
        <f>'Functional Levels Drone Survey'!BI79-'Existing Levels Drone Survey'!BI79</f>
        <v>-0.21794761904777715</v>
      </c>
      <c r="BJ79" s="279">
        <f>'Functional Levels Drone Survey'!BJ79-'Existing Levels Drone Survey'!BJ79</f>
        <v>-0.16234761904780726</v>
      </c>
      <c r="BK79" s="279">
        <f>'Functional Levels Drone Survey'!BK79-'Existing Levels Drone Survey'!BK79</f>
        <v>-0.16644761904780125</v>
      </c>
      <c r="BL79" s="279">
        <f>'Functional Levels Drone Survey'!BL79-'Existing Levels Drone Survey'!BL79</f>
        <v>-0.17894761904778989</v>
      </c>
      <c r="BM79" s="279">
        <f>'Functional Levels Drone Survey'!BM79-'Existing Levels Drone Survey'!BM79</f>
        <v>-0.15644761904781035</v>
      </c>
      <c r="BN79" s="279">
        <f>'Functional Levels Drone Survey'!BN79-'Existing Levels Drone Survey'!BN79</f>
        <v>-0.18624761904777642</v>
      </c>
      <c r="BO79" s="279">
        <f>'Functional Levels Drone Survey'!BO79-'Existing Levels Drone Survey'!BO79</f>
        <v>-0.44044761904780216</v>
      </c>
      <c r="BP79" s="279">
        <f>'Functional Levels Drone Survey'!BP79-'Existing Levels Drone Survey'!BP79</f>
        <v>1.6152380952178191E-2</v>
      </c>
      <c r="BQ79" s="279">
        <f>'Functional Levels Drone Survey'!BQ79-'Existing Levels Drone Survey'!BQ79</f>
        <v>4.435238095220484E-2</v>
      </c>
      <c r="BR79" s="279">
        <f>'Functional Levels Drone Survey'!BR79-'Existing Levels Drone Survey'!BR79</f>
        <v>5.2380952183739282E-5</v>
      </c>
      <c r="BS79" s="191">
        <f>'Functional Levels Drone Survey'!BS79-'Existing Levels Drone Survey'!BS79</f>
        <v>-9.913181818171779E-2</v>
      </c>
      <c r="BT79" s="191">
        <f>'Functional Levels Drone Survey'!BT79-'Existing Levels Drone Survey'!BT79</f>
        <v>-8.4231818181706331E-2</v>
      </c>
      <c r="BU79" s="191">
        <f>'Functional Levels Drone Survey'!BU79-'Existing Levels Drone Survey'!BU79</f>
        <v>-3.5831818181691233E-2</v>
      </c>
      <c r="BV79" s="191">
        <f>'Functional Levels Drone Survey'!BV79-'Existing Levels Drone Survey'!BV79</f>
        <v>-7.1131818181697781E-2</v>
      </c>
      <c r="BW79" s="191">
        <f>'Functional Levels Drone Survey'!BW79-'Existing Levels Drone Survey'!BW79</f>
        <v>-7.1231818181729523E-2</v>
      </c>
      <c r="BX79" s="191">
        <f>'Functional Levels Drone Survey'!BX79-'Existing Levels Drone Survey'!BX79</f>
        <v>-0.27883181818174307</v>
      </c>
      <c r="BY79" s="278">
        <f>'Functional Levels Drone Survey'!BY79-'Existing Levels Drone Survey'!BY79</f>
        <v>-0.92643181818169751</v>
      </c>
      <c r="BZ79" s="191">
        <f>'Functional Levels Drone Survey'!BZ79-'Existing Levels Drone Survey'!BZ79</f>
        <v>0</v>
      </c>
      <c r="CA79" s="191">
        <f>'Functional Levels Drone Survey'!CA79-'Existing Levels Drone Survey'!CA79</f>
        <v>0</v>
      </c>
      <c r="CB79" s="191">
        <f>'Functional Levels Drone Survey'!CB79-'Existing Levels Drone Survey'!CB79</f>
        <v>0</v>
      </c>
      <c r="CC79" s="191">
        <f>'Functional Levels Drone Survey'!CC79-'Existing Levels Drone Survey'!CC79</f>
        <v>0</v>
      </c>
      <c r="CD79" s="191">
        <f>'Functional Levels Drone Survey'!CD79-'Existing Levels Drone Survey'!CD79</f>
        <v>0</v>
      </c>
      <c r="CE79" s="191">
        <f>'Functional Levels Drone Survey'!CE79-'Existing Levels Drone Survey'!CE79</f>
        <v>0</v>
      </c>
      <c r="CF79" s="191">
        <f>'Functional Levels Drone Survey'!CF79-'Existing Levels Drone Survey'!CF79</f>
        <v>0</v>
      </c>
      <c r="CG79" s="191">
        <f>'Functional Levels Drone Survey'!CG79-'Existing Levels Drone Survey'!CG79</f>
        <v>0</v>
      </c>
      <c r="CH79" s="191">
        <f>'Functional Levels Drone Survey'!CH79-'Existing Levels Drone Survey'!CH79</f>
        <v>0</v>
      </c>
      <c r="CI79" s="191">
        <f>'Functional Levels Drone Survey'!CI79-'Existing Levels Drone Survey'!CI79</f>
        <v>0</v>
      </c>
      <c r="CJ79" s="191">
        <f>'Functional Levels Drone Survey'!CJ79-'Existing Levels Drone Survey'!CJ79</f>
        <v>0</v>
      </c>
      <c r="CK79" s="191">
        <f>'Functional Levels Drone Survey'!CK79-'Existing Levels Drone Survey'!CK79</f>
        <v>0</v>
      </c>
      <c r="CL79" s="191">
        <f>'Functional Levels Drone Survey'!CL79-'Existing Levels Drone Survey'!CL79</f>
        <v>0</v>
      </c>
      <c r="CM79" s="191">
        <f>'Functional Levels Drone Survey'!CM79-'Existing Levels Drone Survey'!CM79</f>
        <v>0</v>
      </c>
      <c r="CN79" s="191">
        <f>'Functional Levels Drone Survey'!CN79-'Existing Levels Drone Survey'!CN79</f>
        <v>0</v>
      </c>
      <c r="CO79" s="191">
        <f>'Functional Levels Drone Survey'!CO79-'Existing Levels Drone Survey'!CO79</f>
        <v>0</v>
      </c>
      <c r="CP79" s="191">
        <f>'Functional Levels Drone Survey'!CP79-'Existing Levels Drone Survey'!CP79</f>
        <v>0</v>
      </c>
      <c r="CQ79" s="191">
        <f>'Functional Levels Drone Survey'!CQ79-'Existing Levels Drone Survey'!CQ79</f>
        <v>0</v>
      </c>
      <c r="CR79" s="191">
        <f>'Functional Levels Drone Survey'!CR79-'Existing Levels Drone Survey'!CR79</f>
        <v>0</v>
      </c>
      <c r="CS79" s="191">
        <f>'Functional Levels Drone Survey'!CS79-'Existing Levels Drone Survey'!CS79</f>
        <v>0</v>
      </c>
      <c r="CT79" s="191">
        <f>'Functional Levels Drone Survey'!CT79-'Existing Levels Drone Survey'!CT79</f>
        <v>0</v>
      </c>
      <c r="CU79" s="191">
        <f>'Functional Levels Drone Survey'!CU79-'Existing Levels Drone Survey'!CU79</f>
        <v>0</v>
      </c>
      <c r="CV79" s="191">
        <f>'Functional Levels Drone Survey'!CV79-'Existing Levels Drone Survey'!CV79</f>
        <v>0</v>
      </c>
      <c r="CW79" s="191">
        <f>'Functional Levels Drone Survey'!CW79-'Existing Levels Drone Survey'!CW79</f>
        <v>0</v>
      </c>
      <c r="CX79" s="191">
        <f>'Functional Levels Drone Survey'!CX79-'Existing Levels Drone Survey'!CX79</f>
        <v>0</v>
      </c>
      <c r="CY79" s="191">
        <f>'Functional Levels Drone Survey'!CY79-'Existing Levels Drone Survey'!CY79</f>
        <v>0</v>
      </c>
      <c r="CZ79" s="191">
        <f>'Functional Levels Drone Survey'!CZ79-'Existing Levels Drone Survey'!CZ79</f>
        <v>0</v>
      </c>
      <c r="DA79" s="191">
        <f>'Functional Levels Drone Survey'!DA79-'Existing Levels Drone Survey'!DA79</f>
        <v>0</v>
      </c>
      <c r="DB79" s="191">
        <f>'Functional Levels Drone Survey'!DB79-'Existing Levels Drone Survey'!DB79</f>
        <v>0</v>
      </c>
      <c r="DC79" s="191">
        <f>'Functional Levels Drone Survey'!DC79-'Existing Levels Drone Survey'!DC79</f>
        <v>0</v>
      </c>
      <c r="DD79" s="191">
        <f>'Functional Levels Drone Survey'!DD79-'Existing Levels Drone Survey'!DD79</f>
        <v>0</v>
      </c>
      <c r="DE79" s="191">
        <f>'Functional Levels Drone Survey'!DE79-'Existing Levels Drone Survey'!DE79</f>
        <v>0</v>
      </c>
      <c r="DF79" s="191">
        <f>'Functional Levels Drone Survey'!DF79-'Existing Levels Drone Survey'!DF79</f>
        <v>0</v>
      </c>
      <c r="DG79" s="191">
        <f>'Functional Levels Drone Survey'!DG79-'Existing Levels Drone Survey'!DG79</f>
        <v>0</v>
      </c>
      <c r="DH79" s="191">
        <f>'Functional Levels Drone Survey'!DH79-'Existing Levels Drone Survey'!DH79</f>
        <v>0</v>
      </c>
      <c r="DI79" s="191">
        <f>'Functional Levels Drone Survey'!DI79-'Existing Levels Drone Survey'!DI79</f>
        <v>0</v>
      </c>
      <c r="DJ79" s="191">
        <f>'Functional Levels Drone Survey'!DJ79-'Existing Levels Drone Survey'!DJ79</f>
        <v>0</v>
      </c>
      <c r="DK79" s="191">
        <f>'Functional Levels Drone Survey'!DK79-'Existing Levels Drone Survey'!DK79</f>
        <v>0</v>
      </c>
      <c r="DL79" s="191">
        <f>'Functional Levels Drone Survey'!DL79-'Existing Levels Drone Survey'!DL79</f>
        <v>0</v>
      </c>
      <c r="DM79" s="191">
        <f>'Functional Levels Drone Survey'!DM79-'Existing Levels Drone Survey'!DM79</f>
        <v>0</v>
      </c>
      <c r="DN79" s="191">
        <f>'Functional Levels Drone Survey'!DN79-'Existing Levels Drone Survey'!DN79</f>
        <v>0</v>
      </c>
      <c r="DO79" s="191">
        <f>'Functional Levels Drone Survey'!DO79-'Existing Levels Drone Survey'!DO79</f>
        <v>0</v>
      </c>
      <c r="DP79" s="191">
        <f>'Functional Levels Drone Survey'!DP79-'Existing Levels Drone Survey'!DP79</f>
        <v>0</v>
      </c>
      <c r="DQ79" s="191">
        <f>'Functional Levels Drone Survey'!DQ79-'Existing Levels Drone Survey'!DQ79</f>
        <v>0</v>
      </c>
      <c r="DR79" s="191">
        <f>'Functional Levels Drone Survey'!DR79-'Existing Levels Drone Survey'!DR79</f>
        <v>0</v>
      </c>
      <c r="DS79" s="191">
        <f>'Functional Levels Drone Survey'!DS79-'Existing Levels Drone Survey'!DS79</f>
        <v>0</v>
      </c>
      <c r="DT79" s="191">
        <f>'Functional Levels Drone Survey'!DT79-'Existing Levels Drone Survey'!DT79</f>
        <v>0</v>
      </c>
      <c r="DU79" s="191">
        <f>'Functional Levels Drone Survey'!DU79-'Existing Levels Drone Survey'!DU79</f>
        <v>0</v>
      </c>
      <c r="DV79" s="191">
        <f>'Functional Levels Drone Survey'!DV79-'Existing Levels Drone Survey'!DV79</f>
        <v>0</v>
      </c>
      <c r="DW79" s="191">
        <f>'Functional Levels Drone Survey'!DW79-'Existing Levels Drone Survey'!DW79</f>
        <v>0</v>
      </c>
      <c r="DX79" s="191">
        <f>'Functional Levels Drone Survey'!DX79-'Existing Levels Drone Survey'!DX79</f>
        <v>0</v>
      </c>
      <c r="DY79" s="191">
        <f>'Functional Levels Drone Survey'!DY79-'Existing Levels Drone Survey'!DY79</f>
        <v>0</v>
      </c>
      <c r="DZ79" s="191">
        <f>'Functional Levels Drone Survey'!DZ79-'Existing Levels Drone Survey'!DZ79</f>
        <v>0</v>
      </c>
      <c r="EA79" s="191">
        <f>'Functional Levels Drone Survey'!EA79-'Existing Levels Drone Survey'!EA79</f>
        <v>0</v>
      </c>
      <c r="EB79" s="191">
        <f>'Functional Levels Drone Survey'!EB79-'Existing Levels Drone Survey'!EB79</f>
        <v>0</v>
      </c>
      <c r="EC79" s="191">
        <f>'Functional Levels Drone Survey'!EC79-'Existing Levels Drone Survey'!EC79</f>
        <v>0</v>
      </c>
      <c r="ED79" s="191">
        <f>'Functional Levels Drone Survey'!ED79-'Existing Levels Drone Survey'!ED79</f>
        <v>0</v>
      </c>
      <c r="EE79" s="191">
        <f>'Functional Levels Drone Survey'!EE79-'Existing Levels Drone Survey'!EE79</f>
        <v>0</v>
      </c>
      <c r="EF79" s="191">
        <f>'Functional Levels Drone Survey'!EF79-'Existing Levels Drone Survey'!EF79</f>
        <v>0</v>
      </c>
      <c r="EG79" s="191">
        <f>'Functional Levels Drone Survey'!EG79-'Existing Levels Drone Survey'!EG79</f>
        <v>0</v>
      </c>
      <c r="EH79" s="191">
        <f>'Functional Levels Drone Survey'!EH79-'Existing Levels Drone Survey'!EH79</f>
        <v>0</v>
      </c>
      <c r="EI79" s="191">
        <f>'Functional Levels Drone Survey'!EI79-'Existing Levels Drone Survey'!EI79</f>
        <v>0</v>
      </c>
      <c r="EJ79" s="191">
        <f>'Functional Levels Drone Survey'!EJ79-'Existing Levels Drone Survey'!EJ79</f>
        <v>0</v>
      </c>
      <c r="EK79" s="191">
        <f>'Functional Levels Drone Survey'!EK79-'Existing Levels Drone Survey'!EK79</f>
        <v>0</v>
      </c>
      <c r="EL79" s="191">
        <f>'Functional Levels Drone Survey'!EL79-'Existing Levels Drone Survey'!EL79</f>
        <v>0</v>
      </c>
      <c r="EM79" s="191">
        <f>'Functional Levels Drone Survey'!EM79-'Existing Levels Drone Survey'!EM79</f>
        <v>0</v>
      </c>
      <c r="EN79" s="191">
        <f>'Functional Levels Drone Survey'!EN79-'Existing Levels Drone Survey'!EN79</f>
        <v>0</v>
      </c>
      <c r="EO79" s="191">
        <f>'Functional Levels Drone Survey'!EO79-'Existing Levels Drone Survey'!EO79</f>
        <v>0</v>
      </c>
      <c r="EP79" s="191">
        <f>'Functional Levels Drone Survey'!EP79-'Existing Levels Drone Survey'!EP79</f>
        <v>0</v>
      </c>
      <c r="EQ79" s="191">
        <f>'Functional Levels Drone Survey'!EQ79-'Existing Levels Drone Survey'!EQ79</f>
        <v>0</v>
      </c>
      <c r="ER79" s="191">
        <f>'Functional Levels Drone Survey'!ER79-'Existing Levels Drone Survey'!ER79</f>
        <v>0</v>
      </c>
      <c r="ES79" s="191">
        <f>'Functional Levels Drone Survey'!ES79-'Existing Levels Drone Survey'!ES79</f>
        <v>0</v>
      </c>
      <c r="ET79" s="191">
        <f>'Functional Levels Drone Survey'!ET79-'Existing Levels Drone Survey'!ET79</f>
        <v>0</v>
      </c>
      <c r="EU79" s="191">
        <f>'Functional Levels Drone Survey'!EU79-'Existing Levels Drone Survey'!EU79</f>
        <v>0</v>
      </c>
      <c r="EV79" s="191">
        <f>'Functional Levels Drone Survey'!EV79-'Existing Levels Drone Survey'!EV79</f>
        <v>0</v>
      </c>
      <c r="EW79" s="191">
        <f>'Functional Levels Drone Survey'!EW79-'Existing Levels Drone Survey'!EW79</f>
        <v>0</v>
      </c>
      <c r="EX79" s="191">
        <f>'Functional Levels Drone Survey'!EX79-'Existing Levels Drone Survey'!EX79</f>
        <v>0</v>
      </c>
      <c r="EY79" s="191">
        <f>'Functional Levels Drone Survey'!EY79-'Existing Levels Drone Survey'!EY79</f>
        <v>0</v>
      </c>
    </row>
    <row r="80" spans="1:155" ht="45" customHeight="1" x14ac:dyDescent="0.45">
      <c r="A80" s="277">
        <v>395</v>
      </c>
      <c r="B80" s="191">
        <f>'Functional Levels Drone Survey'!B80-'Existing Levels Drone Survey'!B80</f>
        <v>0</v>
      </c>
      <c r="C80" s="191">
        <f>'Functional Levels Drone Survey'!C80-'Existing Levels Drone Survey'!C80</f>
        <v>0</v>
      </c>
      <c r="D80" s="191">
        <f>'Functional Levels Drone Survey'!D80-'Existing Levels Drone Survey'!D80</f>
        <v>0</v>
      </c>
      <c r="E80" s="191">
        <f>'Functional Levels Drone Survey'!E80-'Existing Levels Drone Survey'!E80</f>
        <v>0</v>
      </c>
      <c r="F80" s="278">
        <f>'Functional Levels Drone Survey'!F80-'Existing Levels Drone Survey'!F80</f>
        <v>-0.17325555555567007</v>
      </c>
      <c r="G80" s="191">
        <f>'Functional Levels Drone Survey'!G80-'Existing Levels Drone Survey'!G80</f>
        <v>-1.4755555555666433E-2</v>
      </c>
      <c r="H80" s="279">
        <f>'Functional Levels Drone Survey'!H80-'Existing Levels Drone Survey'!H80</f>
        <v>0.10184444444439578</v>
      </c>
      <c r="I80" s="191">
        <f>'Functional Levels Drone Survey'!I80-'Existing Levels Drone Survey'!I80</f>
        <v>0.10014444444436776</v>
      </c>
      <c r="J80" s="191">
        <f>'Functional Levels Drone Survey'!J80-'Existing Levels Drone Survey'!J80</f>
        <v>9.0244444444351757E-2</v>
      </c>
      <c r="K80" s="191">
        <f>'Functional Levels Drone Survey'!K80-'Existing Levels Drone Survey'!K80</f>
        <v>0.13264444444439505</v>
      </c>
      <c r="L80" s="191">
        <f>'Functional Levels Drone Survey'!L80-'Existing Levels Drone Survey'!L80</f>
        <v>0.13804444444440378</v>
      </c>
      <c r="M80" s="191">
        <f>'Functional Levels Drone Survey'!M80-'Existing Levels Drone Survey'!M80</f>
        <v>0.16234444444438623</v>
      </c>
      <c r="N80" s="191">
        <f>'Functional Levels Drone Survey'!N80-'Existing Levels Drone Survey'!N80</f>
        <v>0.14124444444439632</v>
      </c>
      <c r="O80" s="191">
        <f>'Functional Levels Drone Survey'!O80-'Existing Levels Drone Survey'!O80</f>
        <v>0.10044444444440614</v>
      </c>
      <c r="P80" s="191">
        <f>'Functional Levels Drone Survey'!P80-'Existing Levels Drone Survey'!P80</f>
        <v>-4.3855555555637693E-2</v>
      </c>
      <c r="Q80" s="191">
        <f>'Functional Levels Drone Survey'!Q80-'Existing Levels Drone Survey'!Q80</f>
        <v>5.8244444444369492E-2</v>
      </c>
      <c r="R80" s="191">
        <f>'Functional Levels Drone Survey'!R80-'Existing Levels Drone Survey'!R80</f>
        <v>9.5444444443728571E-3</v>
      </c>
      <c r="S80" s="191">
        <f>'Functional Levels Drone Survey'!S80-'Existing Levels Drone Survey'!S80</f>
        <v>2.6544444444368764E-2</v>
      </c>
      <c r="T80" s="191">
        <f>'Functional Levels Drone Survey'!T80-'Existing Levels Drone Survey'!T80</f>
        <v>2.3744444444389501E-2</v>
      </c>
      <c r="U80" s="191">
        <f>'Functional Levels Drone Survey'!U80-'Existing Levels Drone Survey'!U80</f>
        <v>1.3244444444353576E-2</v>
      </c>
      <c r="V80" s="191">
        <f>'Functional Levels Drone Survey'!V80-'Existing Levels Drone Survey'!V80</f>
        <v>2.8644444444353212E-2</v>
      </c>
      <c r="W80" s="191">
        <f>'Functional Levels Drone Survey'!W80-'Existing Levels Drone Survey'!W80</f>
        <v>3.9544444444402416E-2</v>
      </c>
      <c r="X80" s="191">
        <f>'Functional Levels Drone Survey'!X80-'Existing Levels Drone Survey'!X80</f>
        <v>1.9944444444377041E-2</v>
      </c>
      <c r="Y80" s="279">
        <f>'Functional Levels Drone Survey'!Y80-'Existing Levels Drone Survey'!Y80</f>
        <v>-1.0455555555608953E-2</v>
      </c>
      <c r="Z80" s="278">
        <f>'Functional Levels Drone Survey'!Z80-'Existing Levels Drone Survey'!Z80</f>
        <v>-0.48505555555561841</v>
      </c>
      <c r="AA80" s="191">
        <f>'Functional Levels Drone Survey'!AA80-'Existing Levels Drone Survey'!AA80</f>
        <v>0</v>
      </c>
      <c r="AB80" s="191">
        <f>'Functional Levels Drone Survey'!AB80-'Existing Levels Drone Survey'!AB80</f>
        <v>0</v>
      </c>
      <c r="AC80" s="191">
        <f>'Functional Levels Drone Survey'!AC80-'Existing Levels Drone Survey'!AC80</f>
        <v>0</v>
      </c>
      <c r="AD80" s="191">
        <f>'Functional Levels Drone Survey'!AD80-'Existing Levels Drone Survey'!AD80</f>
        <v>0</v>
      </c>
      <c r="AE80" s="191">
        <f>'Functional Levels Drone Survey'!AE80-'Existing Levels Drone Survey'!AE80</f>
        <v>0</v>
      </c>
      <c r="AF80" s="191">
        <f>'Functional Levels Drone Survey'!AF80-'Existing Levels Drone Survey'!AF80</f>
        <v>0</v>
      </c>
      <c r="AG80" s="191">
        <f>'Functional Levels Drone Survey'!AG80-'Existing Levels Drone Survey'!AG80</f>
        <v>0</v>
      </c>
      <c r="AH80" s="191">
        <f>'Functional Levels Drone Survey'!AH80-'Existing Levels Drone Survey'!AH80</f>
        <v>0</v>
      </c>
      <c r="AI80" s="191">
        <f>'Functional Levels Drone Survey'!AI80-'Existing Levels Drone Survey'!AI80</f>
        <v>0</v>
      </c>
      <c r="AJ80" s="191">
        <f>'Functional Levels Drone Survey'!AJ80-'Existing Levels Drone Survey'!AJ80</f>
        <v>0</v>
      </c>
      <c r="AK80" s="191">
        <f>'Functional Levels Drone Survey'!AK80-'Existing Levels Drone Survey'!AK80</f>
        <v>0</v>
      </c>
      <c r="AL80" s="191">
        <f>'Functional Levels Drone Survey'!AL80-'Existing Levels Drone Survey'!AL80</f>
        <v>0</v>
      </c>
      <c r="AM80" s="191">
        <f>'Functional Levels Drone Survey'!AM80-'Existing Levels Drone Survey'!AM80</f>
        <v>0</v>
      </c>
      <c r="AN80" s="191">
        <f>'Functional Levels Drone Survey'!AN80-'Existing Levels Drone Survey'!AN80</f>
        <v>0</v>
      </c>
      <c r="AO80" s="191">
        <f>'Functional Levels Drone Survey'!AO80-'Existing Levels Drone Survey'!AO80</f>
        <v>0</v>
      </c>
      <c r="AP80" s="191">
        <f>'Functional Levels Drone Survey'!AP80-'Existing Levels Drone Survey'!AP80</f>
        <v>0</v>
      </c>
      <c r="AQ80" s="191">
        <f>'Functional Levels Drone Survey'!AQ80-'Existing Levels Drone Survey'!AQ80</f>
        <v>0</v>
      </c>
      <c r="AR80" s="191">
        <f>'Functional Levels Drone Survey'!AR80-'Existing Levels Drone Survey'!AR80</f>
        <v>0</v>
      </c>
      <c r="AS80" s="191">
        <f>'Functional Levels Drone Survey'!AS80-'Existing Levels Drone Survey'!AS80</f>
        <v>0</v>
      </c>
      <c r="AT80" s="191">
        <f>'Functional Levels Drone Survey'!AT80-'Existing Levels Drone Survey'!AT80</f>
        <v>0</v>
      </c>
      <c r="AU80" s="191">
        <f>'Functional Levels Drone Survey'!AU80-'Existing Levels Drone Survey'!AU80</f>
        <v>0</v>
      </c>
      <c r="AV80" s="191">
        <f>'Functional Levels Drone Survey'!AV80-'Existing Levels Drone Survey'!AV80</f>
        <v>0</v>
      </c>
      <c r="AW80" s="278">
        <f>'Functional Levels Drone Survey'!AW80-'Existing Levels Drone Survey'!AW80</f>
        <v>-0.75545714285732402</v>
      </c>
      <c r="AX80" s="278">
        <f>'Functional Levels Drone Survey'!AX80-'Existing Levels Drone Survey'!AX80</f>
        <v>-0.236047619047838</v>
      </c>
      <c r="AY80" s="278">
        <f>'Functional Levels Drone Survey'!AY80-'Existing Levels Drone Survey'!AY80</f>
        <v>-0.64374761904781508</v>
      </c>
      <c r="AZ80" s="191">
        <f>'Functional Levels Drone Survey'!AZ80-'Existing Levels Drone Survey'!AZ80</f>
        <v>-0.37864761904779698</v>
      </c>
      <c r="BA80" s="191">
        <f>'Functional Levels Drone Survey'!BA80-'Existing Levels Drone Survey'!BA80</f>
        <v>-0.33094761904783354</v>
      </c>
      <c r="BB80" s="191">
        <f>'Functional Levels Drone Survey'!BB80-'Existing Levels Drone Survey'!BB80</f>
        <v>-0.28914761904781017</v>
      </c>
      <c r="BC80" s="191">
        <f>'Functional Levels Drone Survey'!BC80-'Existing Levels Drone Survey'!BC80</f>
        <v>-0.39964761904781199</v>
      </c>
      <c r="BD80" s="191">
        <f>'Functional Levels Drone Survey'!BD80-'Existing Levels Drone Survey'!BD80</f>
        <v>-0.48924761904783054</v>
      </c>
      <c r="BE80" s="191">
        <f>'Functional Levels Drone Survey'!BE80-'Existing Levels Drone Survey'!BE80</f>
        <v>-0.44824761904783372</v>
      </c>
      <c r="BF80" s="191">
        <f>'Functional Levels Drone Survey'!BF80-'Existing Levels Drone Survey'!BF80</f>
        <v>-0.423547619047838</v>
      </c>
      <c r="BG80" s="191">
        <f>'Functional Levels Drone Survey'!BG80-'Existing Levels Drone Survey'!BG80</f>
        <v>-0.34324761904781553</v>
      </c>
      <c r="BH80" s="191">
        <f>'Functional Levels Drone Survey'!BH80-'Existing Levels Drone Survey'!BH80</f>
        <v>-0.46724761904783918</v>
      </c>
      <c r="BI80" s="191">
        <f>'Functional Levels Drone Survey'!BI80-'Existing Levels Drone Survey'!BI80</f>
        <v>-0.32954761904784391</v>
      </c>
      <c r="BJ80" s="191">
        <f>'Functional Levels Drone Survey'!BJ80-'Existing Levels Drone Survey'!BJ80</f>
        <v>-0.32234761904783227</v>
      </c>
      <c r="BK80" s="191">
        <f>'Functional Levels Drone Survey'!BK80-'Existing Levels Drone Survey'!BK80</f>
        <v>-0.39204761904784391</v>
      </c>
      <c r="BL80" s="191">
        <f>'Functional Levels Drone Survey'!BL80-'Existing Levels Drone Survey'!BL80</f>
        <v>-0.39564761904784973</v>
      </c>
      <c r="BM80" s="191">
        <f>'Functional Levels Drone Survey'!BM80-'Existing Levels Drone Survey'!BM80</f>
        <v>-0.43864761904779925</v>
      </c>
      <c r="BN80" s="191">
        <f>'Functional Levels Drone Survey'!BN80-'Existing Levels Drone Survey'!BN80</f>
        <v>-0.51434761904783954</v>
      </c>
      <c r="BO80" s="191">
        <f>'Functional Levels Drone Survey'!BO80-'Existing Levels Drone Survey'!BO80</f>
        <v>-0.34434761904782363</v>
      </c>
      <c r="BP80" s="191">
        <f>'Functional Levels Drone Survey'!BP80-'Existing Levels Drone Survey'!BP80</f>
        <v>-0.13984761904782772</v>
      </c>
      <c r="BQ80" s="191">
        <f>'Functional Levels Drone Survey'!BQ80-'Existing Levels Drone Survey'!BQ80</f>
        <v>-0.17164761904780335</v>
      </c>
      <c r="BR80" s="191">
        <f>'Functional Levels Drone Survey'!BR80-'Existing Levels Drone Survey'!BR80</f>
        <v>-0.18614761904780153</v>
      </c>
      <c r="BS80" s="191">
        <f>'Functional Levels Drone Survey'!BS80-'Existing Levels Drone Survey'!BS80</f>
        <v>-0.10383181818173171</v>
      </c>
      <c r="BT80" s="191">
        <f>'Functional Levels Drone Survey'!BT80-'Existing Levels Drone Survey'!BT80</f>
        <v>-0.13763181818171688</v>
      </c>
      <c r="BU80" s="191">
        <f>'Functional Levels Drone Survey'!BU80-'Existing Levels Drone Survey'!BU80</f>
        <v>-0.14373181818172043</v>
      </c>
      <c r="BV80" s="191">
        <f>'Functional Levels Drone Survey'!BV80-'Existing Levels Drone Survey'!BV80</f>
        <v>-6.0931818181700237E-2</v>
      </c>
      <c r="BW80" s="191">
        <f>'Functional Levels Drone Survey'!BW80-'Existing Levels Drone Survey'!BW80</f>
        <v>-0.13463181818173098</v>
      </c>
      <c r="BX80" s="278">
        <f>'Functional Levels Drone Survey'!BX80-'Existing Levels Drone Survey'!BX80</f>
        <v>-0.3106318181817187</v>
      </c>
      <c r="BY80" s="191">
        <f>'Functional Levels Drone Survey'!BY80-'Existing Levels Drone Survey'!BY80</f>
        <v>0</v>
      </c>
      <c r="BZ80" s="191">
        <f>'Functional Levels Drone Survey'!BZ80-'Existing Levels Drone Survey'!BZ80</f>
        <v>0</v>
      </c>
      <c r="CA80" s="191">
        <f>'Functional Levels Drone Survey'!CA80-'Existing Levels Drone Survey'!CA80</f>
        <v>0</v>
      </c>
      <c r="CB80" s="191">
        <f>'Functional Levels Drone Survey'!CB80-'Existing Levels Drone Survey'!CB80</f>
        <v>0</v>
      </c>
      <c r="CC80" s="191">
        <f>'Functional Levels Drone Survey'!CC80-'Existing Levels Drone Survey'!CC80</f>
        <v>0</v>
      </c>
      <c r="CD80" s="191">
        <f>'Functional Levels Drone Survey'!CD80-'Existing Levels Drone Survey'!CD80</f>
        <v>0</v>
      </c>
      <c r="CE80" s="191">
        <f>'Functional Levels Drone Survey'!CE80-'Existing Levels Drone Survey'!CE80</f>
        <v>0</v>
      </c>
      <c r="CF80" s="191">
        <f>'Functional Levels Drone Survey'!CF80-'Existing Levels Drone Survey'!CF80</f>
        <v>0</v>
      </c>
      <c r="CG80" s="191">
        <f>'Functional Levels Drone Survey'!CG80-'Existing Levels Drone Survey'!CG80</f>
        <v>0</v>
      </c>
      <c r="CH80" s="191">
        <f>'Functional Levels Drone Survey'!CH80-'Existing Levels Drone Survey'!CH80</f>
        <v>0</v>
      </c>
      <c r="CI80" s="191">
        <f>'Functional Levels Drone Survey'!CI80-'Existing Levels Drone Survey'!CI80</f>
        <v>0</v>
      </c>
      <c r="CJ80" s="191">
        <f>'Functional Levels Drone Survey'!CJ80-'Existing Levels Drone Survey'!CJ80</f>
        <v>0</v>
      </c>
      <c r="CK80" s="191">
        <f>'Functional Levels Drone Survey'!CK80-'Existing Levels Drone Survey'!CK80</f>
        <v>0</v>
      </c>
      <c r="CL80" s="191">
        <f>'Functional Levels Drone Survey'!CL80-'Existing Levels Drone Survey'!CL80</f>
        <v>0</v>
      </c>
      <c r="CM80" s="191">
        <f>'Functional Levels Drone Survey'!CM80-'Existing Levels Drone Survey'!CM80</f>
        <v>0</v>
      </c>
      <c r="CN80" s="191">
        <f>'Functional Levels Drone Survey'!CN80-'Existing Levels Drone Survey'!CN80</f>
        <v>0</v>
      </c>
      <c r="CO80" s="191">
        <f>'Functional Levels Drone Survey'!CO80-'Existing Levels Drone Survey'!CO80</f>
        <v>0</v>
      </c>
      <c r="CP80" s="191">
        <f>'Functional Levels Drone Survey'!CP80-'Existing Levels Drone Survey'!CP80</f>
        <v>0</v>
      </c>
      <c r="CQ80" s="191">
        <f>'Functional Levels Drone Survey'!CQ80-'Existing Levels Drone Survey'!CQ80</f>
        <v>0</v>
      </c>
      <c r="CR80" s="191">
        <f>'Functional Levels Drone Survey'!CR80-'Existing Levels Drone Survey'!CR80</f>
        <v>0</v>
      </c>
      <c r="CS80" s="191">
        <f>'Functional Levels Drone Survey'!CS80-'Existing Levels Drone Survey'!CS80</f>
        <v>0</v>
      </c>
      <c r="CT80" s="191">
        <f>'Functional Levels Drone Survey'!CT80-'Existing Levels Drone Survey'!CT80</f>
        <v>0</v>
      </c>
      <c r="CU80" s="191">
        <f>'Functional Levels Drone Survey'!CU80-'Existing Levels Drone Survey'!CU80</f>
        <v>0</v>
      </c>
      <c r="CV80" s="191">
        <f>'Functional Levels Drone Survey'!CV80-'Existing Levels Drone Survey'!CV80</f>
        <v>0</v>
      </c>
      <c r="CW80" s="191">
        <f>'Functional Levels Drone Survey'!CW80-'Existing Levels Drone Survey'!CW80</f>
        <v>0</v>
      </c>
      <c r="CX80" s="191">
        <f>'Functional Levels Drone Survey'!CX80-'Existing Levels Drone Survey'!CX80</f>
        <v>0</v>
      </c>
      <c r="CY80" s="191">
        <f>'Functional Levels Drone Survey'!CY80-'Existing Levels Drone Survey'!CY80</f>
        <v>0</v>
      </c>
      <c r="CZ80" s="191">
        <f>'Functional Levels Drone Survey'!CZ80-'Existing Levels Drone Survey'!CZ80</f>
        <v>0</v>
      </c>
      <c r="DA80" s="191">
        <f>'Functional Levels Drone Survey'!DA80-'Existing Levels Drone Survey'!DA80</f>
        <v>0</v>
      </c>
      <c r="DB80" s="191">
        <f>'Functional Levels Drone Survey'!DB80-'Existing Levels Drone Survey'!DB80</f>
        <v>0</v>
      </c>
      <c r="DC80" s="191">
        <f>'Functional Levels Drone Survey'!DC80-'Existing Levels Drone Survey'!DC80</f>
        <v>0</v>
      </c>
      <c r="DD80" s="191">
        <f>'Functional Levels Drone Survey'!DD80-'Existing Levels Drone Survey'!DD80</f>
        <v>0</v>
      </c>
      <c r="DE80" s="191">
        <f>'Functional Levels Drone Survey'!DE80-'Existing Levels Drone Survey'!DE80</f>
        <v>0</v>
      </c>
      <c r="DF80" s="191">
        <f>'Functional Levels Drone Survey'!DF80-'Existing Levels Drone Survey'!DF80</f>
        <v>0</v>
      </c>
      <c r="DG80" s="191">
        <f>'Functional Levels Drone Survey'!DG80-'Existing Levels Drone Survey'!DG80</f>
        <v>0</v>
      </c>
      <c r="DH80" s="191">
        <f>'Functional Levels Drone Survey'!DH80-'Existing Levels Drone Survey'!DH80</f>
        <v>0</v>
      </c>
      <c r="DI80" s="191">
        <f>'Functional Levels Drone Survey'!DI80-'Existing Levels Drone Survey'!DI80</f>
        <v>0</v>
      </c>
      <c r="DJ80" s="191">
        <f>'Functional Levels Drone Survey'!DJ80-'Existing Levels Drone Survey'!DJ80</f>
        <v>0</v>
      </c>
      <c r="DK80" s="191">
        <f>'Functional Levels Drone Survey'!DK80-'Existing Levels Drone Survey'!DK80</f>
        <v>0</v>
      </c>
      <c r="DL80" s="191">
        <f>'Functional Levels Drone Survey'!DL80-'Existing Levels Drone Survey'!DL80</f>
        <v>0</v>
      </c>
      <c r="DM80" s="191">
        <f>'Functional Levels Drone Survey'!DM80-'Existing Levels Drone Survey'!DM80</f>
        <v>0</v>
      </c>
      <c r="DN80" s="191">
        <f>'Functional Levels Drone Survey'!DN80-'Existing Levels Drone Survey'!DN80</f>
        <v>0</v>
      </c>
      <c r="DO80" s="191">
        <f>'Functional Levels Drone Survey'!DO80-'Existing Levels Drone Survey'!DO80</f>
        <v>0</v>
      </c>
      <c r="DP80" s="191">
        <f>'Functional Levels Drone Survey'!DP80-'Existing Levels Drone Survey'!DP80</f>
        <v>0</v>
      </c>
      <c r="DQ80" s="191">
        <f>'Functional Levels Drone Survey'!DQ80-'Existing Levels Drone Survey'!DQ80</f>
        <v>0</v>
      </c>
      <c r="DR80" s="191">
        <f>'Functional Levels Drone Survey'!DR80-'Existing Levels Drone Survey'!DR80</f>
        <v>0</v>
      </c>
      <c r="DS80" s="191">
        <f>'Functional Levels Drone Survey'!DS80-'Existing Levels Drone Survey'!DS80</f>
        <v>0</v>
      </c>
      <c r="DT80" s="191">
        <f>'Functional Levels Drone Survey'!DT80-'Existing Levels Drone Survey'!DT80</f>
        <v>0</v>
      </c>
      <c r="DU80" s="191">
        <f>'Functional Levels Drone Survey'!DU80-'Existing Levels Drone Survey'!DU80</f>
        <v>0</v>
      </c>
      <c r="DV80" s="191">
        <f>'Functional Levels Drone Survey'!DV80-'Existing Levels Drone Survey'!DV80</f>
        <v>0</v>
      </c>
      <c r="DW80" s="191">
        <f>'Functional Levels Drone Survey'!DW80-'Existing Levels Drone Survey'!DW80</f>
        <v>0</v>
      </c>
      <c r="DX80" s="191">
        <f>'Functional Levels Drone Survey'!DX80-'Existing Levels Drone Survey'!DX80</f>
        <v>0</v>
      </c>
      <c r="DY80" s="191">
        <f>'Functional Levels Drone Survey'!DY80-'Existing Levels Drone Survey'!DY80</f>
        <v>0</v>
      </c>
      <c r="DZ80" s="191">
        <f>'Functional Levels Drone Survey'!DZ80-'Existing Levels Drone Survey'!DZ80</f>
        <v>0</v>
      </c>
      <c r="EA80" s="191">
        <f>'Functional Levels Drone Survey'!EA80-'Existing Levels Drone Survey'!EA80</f>
        <v>0</v>
      </c>
      <c r="EB80" s="191">
        <f>'Functional Levels Drone Survey'!EB80-'Existing Levels Drone Survey'!EB80</f>
        <v>0</v>
      </c>
      <c r="EC80" s="191">
        <f>'Functional Levels Drone Survey'!EC80-'Existing Levels Drone Survey'!EC80</f>
        <v>0</v>
      </c>
      <c r="ED80" s="191">
        <f>'Functional Levels Drone Survey'!ED80-'Existing Levels Drone Survey'!ED80</f>
        <v>0</v>
      </c>
      <c r="EE80" s="191">
        <f>'Functional Levels Drone Survey'!EE80-'Existing Levels Drone Survey'!EE80</f>
        <v>0</v>
      </c>
      <c r="EF80" s="191">
        <f>'Functional Levels Drone Survey'!EF80-'Existing Levels Drone Survey'!EF80</f>
        <v>0</v>
      </c>
      <c r="EG80" s="191">
        <f>'Functional Levels Drone Survey'!EG80-'Existing Levels Drone Survey'!EG80</f>
        <v>0</v>
      </c>
      <c r="EH80" s="191">
        <f>'Functional Levels Drone Survey'!EH80-'Existing Levels Drone Survey'!EH80</f>
        <v>0</v>
      </c>
      <c r="EI80" s="191">
        <f>'Functional Levels Drone Survey'!EI80-'Existing Levels Drone Survey'!EI80</f>
        <v>0</v>
      </c>
      <c r="EJ80" s="191">
        <f>'Functional Levels Drone Survey'!EJ80-'Existing Levels Drone Survey'!EJ80</f>
        <v>0</v>
      </c>
      <c r="EK80" s="191">
        <f>'Functional Levels Drone Survey'!EK80-'Existing Levels Drone Survey'!EK80</f>
        <v>0</v>
      </c>
      <c r="EL80" s="191">
        <f>'Functional Levels Drone Survey'!EL80-'Existing Levels Drone Survey'!EL80</f>
        <v>0</v>
      </c>
      <c r="EM80" s="191">
        <f>'Functional Levels Drone Survey'!EM80-'Existing Levels Drone Survey'!EM80</f>
        <v>0</v>
      </c>
      <c r="EN80" s="191">
        <f>'Functional Levels Drone Survey'!EN80-'Existing Levels Drone Survey'!EN80</f>
        <v>0</v>
      </c>
      <c r="EO80" s="191">
        <f>'Functional Levels Drone Survey'!EO80-'Existing Levels Drone Survey'!EO80</f>
        <v>0</v>
      </c>
      <c r="EP80" s="191">
        <f>'Functional Levels Drone Survey'!EP80-'Existing Levels Drone Survey'!EP80</f>
        <v>0</v>
      </c>
      <c r="EQ80" s="191">
        <f>'Functional Levels Drone Survey'!EQ80-'Existing Levels Drone Survey'!EQ80</f>
        <v>0</v>
      </c>
      <c r="ER80" s="191">
        <f>'Functional Levels Drone Survey'!ER80-'Existing Levels Drone Survey'!ER80</f>
        <v>0</v>
      </c>
      <c r="ES80" s="191">
        <f>'Functional Levels Drone Survey'!ES80-'Existing Levels Drone Survey'!ES80</f>
        <v>0</v>
      </c>
      <c r="ET80" s="191">
        <f>'Functional Levels Drone Survey'!ET80-'Existing Levels Drone Survey'!ET80</f>
        <v>0</v>
      </c>
      <c r="EU80" s="191">
        <f>'Functional Levels Drone Survey'!EU80-'Existing Levels Drone Survey'!EU80</f>
        <v>0</v>
      </c>
      <c r="EV80" s="191">
        <f>'Functional Levels Drone Survey'!EV80-'Existing Levels Drone Survey'!EV80</f>
        <v>0</v>
      </c>
      <c r="EW80" s="191">
        <f>'Functional Levels Drone Survey'!EW80-'Existing Levels Drone Survey'!EW80</f>
        <v>0</v>
      </c>
      <c r="EX80" s="191">
        <f>'Functional Levels Drone Survey'!EX80-'Existing Levels Drone Survey'!EX80</f>
        <v>0</v>
      </c>
      <c r="EY80" s="191">
        <f>'Functional Levels Drone Survey'!EY80-'Existing Levels Drone Survey'!EY80</f>
        <v>0</v>
      </c>
    </row>
    <row r="81" spans="1:159" ht="45" customHeight="1" x14ac:dyDescent="0.45">
      <c r="A81" s="277">
        <v>400</v>
      </c>
      <c r="B81" s="191">
        <f>'Functional Levels Drone Survey'!B81-'Existing Levels Drone Survey'!B81</f>
        <v>0</v>
      </c>
      <c r="C81" s="191">
        <f>'Functional Levels Drone Survey'!C81-'Existing Levels Drone Survey'!C81</f>
        <v>0</v>
      </c>
      <c r="D81" s="191">
        <f>'Functional Levels Drone Survey'!D81-'Existing Levels Drone Survey'!D81</f>
        <v>0</v>
      </c>
      <c r="E81" s="191">
        <f>'Functional Levels Drone Survey'!E81-'Existing Levels Drone Survey'!E81</f>
        <v>0</v>
      </c>
      <c r="F81" s="278">
        <f>'Functional Levels Drone Survey'!F81-'Existing Levels Drone Survey'!F81</f>
        <v>-0.25715555555564151</v>
      </c>
      <c r="G81" s="191">
        <f>'Functional Levels Drone Survey'!G81-'Existing Levels Drone Survey'!G81</f>
        <v>-0.13005555555565707</v>
      </c>
      <c r="H81" s="279">
        <f>'Functional Levels Drone Survey'!H81-'Existing Levels Drone Survey'!H81</f>
        <v>2.7644444444376859E-2</v>
      </c>
      <c r="I81" s="191">
        <f>'Functional Levels Drone Survey'!I81-'Existing Levels Drone Survey'!I81</f>
        <v>9.3444444443662178E-3</v>
      </c>
      <c r="J81" s="191">
        <f>'Functional Levels Drone Survey'!J81-'Existing Levels Drone Survey'!J81</f>
        <v>1.3444444444360215E-2</v>
      </c>
      <c r="K81" s="191">
        <f>'Functional Levels Drone Survey'!K81-'Existing Levels Drone Survey'!K81</f>
        <v>4.1544444444355122E-2</v>
      </c>
      <c r="L81" s="191">
        <f>'Functional Levels Drone Survey'!L81-'Existing Levels Drone Survey'!L81</f>
        <v>6.1944444444350211E-2</v>
      </c>
      <c r="M81" s="191">
        <f>'Functional Levels Drone Survey'!M81-'Existing Levels Drone Survey'!M81</f>
        <v>6.1744444444343571E-2</v>
      </c>
      <c r="N81" s="191">
        <f>'Functional Levels Drone Survey'!N81-'Existing Levels Drone Survey'!N81</f>
        <v>4.5044444444386045E-2</v>
      </c>
      <c r="O81" s="191">
        <f>'Functional Levels Drone Survey'!O81-'Existing Levels Drone Survey'!O81</f>
        <v>3.9144444444389137E-2</v>
      </c>
      <c r="P81" s="191">
        <f>'Functional Levels Drone Survey'!P81-'Existing Levels Drone Survey'!P81</f>
        <v>-5.5055555555611591E-2</v>
      </c>
      <c r="Q81" s="191">
        <f>'Functional Levels Drone Survey'!Q81-'Existing Levels Drone Survey'!Q81</f>
        <v>-1.475555555560959E-2</v>
      </c>
      <c r="R81" s="191">
        <f>'Functional Levels Drone Survey'!R81-'Existing Levels Drone Survey'!R81</f>
        <v>-3.7755555555634146E-2</v>
      </c>
      <c r="S81" s="191">
        <f>'Functional Levels Drone Survey'!S81-'Existing Levels Drone Survey'!S81</f>
        <v>-5.3155555555633782E-2</v>
      </c>
      <c r="T81" s="191">
        <f>'Functional Levels Drone Survey'!T81-'Existing Levels Drone Survey'!T81</f>
        <v>-8.1155555555653791E-2</v>
      </c>
      <c r="U81" s="191">
        <f>'Functional Levels Drone Survey'!U81-'Existing Levels Drone Survey'!U81</f>
        <v>-7.1755555555625961E-2</v>
      </c>
      <c r="V81" s="191">
        <f>'Functional Levels Drone Survey'!V81-'Existing Levels Drone Survey'!V81</f>
        <v>-6.1855555555609953E-2</v>
      </c>
      <c r="W81" s="191">
        <f>'Functional Levels Drone Survey'!W81-'Existing Levels Drone Survey'!W81</f>
        <v>-4.035555555560677E-2</v>
      </c>
      <c r="X81" s="191">
        <f>'Functional Levels Drone Survey'!X81-'Existing Levels Drone Survey'!X81</f>
        <v>-5.3955555555660339E-2</v>
      </c>
      <c r="Y81" s="279">
        <f>'Functional Levels Drone Survey'!Y81-'Existing Levels Drone Survey'!Y81</f>
        <v>-0.13915555555564652</v>
      </c>
      <c r="Z81" s="278">
        <f>'Functional Levels Drone Survey'!Z81-'Existing Levels Drone Survey'!Z81</f>
        <v>-1.3333555555556131</v>
      </c>
      <c r="AA81" s="191">
        <f>'Functional Levels Drone Survey'!AA81-'Existing Levels Drone Survey'!AA81</f>
        <v>0</v>
      </c>
      <c r="AB81" s="191">
        <f>'Functional Levels Drone Survey'!AB81-'Existing Levels Drone Survey'!AB81</f>
        <v>0</v>
      </c>
      <c r="AC81" s="191">
        <f>'Functional Levels Drone Survey'!AC81-'Existing Levels Drone Survey'!AC81</f>
        <v>0</v>
      </c>
      <c r="AD81" s="191">
        <f>'Functional Levels Drone Survey'!AD81-'Existing Levels Drone Survey'!AD81</f>
        <v>0</v>
      </c>
      <c r="AE81" s="191">
        <f>'Functional Levels Drone Survey'!AE81-'Existing Levels Drone Survey'!AE81</f>
        <v>0</v>
      </c>
      <c r="AF81" s="191">
        <f>'Functional Levels Drone Survey'!AF81-'Existing Levels Drone Survey'!AF81</f>
        <v>0</v>
      </c>
      <c r="AG81" s="191">
        <f>'Functional Levels Drone Survey'!AG81-'Existing Levels Drone Survey'!AG81</f>
        <v>0</v>
      </c>
      <c r="AH81" s="191">
        <f>'Functional Levels Drone Survey'!AH81-'Existing Levels Drone Survey'!AH81</f>
        <v>0</v>
      </c>
      <c r="AI81" s="191">
        <f>'Functional Levels Drone Survey'!AI81-'Existing Levels Drone Survey'!AI81</f>
        <v>0</v>
      </c>
      <c r="AJ81" s="191">
        <f>'Functional Levels Drone Survey'!AJ81-'Existing Levels Drone Survey'!AJ81</f>
        <v>0</v>
      </c>
      <c r="AK81" s="191">
        <f>'Functional Levels Drone Survey'!AK81-'Existing Levels Drone Survey'!AK81</f>
        <v>0</v>
      </c>
      <c r="AL81" s="191">
        <f>'Functional Levels Drone Survey'!AL81-'Existing Levels Drone Survey'!AL81</f>
        <v>0</v>
      </c>
      <c r="AM81" s="191">
        <f>'Functional Levels Drone Survey'!AM81-'Existing Levels Drone Survey'!AM81</f>
        <v>0</v>
      </c>
      <c r="AN81" s="191">
        <f>'Functional Levels Drone Survey'!AN81-'Existing Levels Drone Survey'!AN81</f>
        <v>0</v>
      </c>
      <c r="AO81" s="191">
        <f>'Functional Levels Drone Survey'!AO81-'Existing Levels Drone Survey'!AO81</f>
        <v>0</v>
      </c>
      <c r="AP81" s="191">
        <f>'Functional Levels Drone Survey'!AP81-'Existing Levels Drone Survey'!AP81</f>
        <v>0</v>
      </c>
      <c r="AQ81" s="191">
        <f>'Functional Levels Drone Survey'!AQ81-'Existing Levels Drone Survey'!AQ81</f>
        <v>0</v>
      </c>
      <c r="AR81" s="191">
        <f>'Functional Levels Drone Survey'!AR81-'Existing Levels Drone Survey'!AR81</f>
        <v>0</v>
      </c>
      <c r="AS81" s="191">
        <f>'Functional Levels Drone Survey'!AS81-'Existing Levels Drone Survey'!AS81</f>
        <v>0</v>
      </c>
      <c r="AT81" s="191">
        <f>'Functional Levels Drone Survey'!AT81-'Existing Levels Drone Survey'!AT81</f>
        <v>0</v>
      </c>
      <c r="AU81" s="191">
        <f>'Functional Levels Drone Survey'!AU81-'Existing Levels Drone Survey'!AU81</f>
        <v>0</v>
      </c>
      <c r="AV81" s="191">
        <f>'Functional Levels Drone Survey'!AV81-'Existing Levels Drone Survey'!AV81</f>
        <v>0</v>
      </c>
      <c r="AW81" s="191">
        <f>'Functional Levels Drone Survey'!AW81-'Existing Levels Drone Survey'!AW81</f>
        <v>0</v>
      </c>
      <c r="AX81" s="191">
        <f>'Functional Levels Drone Survey'!AX81-'Existing Levels Drone Survey'!AX81</f>
        <v>0</v>
      </c>
      <c r="AY81" s="191">
        <f>'Functional Levels Drone Survey'!AY81-'Existing Levels Drone Survey'!AY81</f>
        <v>0</v>
      </c>
      <c r="AZ81" s="278">
        <f>'Functional Levels Drone Survey'!AZ81-'Existing Levels Drone Survey'!AZ81</f>
        <v>-0.98344761904780853</v>
      </c>
      <c r="BA81" s="278">
        <f>'Functional Levels Drone Survey'!BA81-'Existing Levels Drone Survey'!BA81</f>
        <v>-0.85464761904779607</v>
      </c>
      <c r="BB81" s="278">
        <f>'Functional Levels Drone Survey'!BB81-'Existing Levels Drone Survey'!BB81</f>
        <v>-0.94294761904779989</v>
      </c>
      <c r="BC81" s="278">
        <f>'Functional Levels Drone Survey'!BC81-'Existing Levels Drone Survey'!BC81</f>
        <v>-0.95624761904781508</v>
      </c>
      <c r="BD81" s="278">
        <f>'Functional Levels Drone Survey'!BD81-'Existing Levels Drone Survey'!BD81</f>
        <v>-0.97044761904783172</v>
      </c>
      <c r="BE81" s="278">
        <f>'Functional Levels Drone Survey'!BE81-'Existing Levels Drone Survey'!BE81</f>
        <v>-0.98164761904780562</v>
      </c>
      <c r="BF81" s="278">
        <f>'Functional Levels Drone Survey'!BF81-'Existing Levels Drone Survey'!BF81</f>
        <v>-0.96364761904783336</v>
      </c>
      <c r="BG81" s="278">
        <f>'Functional Levels Drone Survey'!BG81-'Existing Levels Drone Survey'!BG81</f>
        <v>-0.79084761904783818</v>
      </c>
      <c r="BH81" s="278">
        <f>'Functional Levels Drone Survey'!BH81-'Existing Levels Drone Survey'!BH81</f>
        <v>-0.84064761904784291</v>
      </c>
      <c r="BI81" s="278">
        <f>'Functional Levels Drone Survey'!BI81-'Existing Levels Drone Survey'!BI81</f>
        <v>-0.897247619047846</v>
      </c>
      <c r="BJ81" s="278">
        <f>'Functional Levels Drone Survey'!BJ81-'Existing Levels Drone Survey'!BJ81</f>
        <v>-0.88404761904780571</v>
      </c>
      <c r="BK81" s="278">
        <f>'Functional Levels Drone Survey'!BK81-'Existing Levels Drone Survey'!BK81</f>
        <v>-0.81284761904782954</v>
      </c>
      <c r="BL81" s="278">
        <f>'Functional Levels Drone Survey'!BL81-'Existing Levels Drone Survey'!BL81</f>
        <v>-0.96314761904784518</v>
      </c>
      <c r="BM81" s="278">
        <f>'Functional Levels Drone Survey'!BM81-'Existing Levels Drone Survey'!BM81</f>
        <v>-1.3840476190478057</v>
      </c>
      <c r="BN81" s="278">
        <f>'Functional Levels Drone Survey'!BN81-'Existing Levels Drone Survey'!BN81</f>
        <v>-1.2036476190478425</v>
      </c>
      <c r="BO81" s="278">
        <f>'Functional Levels Drone Survey'!BO81-'Existing Levels Drone Survey'!BO81</f>
        <v>-1.1803476190478364</v>
      </c>
      <c r="BP81" s="278">
        <f>'Functional Levels Drone Survey'!BP81-'Existing Levels Drone Survey'!BP81</f>
        <v>-0.88154761904780798</v>
      </c>
      <c r="BQ81" s="278">
        <f>'Functional Levels Drone Survey'!BQ81-'Existing Levels Drone Survey'!BQ81</f>
        <v>-1.3637476190478424</v>
      </c>
      <c r="BR81" s="278">
        <f>'Functional Levels Drone Survey'!BR81-'Existing Levels Drone Survey'!BR81</f>
        <v>-1.3647476190478187</v>
      </c>
      <c r="BS81" s="278">
        <f>'Functional Levels Drone Survey'!BS81-'Existing Levels Drone Survey'!BS81</f>
        <v>-0.93693181818173343</v>
      </c>
      <c r="BT81" s="278">
        <f>'Functional Levels Drone Survey'!BT81-'Existing Levels Drone Survey'!BT81</f>
        <v>-0.14763181818170779</v>
      </c>
      <c r="BU81" s="278">
        <f>'Functional Levels Drone Survey'!BU81-'Existing Levels Drone Survey'!BU81</f>
        <v>-9.4931818181692051E-2</v>
      </c>
      <c r="BV81" s="278">
        <f>'Functional Levels Drone Survey'!BV81-'Existing Levels Drone Survey'!BV81</f>
        <v>-0.18703181818170833</v>
      </c>
      <c r="BW81" s="278">
        <f>'Functional Levels Drone Survey'!BW81-'Existing Levels Drone Survey'!BW81</f>
        <v>-0.57093181818169114</v>
      </c>
      <c r="BX81" s="278">
        <f>'Functional Levels Drone Survey'!BX81-'Existing Levels Drone Survey'!BX81</f>
        <v>-0.44643181818173616</v>
      </c>
      <c r="BY81" s="191">
        <f>'Functional Levels Drone Survey'!BY81-'Existing Levels Drone Survey'!BY81</f>
        <v>0</v>
      </c>
      <c r="BZ81" s="191">
        <f>'Functional Levels Drone Survey'!BZ81-'Existing Levels Drone Survey'!BZ81</f>
        <v>0</v>
      </c>
      <c r="CA81" s="191">
        <f>'Functional Levels Drone Survey'!CA81-'Existing Levels Drone Survey'!CA81</f>
        <v>0</v>
      </c>
      <c r="CB81" s="191">
        <f>'Functional Levels Drone Survey'!CB81-'Existing Levels Drone Survey'!CB81</f>
        <v>0</v>
      </c>
      <c r="CC81" s="191">
        <f>'Functional Levels Drone Survey'!CC81-'Existing Levels Drone Survey'!CC81</f>
        <v>0</v>
      </c>
      <c r="CD81" s="191">
        <f>'Functional Levels Drone Survey'!CD81-'Existing Levels Drone Survey'!CD81</f>
        <v>0</v>
      </c>
      <c r="CE81" s="191">
        <f>'Functional Levels Drone Survey'!CE81-'Existing Levels Drone Survey'!CE81</f>
        <v>0</v>
      </c>
      <c r="CF81" s="191">
        <f>'Functional Levels Drone Survey'!CF81-'Existing Levels Drone Survey'!CF81</f>
        <v>0</v>
      </c>
      <c r="CG81" s="191">
        <f>'Functional Levels Drone Survey'!CG81-'Existing Levels Drone Survey'!CG81</f>
        <v>0</v>
      </c>
      <c r="CH81" s="191">
        <f>'Functional Levels Drone Survey'!CH81-'Existing Levels Drone Survey'!CH81</f>
        <v>0</v>
      </c>
      <c r="CI81" s="191">
        <f>'Functional Levels Drone Survey'!CI81-'Existing Levels Drone Survey'!CI81</f>
        <v>0</v>
      </c>
      <c r="CJ81" s="191">
        <f>'Functional Levels Drone Survey'!CJ81-'Existing Levels Drone Survey'!CJ81</f>
        <v>0</v>
      </c>
      <c r="CK81" s="191">
        <f>'Functional Levels Drone Survey'!CK81-'Existing Levels Drone Survey'!CK81</f>
        <v>0</v>
      </c>
      <c r="CL81" s="191">
        <f>'Functional Levels Drone Survey'!CL81-'Existing Levels Drone Survey'!CL81</f>
        <v>0</v>
      </c>
      <c r="CM81" s="191">
        <f>'Functional Levels Drone Survey'!CM81-'Existing Levels Drone Survey'!CM81</f>
        <v>0</v>
      </c>
      <c r="CN81" s="191">
        <f>'Functional Levels Drone Survey'!CN81-'Existing Levels Drone Survey'!CN81</f>
        <v>0</v>
      </c>
      <c r="CO81" s="191">
        <f>'Functional Levels Drone Survey'!CO81-'Existing Levels Drone Survey'!CO81</f>
        <v>0</v>
      </c>
      <c r="CP81" s="191">
        <f>'Functional Levels Drone Survey'!CP81-'Existing Levels Drone Survey'!CP81</f>
        <v>0</v>
      </c>
      <c r="CQ81" s="191">
        <f>'Functional Levels Drone Survey'!CQ81-'Existing Levels Drone Survey'!CQ81</f>
        <v>0</v>
      </c>
      <c r="CR81" s="191">
        <f>'Functional Levels Drone Survey'!CR81-'Existing Levels Drone Survey'!CR81</f>
        <v>0</v>
      </c>
      <c r="CS81" s="191">
        <f>'Functional Levels Drone Survey'!CS81-'Existing Levels Drone Survey'!CS81</f>
        <v>0</v>
      </c>
      <c r="CT81" s="191">
        <f>'Functional Levels Drone Survey'!CT81-'Existing Levels Drone Survey'!CT81</f>
        <v>0</v>
      </c>
      <c r="CU81" s="191">
        <f>'Functional Levels Drone Survey'!CU81-'Existing Levels Drone Survey'!CU81</f>
        <v>0</v>
      </c>
      <c r="CV81" s="191">
        <f>'Functional Levels Drone Survey'!CV81-'Existing Levels Drone Survey'!CV81</f>
        <v>0</v>
      </c>
      <c r="CW81" s="191">
        <f>'Functional Levels Drone Survey'!CW81-'Existing Levels Drone Survey'!CW81</f>
        <v>0</v>
      </c>
      <c r="CX81" s="191">
        <f>'Functional Levels Drone Survey'!CX81-'Existing Levels Drone Survey'!CX81</f>
        <v>0</v>
      </c>
      <c r="CY81" s="191">
        <f>'Functional Levels Drone Survey'!CY81-'Existing Levels Drone Survey'!CY81</f>
        <v>0</v>
      </c>
      <c r="CZ81" s="191">
        <f>'Functional Levels Drone Survey'!CZ81-'Existing Levels Drone Survey'!CZ81</f>
        <v>0</v>
      </c>
      <c r="DA81" s="191">
        <f>'Functional Levels Drone Survey'!DA81-'Existing Levels Drone Survey'!DA81</f>
        <v>0</v>
      </c>
      <c r="DB81" s="191">
        <f>'Functional Levels Drone Survey'!DB81-'Existing Levels Drone Survey'!DB81</f>
        <v>0</v>
      </c>
      <c r="DC81" s="191">
        <f>'Functional Levels Drone Survey'!DC81-'Existing Levels Drone Survey'!DC81</f>
        <v>0</v>
      </c>
      <c r="DD81" s="191">
        <f>'Functional Levels Drone Survey'!DD81-'Existing Levels Drone Survey'!DD81</f>
        <v>0</v>
      </c>
      <c r="DE81" s="191">
        <f>'Functional Levels Drone Survey'!DE81-'Existing Levels Drone Survey'!DE81</f>
        <v>0</v>
      </c>
      <c r="DF81" s="191">
        <f>'Functional Levels Drone Survey'!DF81-'Existing Levels Drone Survey'!DF81</f>
        <v>0</v>
      </c>
      <c r="DG81" s="191">
        <f>'Functional Levels Drone Survey'!DG81-'Existing Levels Drone Survey'!DG81</f>
        <v>0</v>
      </c>
      <c r="DH81" s="191">
        <f>'Functional Levels Drone Survey'!DH81-'Existing Levels Drone Survey'!DH81</f>
        <v>0</v>
      </c>
      <c r="DI81" s="191">
        <f>'Functional Levels Drone Survey'!DI81-'Existing Levels Drone Survey'!DI81</f>
        <v>0</v>
      </c>
      <c r="DJ81" s="191">
        <f>'Functional Levels Drone Survey'!DJ81-'Existing Levels Drone Survey'!DJ81</f>
        <v>0</v>
      </c>
      <c r="DK81" s="191">
        <f>'Functional Levels Drone Survey'!DK81-'Existing Levels Drone Survey'!DK81</f>
        <v>0</v>
      </c>
      <c r="DL81" s="191">
        <f>'Functional Levels Drone Survey'!DL81-'Existing Levels Drone Survey'!DL81</f>
        <v>0</v>
      </c>
      <c r="DM81" s="191">
        <f>'Functional Levels Drone Survey'!DM81-'Existing Levels Drone Survey'!DM81</f>
        <v>0</v>
      </c>
      <c r="DN81" s="191">
        <f>'Functional Levels Drone Survey'!DN81-'Existing Levels Drone Survey'!DN81</f>
        <v>0</v>
      </c>
      <c r="DO81" s="191">
        <f>'Functional Levels Drone Survey'!DO81-'Existing Levels Drone Survey'!DO81</f>
        <v>0</v>
      </c>
      <c r="DP81" s="191">
        <f>'Functional Levels Drone Survey'!DP81-'Existing Levels Drone Survey'!DP81</f>
        <v>0</v>
      </c>
      <c r="DQ81" s="191">
        <f>'Functional Levels Drone Survey'!DQ81-'Existing Levels Drone Survey'!DQ81</f>
        <v>0</v>
      </c>
      <c r="DR81" s="191">
        <f>'Functional Levels Drone Survey'!DR81-'Existing Levels Drone Survey'!DR81</f>
        <v>0</v>
      </c>
      <c r="DS81" s="191">
        <f>'Functional Levels Drone Survey'!DS81-'Existing Levels Drone Survey'!DS81</f>
        <v>0</v>
      </c>
      <c r="DT81" s="191">
        <f>'Functional Levels Drone Survey'!DT81-'Existing Levels Drone Survey'!DT81</f>
        <v>0</v>
      </c>
      <c r="DU81" s="191">
        <f>'Functional Levels Drone Survey'!DU81-'Existing Levels Drone Survey'!DU81</f>
        <v>0</v>
      </c>
      <c r="DV81" s="191">
        <f>'Functional Levels Drone Survey'!DV81-'Existing Levels Drone Survey'!DV81</f>
        <v>0</v>
      </c>
      <c r="DW81" s="191">
        <f>'Functional Levels Drone Survey'!DW81-'Existing Levels Drone Survey'!DW81</f>
        <v>0</v>
      </c>
      <c r="DX81" s="191">
        <f>'Functional Levels Drone Survey'!DX81-'Existing Levels Drone Survey'!DX81</f>
        <v>0</v>
      </c>
      <c r="DY81" s="191">
        <f>'Functional Levels Drone Survey'!DY81-'Existing Levels Drone Survey'!DY81</f>
        <v>0</v>
      </c>
      <c r="DZ81" s="191">
        <f>'Functional Levels Drone Survey'!DZ81-'Existing Levels Drone Survey'!DZ81</f>
        <v>0</v>
      </c>
      <c r="EA81" s="191">
        <f>'Functional Levels Drone Survey'!EA81-'Existing Levels Drone Survey'!EA81</f>
        <v>0</v>
      </c>
      <c r="EB81" s="191">
        <f>'Functional Levels Drone Survey'!EB81-'Existing Levels Drone Survey'!EB81</f>
        <v>0</v>
      </c>
      <c r="EC81" s="191">
        <f>'Functional Levels Drone Survey'!EC81-'Existing Levels Drone Survey'!EC81</f>
        <v>0</v>
      </c>
      <c r="ED81" s="191">
        <f>'Functional Levels Drone Survey'!ED81-'Existing Levels Drone Survey'!ED81</f>
        <v>0</v>
      </c>
      <c r="EE81" s="191">
        <f>'Functional Levels Drone Survey'!EE81-'Existing Levels Drone Survey'!EE81</f>
        <v>0</v>
      </c>
      <c r="EF81" s="191">
        <f>'Functional Levels Drone Survey'!EF81-'Existing Levels Drone Survey'!EF81</f>
        <v>0</v>
      </c>
      <c r="EG81" s="191">
        <f>'Functional Levels Drone Survey'!EG81-'Existing Levels Drone Survey'!EG81</f>
        <v>0</v>
      </c>
      <c r="EH81" s="191">
        <f>'Functional Levels Drone Survey'!EH81-'Existing Levels Drone Survey'!EH81</f>
        <v>0</v>
      </c>
      <c r="EI81" s="191">
        <f>'Functional Levels Drone Survey'!EI81-'Existing Levels Drone Survey'!EI81</f>
        <v>0</v>
      </c>
      <c r="EJ81" s="191">
        <f>'Functional Levels Drone Survey'!EJ81-'Existing Levels Drone Survey'!EJ81</f>
        <v>0</v>
      </c>
      <c r="EK81" s="191">
        <f>'Functional Levels Drone Survey'!EK81-'Existing Levels Drone Survey'!EK81</f>
        <v>0</v>
      </c>
      <c r="EL81" s="191">
        <f>'Functional Levels Drone Survey'!EL81-'Existing Levels Drone Survey'!EL81</f>
        <v>0</v>
      </c>
      <c r="EM81" s="191">
        <f>'Functional Levels Drone Survey'!EM81-'Existing Levels Drone Survey'!EM81</f>
        <v>0</v>
      </c>
      <c r="EN81" s="191">
        <f>'Functional Levels Drone Survey'!EN81-'Existing Levels Drone Survey'!EN81</f>
        <v>0</v>
      </c>
      <c r="EO81" s="191">
        <f>'Functional Levels Drone Survey'!EO81-'Existing Levels Drone Survey'!EO81</f>
        <v>0</v>
      </c>
      <c r="EP81" s="191">
        <f>'Functional Levels Drone Survey'!EP81-'Existing Levels Drone Survey'!EP81</f>
        <v>0</v>
      </c>
      <c r="EQ81" s="191">
        <f>'Functional Levels Drone Survey'!EQ81-'Existing Levels Drone Survey'!EQ81</f>
        <v>0</v>
      </c>
      <c r="ER81" s="191">
        <f>'Functional Levels Drone Survey'!ER81-'Existing Levels Drone Survey'!ER81</f>
        <v>0</v>
      </c>
      <c r="ES81" s="191">
        <f>'Functional Levels Drone Survey'!ES81-'Existing Levels Drone Survey'!ES81</f>
        <v>0</v>
      </c>
      <c r="ET81" s="191">
        <f>'Functional Levels Drone Survey'!ET81-'Existing Levels Drone Survey'!ET81</f>
        <v>0</v>
      </c>
      <c r="EU81" s="191">
        <f>'Functional Levels Drone Survey'!EU81-'Existing Levels Drone Survey'!EU81</f>
        <v>0</v>
      </c>
      <c r="EV81" s="191">
        <f>'Functional Levels Drone Survey'!EV81-'Existing Levels Drone Survey'!EV81</f>
        <v>0</v>
      </c>
      <c r="EW81" s="191">
        <f>'Functional Levels Drone Survey'!EW81-'Existing Levels Drone Survey'!EW81</f>
        <v>0</v>
      </c>
      <c r="EX81" s="191">
        <f>'Functional Levels Drone Survey'!EX81-'Existing Levels Drone Survey'!EX81</f>
        <v>0</v>
      </c>
      <c r="EY81" s="191">
        <f>'Functional Levels Drone Survey'!EY81-'Existing Levels Drone Survey'!EY81</f>
        <v>0</v>
      </c>
    </row>
    <row r="82" spans="1:159" ht="45" customHeight="1" x14ac:dyDescent="0.45">
      <c r="A82" s="277">
        <v>405</v>
      </c>
      <c r="B82" s="191">
        <f>'Functional Levels Drone Survey'!B82-'Existing Levels Drone Survey'!B82</f>
        <v>0</v>
      </c>
      <c r="C82" s="191">
        <f>'Functional Levels Drone Survey'!C82-'Existing Levels Drone Survey'!C82</f>
        <v>0</v>
      </c>
      <c r="D82" s="191">
        <f>'Functional Levels Drone Survey'!D82-'Existing Levels Drone Survey'!D82</f>
        <v>0</v>
      </c>
      <c r="E82" s="191">
        <f>'Functional Levels Drone Survey'!E82-'Existing Levels Drone Survey'!E82</f>
        <v>0</v>
      </c>
      <c r="F82" s="191">
        <f>'Functional Levels Drone Survey'!F82-'Existing Levels Drone Survey'!F82</f>
        <v>0</v>
      </c>
      <c r="G82" s="278">
        <f>'Functional Levels Drone Survey'!G82-'Existing Levels Drone Survey'!G82</f>
        <v>-0.25585555555568362</v>
      </c>
      <c r="H82" s="279">
        <f>'Functional Levels Drone Survey'!H82-'Existing Levels Drone Survey'!H82</f>
        <v>-6.2155555555648334E-2</v>
      </c>
      <c r="I82" s="191">
        <f>'Functional Levels Drone Survey'!I82-'Existing Levels Drone Survey'!I82</f>
        <v>-8.3955555555633055E-2</v>
      </c>
      <c r="J82" s="191">
        <f>'Functional Levels Drone Survey'!J82-'Existing Levels Drone Survey'!J82</f>
        <v>-6.7055555555668889E-2</v>
      </c>
      <c r="K82" s="191">
        <f>'Functional Levels Drone Survey'!K82-'Existing Levels Drone Survey'!K82</f>
        <v>-6.7455555555625324E-2</v>
      </c>
      <c r="L82" s="191">
        <f>'Functional Levels Drone Survey'!L82-'Existing Levels Drone Survey'!L82</f>
        <v>-2.6355555555653609E-2</v>
      </c>
      <c r="M82" s="191">
        <f>'Functional Levels Drone Survey'!M82-'Existing Levels Drone Survey'!M82</f>
        <v>-3.5355555555668161E-2</v>
      </c>
      <c r="N82" s="191">
        <f>'Functional Levels Drone Survey'!N82-'Existing Levels Drone Survey'!N82</f>
        <v>-4.8555555555651608E-2</v>
      </c>
      <c r="O82" s="191">
        <f>'Functional Levels Drone Survey'!O82-'Existing Levels Drone Survey'!O82</f>
        <v>-3.4255555555660067E-2</v>
      </c>
      <c r="P82" s="191">
        <f>'Functional Levels Drone Survey'!P82-'Existing Levels Drone Survey'!P82</f>
        <v>-0.13655555555561705</v>
      </c>
      <c r="Q82" s="191">
        <f>'Functional Levels Drone Survey'!Q82-'Existing Levels Drone Survey'!Q82</f>
        <v>-5.2355555555664068E-2</v>
      </c>
      <c r="R82" s="191">
        <f>'Functional Levels Drone Survey'!R82-'Existing Levels Drone Survey'!R82</f>
        <v>-7.4655555555636965E-2</v>
      </c>
      <c r="S82" s="191">
        <f>'Functional Levels Drone Survey'!S82-'Existing Levels Drone Survey'!S82</f>
        <v>-9.0755555555631418E-2</v>
      </c>
      <c r="T82" s="191">
        <f>'Functional Levels Drone Survey'!T82-'Existing Levels Drone Survey'!T82</f>
        <v>-0.12385555555562178</v>
      </c>
      <c r="U82" s="191">
        <f>'Functional Levels Drone Survey'!U82-'Existing Levels Drone Survey'!U82</f>
        <v>-0.1203555555556477</v>
      </c>
      <c r="V82" s="191">
        <f>'Functional Levels Drone Survey'!V82-'Existing Levels Drone Survey'!V82</f>
        <v>-0.13155555555562159</v>
      </c>
      <c r="W82" s="191">
        <f>'Functional Levels Drone Survey'!W82-'Existing Levels Drone Survey'!W82</f>
        <v>-0.11845555555566989</v>
      </c>
      <c r="X82" s="191">
        <f>'Functional Levels Drone Survey'!X82-'Existing Levels Drone Survey'!X82</f>
        <v>-0.1414555555556376</v>
      </c>
      <c r="Y82" s="279">
        <f>'Functional Levels Drone Survey'!Y82-'Existing Levels Drone Survey'!Y82</f>
        <v>-0.20615555555565379</v>
      </c>
      <c r="Z82" s="278">
        <f>'Functional Levels Drone Survey'!Z82-'Existing Levels Drone Survey'!Z82</f>
        <v>-1.4690555555556557</v>
      </c>
      <c r="AA82" s="191">
        <f>'Functional Levels Drone Survey'!AA82-'Existing Levels Drone Survey'!AA82</f>
        <v>0</v>
      </c>
      <c r="AB82" s="191">
        <f>'Functional Levels Drone Survey'!AB82-'Existing Levels Drone Survey'!AB82</f>
        <v>0</v>
      </c>
      <c r="AC82" s="191">
        <f>'Functional Levels Drone Survey'!AC82-'Existing Levels Drone Survey'!AC82</f>
        <v>0</v>
      </c>
      <c r="AD82" s="191">
        <f>'Functional Levels Drone Survey'!AD82-'Existing Levels Drone Survey'!AD82</f>
        <v>0</v>
      </c>
      <c r="AE82" s="191">
        <f>'Functional Levels Drone Survey'!AE82-'Existing Levels Drone Survey'!AE82</f>
        <v>0</v>
      </c>
      <c r="AF82" s="191">
        <f>'Functional Levels Drone Survey'!AF82-'Existing Levels Drone Survey'!AF82</f>
        <v>0</v>
      </c>
      <c r="AG82" s="191">
        <f>'Functional Levels Drone Survey'!AG82-'Existing Levels Drone Survey'!AG82</f>
        <v>0</v>
      </c>
      <c r="AH82" s="191">
        <f>'Functional Levels Drone Survey'!AH82-'Existing Levels Drone Survey'!AH82</f>
        <v>0</v>
      </c>
      <c r="AI82" s="191">
        <f>'Functional Levels Drone Survey'!AI82-'Existing Levels Drone Survey'!AI82</f>
        <v>0</v>
      </c>
      <c r="AJ82" s="191">
        <f>'Functional Levels Drone Survey'!AJ82-'Existing Levels Drone Survey'!AJ82</f>
        <v>0</v>
      </c>
      <c r="AK82" s="191">
        <f>'Functional Levels Drone Survey'!AK82-'Existing Levels Drone Survey'!AK82</f>
        <v>0</v>
      </c>
      <c r="AL82" s="191">
        <f>'Functional Levels Drone Survey'!AL82-'Existing Levels Drone Survey'!AL82</f>
        <v>0</v>
      </c>
      <c r="AM82" s="191">
        <f>'Functional Levels Drone Survey'!AM82-'Existing Levels Drone Survey'!AM82</f>
        <v>0</v>
      </c>
      <c r="AN82" s="191">
        <f>'Functional Levels Drone Survey'!AN82-'Existing Levels Drone Survey'!AN82</f>
        <v>0</v>
      </c>
      <c r="AO82" s="191">
        <f>'Functional Levels Drone Survey'!AO82-'Existing Levels Drone Survey'!AO82</f>
        <v>0</v>
      </c>
      <c r="AP82" s="191">
        <f>'Functional Levels Drone Survey'!AP82-'Existing Levels Drone Survey'!AP82</f>
        <v>0</v>
      </c>
      <c r="AQ82" s="191">
        <f>'Functional Levels Drone Survey'!AQ82-'Existing Levels Drone Survey'!AQ82</f>
        <v>0</v>
      </c>
      <c r="AR82" s="191">
        <f>'Functional Levels Drone Survey'!AR82-'Existing Levels Drone Survey'!AR82</f>
        <v>0</v>
      </c>
      <c r="AS82" s="191">
        <f>'Functional Levels Drone Survey'!AS82-'Existing Levels Drone Survey'!AS82</f>
        <v>0</v>
      </c>
      <c r="AT82" s="191">
        <f>'Functional Levels Drone Survey'!AT82-'Existing Levels Drone Survey'!AT82</f>
        <v>0</v>
      </c>
      <c r="AU82" s="191">
        <f>'Functional Levels Drone Survey'!AU82-'Existing Levels Drone Survey'!AU82</f>
        <v>0</v>
      </c>
      <c r="AV82" s="191">
        <f>'Functional Levels Drone Survey'!AV82-'Existing Levels Drone Survey'!AV82</f>
        <v>0</v>
      </c>
      <c r="AW82" s="191">
        <f>'Functional Levels Drone Survey'!AW82-'Existing Levels Drone Survey'!AW82</f>
        <v>0</v>
      </c>
      <c r="AX82" s="191">
        <f>'Functional Levels Drone Survey'!AX82-'Existing Levels Drone Survey'!AX82</f>
        <v>0</v>
      </c>
      <c r="AY82" s="191">
        <f>'Functional Levels Drone Survey'!AY82-'Existing Levels Drone Survey'!AY82</f>
        <v>0</v>
      </c>
      <c r="AZ82" s="191">
        <f>'Functional Levels Drone Survey'!AZ82-'Existing Levels Drone Survey'!AZ82</f>
        <v>0</v>
      </c>
      <c r="BA82" s="191">
        <f>'Functional Levels Drone Survey'!BA82-'Existing Levels Drone Survey'!BA82</f>
        <v>0</v>
      </c>
      <c r="BB82" s="191">
        <f>'Functional Levels Drone Survey'!BB82-'Existing Levels Drone Survey'!BB82</f>
        <v>0</v>
      </c>
      <c r="BC82" s="191">
        <f>'Functional Levels Drone Survey'!BC82-'Existing Levels Drone Survey'!BC82</f>
        <v>0</v>
      </c>
      <c r="BD82" s="191">
        <f>'Functional Levels Drone Survey'!BD82-'Existing Levels Drone Survey'!BD82</f>
        <v>0</v>
      </c>
      <c r="BE82" s="191">
        <f>'Functional Levels Drone Survey'!BE82-'Existing Levels Drone Survey'!BE82</f>
        <v>0</v>
      </c>
      <c r="BF82" s="191">
        <f>'Functional Levels Drone Survey'!BF82-'Existing Levels Drone Survey'!BF82</f>
        <v>0</v>
      </c>
      <c r="BG82" s="191">
        <f>'Functional Levels Drone Survey'!BG82-'Existing Levels Drone Survey'!BG82</f>
        <v>0</v>
      </c>
      <c r="BH82" s="191">
        <f>'Functional Levels Drone Survey'!BH82-'Existing Levels Drone Survey'!BH82</f>
        <v>0</v>
      </c>
      <c r="BI82" s="191">
        <f>'Functional Levels Drone Survey'!BI82-'Existing Levels Drone Survey'!BI82</f>
        <v>0</v>
      </c>
      <c r="BJ82" s="191">
        <f>'Functional Levels Drone Survey'!BJ82-'Existing Levels Drone Survey'!BJ82</f>
        <v>0</v>
      </c>
      <c r="BK82" s="191">
        <f>'Functional Levels Drone Survey'!BK82-'Existing Levels Drone Survey'!BK82</f>
        <v>0</v>
      </c>
      <c r="BL82" s="191">
        <f>'Functional Levels Drone Survey'!BL82-'Existing Levels Drone Survey'!BL82</f>
        <v>0</v>
      </c>
      <c r="BM82" s="191">
        <f>'Functional Levels Drone Survey'!BM82-'Existing Levels Drone Survey'!BM82</f>
        <v>0</v>
      </c>
      <c r="BN82" s="191">
        <f>'Functional Levels Drone Survey'!BN82-'Existing Levels Drone Survey'!BN82</f>
        <v>0</v>
      </c>
      <c r="BO82" s="191">
        <f>'Functional Levels Drone Survey'!BO82-'Existing Levels Drone Survey'!BO82</f>
        <v>0</v>
      </c>
      <c r="BP82" s="191">
        <f>'Functional Levels Drone Survey'!BP82-'Existing Levels Drone Survey'!BP82</f>
        <v>0</v>
      </c>
      <c r="BQ82" s="191">
        <f>'Functional Levels Drone Survey'!BQ82-'Existing Levels Drone Survey'!BQ82</f>
        <v>0</v>
      </c>
      <c r="BR82" s="191">
        <f>'Functional Levels Drone Survey'!BR82-'Existing Levels Drone Survey'!BR82</f>
        <v>0</v>
      </c>
      <c r="BS82" s="191">
        <f>'Functional Levels Drone Survey'!BS82-'Existing Levels Drone Survey'!BS82</f>
        <v>0</v>
      </c>
      <c r="BT82" s="191">
        <f>'Functional Levels Drone Survey'!BT82-'Existing Levels Drone Survey'!BT82</f>
        <v>0</v>
      </c>
      <c r="BU82" s="191">
        <f>'Functional Levels Drone Survey'!BU82-'Existing Levels Drone Survey'!BU82</f>
        <v>0</v>
      </c>
      <c r="BV82" s="191">
        <f>'Functional Levels Drone Survey'!BV82-'Existing Levels Drone Survey'!BV82</f>
        <v>0</v>
      </c>
      <c r="BW82" s="191">
        <f>'Functional Levels Drone Survey'!BW82-'Existing Levels Drone Survey'!BW82</f>
        <v>0</v>
      </c>
      <c r="BX82" s="191">
        <f>'Functional Levels Drone Survey'!BX82-'Existing Levels Drone Survey'!BX82</f>
        <v>0</v>
      </c>
      <c r="BY82" s="191">
        <f>'Functional Levels Drone Survey'!BY82-'Existing Levels Drone Survey'!BY82</f>
        <v>0</v>
      </c>
      <c r="BZ82" s="191">
        <f>'Functional Levels Drone Survey'!BZ82-'Existing Levels Drone Survey'!BZ82</f>
        <v>0</v>
      </c>
      <c r="CA82" s="191">
        <f>'Functional Levels Drone Survey'!CA82-'Existing Levels Drone Survey'!CA82</f>
        <v>0</v>
      </c>
      <c r="CB82" s="191">
        <f>'Functional Levels Drone Survey'!CB82-'Existing Levels Drone Survey'!CB82</f>
        <v>0</v>
      </c>
      <c r="CC82" s="191">
        <f>'Functional Levels Drone Survey'!CC82-'Existing Levels Drone Survey'!CC82</f>
        <v>0</v>
      </c>
      <c r="CD82" s="191">
        <f>'Functional Levels Drone Survey'!CD82-'Existing Levels Drone Survey'!CD82</f>
        <v>0</v>
      </c>
      <c r="CE82" s="191">
        <f>'Functional Levels Drone Survey'!CE82-'Existing Levels Drone Survey'!CE82</f>
        <v>0</v>
      </c>
      <c r="CF82" s="191">
        <f>'Functional Levels Drone Survey'!CF82-'Existing Levels Drone Survey'!CF82</f>
        <v>0</v>
      </c>
      <c r="CG82" s="191">
        <f>'Functional Levels Drone Survey'!CG82-'Existing Levels Drone Survey'!CG82</f>
        <v>0</v>
      </c>
      <c r="CH82" s="191">
        <f>'Functional Levels Drone Survey'!CH82-'Existing Levels Drone Survey'!CH82</f>
        <v>0</v>
      </c>
      <c r="CI82" s="191">
        <f>'Functional Levels Drone Survey'!CI82-'Existing Levels Drone Survey'!CI82</f>
        <v>0</v>
      </c>
      <c r="CJ82" s="191">
        <f>'Functional Levels Drone Survey'!CJ82-'Existing Levels Drone Survey'!CJ82</f>
        <v>0</v>
      </c>
      <c r="CK82" s="191">
        <f>'Functional Levels Drone Survey'!CK82-'Existing Levels Drone Survey'!CK82</f>
        <v>0</v>
      </c>
      <c r="CL82" s="191">
        <f>'Functional Levels Drone Survey'!CL82-'Existing Levels Drone Survey'!CL82</f>
        <v>0</v>
      </c>
      <c r="CM82" s="191">
        <f>'Functional Levels Drone Survey'!CM82-'Existing Levels Drone Survey'!CM82</f>
        <v>0</v>
      </c>
      <c r="CN82" s="191">
        <f>'Functional Levels Drone Survey'!CN82-'Existing Levels Drone Survey'!CN82</f>
        <v>0</v>
      </c>
      <c r="CO82" s="191">
        <f>'Functional Levels Drone Survey'!CO82-'Existing Levels Drone Survey'!CO82</f>
        <v>0</v>
      </c>
      <c r="CP82" s="191">
        <f>'Functional Levels Drone Survey'!CP82-'Existing Levels Drone Survey'!CP82</f>
        <v>0</v>
      </c>
      <c r="CQ82" s="191">
        <f>'Functional Levels Drone Survey'!CQ82-'Existing Levels Drone Survey'!CQ82</f>
        <v>0</v>
      </c>
      <c r="CR82" s="191">
        <f>'Functional Levels Drone Survey'!CR82-'Existing Levels Drone Survey'!CR82</f>
        <v>0</v>
      </c>
      <c r="CS82" s="191">
        <f>'Functional Levels Drone Survey'!CS82-'Existing Levels Drone Survey'!CS82</f>
        <v>0</v>
      </c>
      <c r="CT82" s="191">
        <f>'Functional Levels Drone Survey'!CT82-'Existing Levels Drone Survey'!CT82</f>
        <v>0</v>
      </c>
      <c r="CU82" s="191">
        <f>'Functional Levels Drone Survey'!CU82-'Existing Levels Drone Survey'!CU82</f>
        <v>0</v>
      </c>
      <c r="CV82" s="191">
        <f>'Functional Levels Drone Survey'!CV82-'Existing Levels Drone Survey'!CV82</f>
        <v>0</v>
      </c>
      <c r="CW82" s="191">
        <f>'Functional Levels Drone Survey'!CW82-'Existing Levels Drone Survey'!CW82</f>
        <v>0</v>
      </c>
      <c r="CX82" s="191">
        <f>'Functional Levels Drone Survey'!CX82-'Existing Levels Drone Survey'!CX82</f>
        <v>0</v>
      </c>
      <c r="CY82" s="191">
        <f>'Functional Levels Drone Survey'!CY82-'Existing Levels Drone Survey'!CY82</f>
        <v>0</v>
      </c>
      <c r="CZ82" s="191">
        <f>'Functional Levels Drone Survey'!CZ82-'Existing Levels Drone Survey'!CZ82</f>
        <v>0</v>
      </c>
      <c r="DA82" s="191">
        <f>'Functional Levels Drone Survey'!DA82-'Existing Levels Drone Survey'!DA82</f>
        <v>0</v>
      </c>
      <c r="DB82" s="191">
        <f>'Functional Levels Drone Survey'!DB82-'Existing Levels Drone Survey'!DB82</f>
        <v>0</v>
      </c>
      <c r="DC82" s="191">
        <f>'Functional Levels Drone Survey'!DC82-'Existing Levels Drone Survey'!DC82</f>
        <v>0</v>
      </c>
      <c r="DD82" s="191">
        <f>'Functional Levels Drone Survey'!DD82-'Existing Levels Drone Survey'!DD82</f>
        <v>0</v>
      </c>
      <c r="DE82" s="191">
        <f>'Functional Levels Drone Survey'!DE82-'Existing Levels Drone Survey'!DE82</f>
        <v>0</v>
      </c>
      <c r="DF82" s="191">
        <f>'Functional Levels Drone Survey'!DF82-'Existing Levels Drone Survey'!DF82</f>
        <v>0</v>
      </c>
      <c r="DG82" s="191">
        <f>'Functional Levels Drone Survey'!DG82-'Existing Levels Drone Survey'!DG82</f>
        <v>0</v>
      </c>
      <c r="DH82" s="191">
        <f>'Functional Levels Drone Survey'!DH82-'Existing Levels Drone Survey'!DH82</f>
        <v>0</v>
      </c>
      <c r="DI82" s="191">
        <f>'Functional Levels Drone Survey'!DI82-'Existing Levels Drone Survey'!DI82</f>
        <v>0</v>
      </c>
      <c r="DJ82" s="191">
        <f>'Functional Levels Drone Survey'!DJ82-'Existing Levels Drone Survey'!DJ82</f>
        <v>0</v>
      </c>
      <c r="DK82" s="191">
        <f>'Functional Levels Drone Survey'!DK82-'Existing Levels Drone Survey'!DK82</f>
        <v>0</v>
      </c>
      <c r="DL82" s="191">
        <f>'Functional Levels Drone Survey'!DL82-'Existing Levels Drone Survey'!DL82</f>
        <v>0</v>
      </c>
      <c r="DM82" s="191">
        <f>'Functional Levels Drone Survey'!DM82-'Existing Levels Drone Survey'!DM82</f>
        <v>0</v>
      </c>
      <c r="DN82" s="191">
        <f>'Functional Levels Drone Survey'!DN82-'Existing Levels Drone Survey'!DN82</f>
        <v>0</v>
      </c>
      <c r="DO82" s="191">
        <f>'Functional Levels Drone Survey'!DO82-'Existing Levels Drone Survey'!DO82</f>
        <v>0</v>
      </c>
      <c r="DP82" s="191">
        <f>'Functional Levels Drone Survey'!DP82-'Existing Levels Drone Survey'!DP82</f>
        <v>0</v>
      </c>
      <c r="DQ82" s="191">
        <f>'Functional Levels Drone Survey'!DQ82-'Existing Levels Drone Survey'!DQ82</f>
        <v>0</v>
      </c>
      <c r="DR82" s="191">
        <f>'Functional Levels Drone Survey'!DR82-'Existing Levels Drone Survey'!DR82</f>
        <v>0</v>
      </c>
      <c r="DS82" s="191">
        <f>'Functional Levels Drone Survey'!DS82-'Existing Levels Drone Survey'!DS82</f>
        <v>0</v>
      </c>
      <c r="DT82" s="191">
        <f>'Functional Levels Drone Survey'!DT82-'Existing Levels Drone Survey'!DT82</f>
        <v>0</v>
      </c>
      <c r="DU82" s="191">
        <f>'Functional Levels Drone Survey'!DU82-'Existing Levels Drone Survey'!DU82</f>
        <v>0</v>
      </c>
      <c r="DV82" s="191">
        <f>'Functional Levels Drone Survey'!DV82-'Existing Levels Drone Survey'!DV82</f>
        <v>0</v>
      </c>
      <c r="DW82" s="191">
        <f>'Functional Levels Drone Survey'!DW82-'Existing Levels Drone Survey'!DW82</f>
        <v>0</v>
      </c>
      <c r="DX82" s="191">
        <f>'Functional Levels Drone Survey'!DX82-'Existing Levels Drone Survey'!DX82</f>
        <v>0</v>
      </c>
      <c r="DY82" s="191">
        <f>'Functional Levels Drone Survey'!DY82-'Existing Levels Drone Survey'!DY82</f>
        <v>0</v>
      </c>
      <c r="DZ82" s="191">
        <f>'Functional Levels Drone Survey'!DZ82-'Existing Levels Drone Survey'!DZ82</f>
        <v>0</v>
      </c>
      <c r="EA82" s="191">
        <f>'Functional Levels Drone Survey'!EA82-'Existing Levels Drone Survey'!EA82</f>
        <v>0</v>
      </c>
      <c r="EB82" s="191">
        <f>'Functional Levels Drone Survey'!EB82-'Existing Levels Drone Survey'!EB82</f>
        <v>0</v>
      </c>
      <c r="EC82" s="191">
        <f>'Functional Levels Drone Survey'!EC82-'Existing Levels Drone Survey'!EC82</f>
        <v>0</v>
      </c>
      <c r="ED82" s="191">
        <f>'Functional Levels Drone Survey'!ED82-'Existing Levels Drone Survey'!ED82</f>
        <v>0</v>
      </c>
      <c r="EE82" s="191">
        <f>'Functional Levels Drone Survey'!EE82-'Existing Levels Drone Survey'!EE82</f>
        <v>0</v>
      </c>
      <c r="EF82" s="191">
        <f>'Functional Levels Drone Survey'!EF82-'Existing Levels Drone Survey'!EF82</f>
        <v>0</v>
      </c>
      <c r="EG82" s="191">
        <f>'Functional Levels Drone Survey'!EG82-'Existing Levels Drone Survey'!EG82</f>
        <v>0</v>
      </c>
      <c r="EH82" s="191">
        <f>'Functional Levels Drone Survey'!EH82-'Existing Levels Drone Survey'!EH82</f>
        <v>0</v>
      </c>
      <c r="EI82" s="191">
        <f>'Functional Levels Drone Survey'!EI82-'Existing Levels Drone Survey'!EI82</f>
        <v>0</v>
      </c>
      <c r="EJ82" s="191">
        <f>'Functional Levels Drone Survey'!EJ82-'Existing Levels Drone Survey'!EJ82</f>
        <v>0</v>
      </c>
      <c r="EK82" s="191">
        <f>'Functional Levels Drone Survey'!EK82-'Existing Levels Drone Survey'!EK82</f>
        <v>0</v>
      </c>
      <c r="EL82" s="191">
        <f>'Functional Levels Drone Survey'!EL82-'Existing Levels Drone Survey'!EL82</f>
        <v>0</v>
      </c>
      <c r="EM82" s="191">
        <f>'Functional Levels Drone Survey'!EM82-'Existing Levels Drone Survey'!EM82</f>
        <v>0</v>
      </c>
      <c r="EN82" s="191">
        <f>'Functional Levels Drone Survey'!EN82-'Existing Levels Drone Survey'!EN82</f>
        <v>0</v>
      </c>
      <c r="EO82" s="191">
        <f>'Functional Levels Drone Survey'!EO82-'Existing Levels Drone Survey'!EO82</f>
        <v>0</v>
      </c>
      <c r="EP82" s="191">
        <f>'Functional Levels Drone Survey'!EP82-'Existing Levels Drone Survey'!EP82</f>
        <v>0</v>
      </c>
      <c r="EQ82" s="191">
        <f>'Functional Levels Drone Survey'!EQ82-'Existing Levels Drone Survey'!EQ82</f>
        <v>0</v>
      </c>
      <c r="ER82" s="191">
        <f>'Functional Levels Drone Survey'!ER82-'Existing Levels Drone Survey'!ER82</f>
        <v>0</v>
      </c>
      <c r="ES82" s="191">
        <f>'Functional Levels Drone Survey'!ES82-'Existing Levels Drone Survey'!ES82</f>
        <v>0</v>
      </c>
      <c r="ET82" s="191">
        <f>'Functional Levels Drone Survey'!ET82-'Existing Levels Drone Survey'!ET82</f>
        <v>0</v>
      </c>
      <c r="EU82" s="191">
        <f>'Functional Levels Drone Survey'!EU82-'Existing Levels Drone Survey'!EU82</f>
        <v>0</v>
      </c>
      <c r="EV82" s="191">
        <f>'Functional Levels Drone Survey'!EV82-'Existing Levels Drone Survey'!EV82</f>
        <v>0</v>
      </c>
      <c r="EW82" s="191">
        <f>'Functional Levels Drone Survey'!EW82-'Existing Levels Drone Survey'!EW82</f>
        <v>0</v>
      </c>
      <c r="EX82" s="191">
        <f>'Functional Levels Drone Survey'!EX82-'Existing Levels Drone Survey'!EX82</f>
        <v>0</v>
      </c>
      <c r="EY82" s="191">
        <f>'Functional Levels Drone Survey'!EY82-'Existing Levels Drone Survey'!EY82</f>
        <v>0</v>
      </c>
    </row>
    <row r="83" spans="1:159" ht="45" customHeight="1" x14ac:dyDescent="0.45">
      <c r="A83" s="277">
        <v>410</v>
      </c>
      <c r="B83" s="191">
        <f>'Functional Levels Drone Survey'!B83-'Existing Levels Drone Survey'!B83</f>
        <v>0</v>
      </c>
      <c r="C83" s="191">
        <f>'Functional Levels Drone Survey'!C83-'Existing Levels Drone Survey'!C83</f>
        <v>0</v>
      </c>
      <c r="D83" s="191">
        <f>'Functional Levels Drone Survey'!D83-'Existing Levels Drone Survey'!D83</f>
        <v>0</v>
      </c>
      <c r="E83" s="191">
        <f>'Functional Levels Drone Survey'!E83-'Existing Levels Drone Survey'!E83</f>
        <v>0</v>
      </c>
      <c r="F83" s="191">
        <f>'Functional Levels Drone Survey'!F83-'Existing Levels Drone Survey'!F83</f>
        <v>0</v>
      </c>
      <c r="G83" s="278">
        <f>'Functional Levels Drone Survey'!G83-'Existing Levels Drone Survey'!G83</f>
        <v>-0.38505555555565252</v>
      </c>
      <c r="H83" s="279">
        <f>'Functional Levels Drone Survey'!H83-'Existing Levels Drone Survey'!H83</f>
        <v>-0.12985555555565043</v>
      </c>
      <c r="I83" s="191">
        <f>'Functional Levels Drone Survey'!I83-'Existing Levels Drone Survey'!I83</f>
        <v>-0.12535555555564315</v>
      </c>
      <c r="J83" s="191">
        <f>'Functional Levels Drone Survey'!J83-'Existing Levels Drone Survey'!J83</f>
        <v>-0.15295555555564988</v>
      </c>
      <c r="K83" s="191">
        <f>'Functional Levels Drone Survey'!K83-'Existing Levels Drone Survey'!K83</f>
        <v>-0.15335555555566316</v>
      </c>
      <c r="L83" s="191">
        <f>'Functional Levels Drone Survey'!L83-'Existing Levels Drone Survey'!L83</f>
        <v>-0.15025555555564551</v>
      </c>
      <c r="M83" s="191">
        <f>'Functional Levels Drone Survey'!M83-'Existing Levels Drone Survey'!M83</f>
        <v>-0.11125555555565825</v>
      </c>
      <c r="N83" s="191">
        <f>'Functional Levels Drone Survey'!N83-'Existing Levels Drone Survey'!N83</f>
        <v>-0.11855555555564479</v>
      </c>
      <c r="O83" s="191">
        <f>'Functional Levels Drone Survey'!O83-'Existing Levels Drone Survey'!O83</f>
        <v>-0.12535555555564315</v>
      </c>
      <c r="P83" s="191">
        <f>'Functional Levels Drone Survey'!P83-'Existing Levels Drone Survey'!P83</f>
        <v>-0.20645555555563533</v>
      </c>
      <c r="Q83" s="191">
        <f>'Functional Levels Drone Survey'!Q83-'Existing Levels Drone Survey'!Q83</f>
        <v>-0.10865555555562878</v>
      </c>
      <c r="R83" s="191">
        <f>'Functional Levels Drone Survey'!R83-'Existing Levels Drone Survey'!R83</f>
        <v>-0.11445555555565079</v>
      </c>
      <c r="S83" s="191">
        <f>'Functional Levels Drone Survey'!S83-'Existing Levels Drone Survey'!S83</f>
        <v>-0.15675555555566234</v>
      </c>
      <c r="T83" s="191">
        <f>'Functional Levels Drone Survey'!T83-'Existing Levels Drone Survey'!T83</f>
        <v>-0.1646555555556688</v>
      </c>
      <c r="U83" s="191">
        <f>'Functional Levels Drone Survey'!U83-'Existing Levels Drone Survey'!U83</f>
        <v>-0.1939555555556467</v>
      </c>
      <c r="V83" s="191">
        <f>'Functional Levels Drone Survey'!V83-'Existing Levels Drone Survey'!V83</f>
        <v>-0.20755555555564342</v>
      </c>
      <c r="W83" s="191">
        <f>'Functional Levels Drone Survey'!W83-'Existing Levels Drone Survey'!W83</f>
        <v>-0.20405555555566934</v>
      </c>
      <c r="X83" s="191">
        <f>'Functional Levels Drone Survey'!X83-'Existing Levels Drone Survey'!X83</f>
        <v>-0.20485555555563906</v>
      </c>
      <c r="Y83" s="279">
        <f>'Functional Levels Drone Survey'!Y83-'Existing Levels Drone Survey'!Y83</f>
        <v>-0.1414555555556376</v>
      </c>
      <c r="Z83" s="278">
        <f>'Functional Levels Drone Survey'!Z83-'Existing Levels Drone Survey'!Z83</f>
        <v>-1.7253555555556659</v>
      </c>
      <c r="AA83" s="191">
        <f>'Functional Levels Drone Survey'!AA83-'Existing Levels Drone Survey'!AA83</f>
        <v>0</v>
      </c>
      <c r="AB83" s="191">
        <f>'Functional Levels Drone Survey'!AB83-'Existing Levels Drone Survey'!AB83</f>
        <v>0</v>
      </c>
      <c r="AC83" s="191">
        <f>'Functional Levels Drone Survey'!AC83-'Existing Levels Drone Survey'!AC83</f>
        <v>0</v>
      </c>
      <c r="AD83" s="191">
        <f>'Functional Levels Drone Survey'!AD83-'Existing Levels Drone Survey'!AD83</f>
        <v>0</v>
      </c>
      <c r="AE83" s="191">
        <f>'Functional Levels Drone Survey'!AE83-'Existing Levels Drone Survey'!AE83</f>
        <v>0</v>
      </c>
      <c r="AF83" s="191">
        <f>'Functional Levels Drone Survey'!AF83-'Existing Levels Drone Survey'!AF83</f>
        <v>0</v>
      </c>
      <c r="AG83" s="191">
        <f>'Functional Levels Drone Survey'!AG83-'Existing Levels Drone Survey'!AG83</f>
        <v>0</v>
      </c>
      <c r="AH83" s="191">
        <f>'Functional Levels Drone Survey'!AH83-'Existing Levels Drone Survey'!AH83</f>
        <v>0</v>
      </c>
      <c r="AI83" s="191">
        <f>'Functional Levels Drone Survey'!AI83-'Existing Levels Drone Survey'!AI83</f>
        <v>0</v>
      </c>
      <c r="AJ83" s="191">
        <f>'Functional Levels Drone Survey'!AJ83-'Existing Levels Drone Survey'!AJ83</f>
        <v>0</v>
      </c>
      <c r="AK83" s="191">
        <f>'Functional Levels Drone Survey'!AK83-'Existing Levels Drone Survey'!AK83</f>
        <v>0</v>
      </c>
      <c r="AL83" s="191">
        <f>'Functional Levels Drone Survey'!AL83-'Existing Levels Drone Survey'!AL83</f>
        <v>0</v>
      </c>
      <c r="AM83" s="191">
        <f>'Functional Levels Drone Survey'!AM83-'Existing Levels Drone Survey'!AM83</f>
        <v>0</v>
      </c>
      <c r="AN83" s="191">
        <f>'Functional Levels Drone Survey'!AN83-'Existing Levels Drone Survey'!AN83</f>
        <v>0</v>
      </c>
      <c r="AO83" s="191">
        <f>'Functional Levels Drone Survey'!AO83-'Existing Levels Drone Survey'!AO83</f>
        <v>0</v>
      </c>
      <c r="AP83" s="191">
        <f>'Functional Levels Drone Survey'!AP83-'Existing Levels Drone Survey'!AP83</f>
        <v>0</v>
      </c>
      <c r="AQ83" s="191">
        <f>'Functional Levels Drone Survey'!AQ83-'Existing Levels Drone Survey'!AQ83</f>
        <v>0</v>
      </c>
      <c r="AR83" s="191">
        <f>'Functional Levels Drone Survey'!AR83-'Existing Levels Drone Survey'!AR83</f>
        <v>0</v>
      </c>
      <c r="AS83" s="191">
        <f>'Functional Levels Drone Survey'!AS83-'Existing Levels Drone Survey'!AS83</f>
        <v>0</v>
      </c>
      <c r="AT83" s="191">
        <f>'Functional Levels Drone Survey'!AT83-'Existing Levels Drone Survey'!AT83</f>
        <v>0</v>
      </c>
      <c r="AU83" s="191">
        <f>'Functional Levels Drone Survey'!AU83-'Existing Levels Drone Survey'!AU83</f>
        <v>0</v>
      </c>
      <c r="AV83" s="191">
        <f>'Functional Levels Drone Survey'!AV83-'Existing Levels Drone Survey'!AV83</f>
        <v>0</v>
      </c>
      <c r="AW83" s="191">
        <f>'Functional Levels Drone Survey'!AW83-'Existing Levels Drone Survey'!AW83</f>
        <v>0</v>
      </c>
      <c r="AX83" s="191">
        <f>'Functional Levels Drone Survey'!AX83-'Existing Levels Drone Survey'!AX83</f>
        <v>0</v>
      </c>
      <c r="AY83" s="191">
        <f>'Functional Levels Drone Survey'!AY83-'Existing Levels Drone Survey'!AY83</f>
        <v>0</v>
      </c>
      <c r="AZ83" s="191">
        <f>'Functional Levels Drone Survey'!AZ83-'Existing Levels Drone Survey'!AZ83</f>
        <v>0</v>
      </c>
      <c r="BA83" s="191">
        <f>'Functional Levels Drone Survey'!BA83-'Existing Levels Drone Survey'!BA83</f>
        <v>0</v>
      </c>
      <c r="BB83" s="191">
        <f>'Functional Levels Drone Survey'!BB83-'Existing Levels Drone Survey'!BB83</f>
        <v>0</v>
      </c>
      <c r="BC83" s="191">
        <f>'Functional Levels Drone Survey'!BC83-'Existing Levels Drone Survey'!BC83</f>
        <v>0</v>
      </c>
      <c r="BD83" s="191">
        <f>'Functional Levels Drone Survey'!BD83-'Existing Levels Drone Survey'!BD83</f>
        <v>0</v>
      </c>
      <c r="BE83" s="191">
        <f>'Functional Levels Drone Survey'!BE83-'Existing Levels Drone Survey'!BE83</f>
        <v>0</v>
      </c>
      <c r="BF83" s="191">
        <f>'Functional Levels Drone Survey'!BF83-'Existing Levels Drone Survey'!BF83</f>
        <v>0</v>
      </c>
      <c r="BG83" s="191">
        <f>'Functional Levels Drone Survey'!BG83-'Existing Levels Drone Survey'!BG83</f>
        <v>0</v>
      </c>
      <c r="BH83" s="191">
        <f>'Functional Levels Drone Survey'!BH83-'Existing Levels Drone Survey'!BH83</f>
        <v>0</v>
      </c>
      <c r="BI83" s="191">
        <f>'Functional Levels Drone Survey'!BI83-'Existing Levels Drone Survey'!BI83</f>
        <v>0</v>
      </c>
      <c r="BJ83" s="191">
        <f>'Functional Levels Drone Survey'!BJ83-'Existing Levels Drone Survey'!BJ83</f>
        <v>0</v>
      </c>
      <c r="BK83" s="191">
        <f>'Functional Levels Drone Survey'!BK83-'Existing Levels Drone Survey'!BK83</f>
        <v>0</v>
      </c>
      <c r="BL83" s="191">
        <f>'Functional Levels Drone Survey'!BL83-'Existing Levels Drone Survey'!BL83</f>
        <v>0</v>
      </c>
      <c r="BM83" s="191">
        <f>'Functional Levels Drone Survey'!BM83-'Existing Levels Drone Survey'!BM83</f>
        <v>0</v>
      </c>
      <c r="BN83" s="191">
        <f>'Functional Levels Drone Survey'!BN83-'Existing Levels Drone Survey'!BN83</f>
        <v>0</v>
      </c>
      <c r="BO83" s="191">
        <f>'Functional Levels Drone Survey'!BO83-'Existing Levels Drone Survey'!BO83</f>
        <v>0</v>
      </c>
      <c r="BP83" s="191">
        <f>'Functional Levels Drone Survey'!BP83-'Existing Levels Drone Survey'!BP83</f>
        <v>0</v>
      </c>
      <c r="BQ83" s="191">
        <f>'Functional Levels Drone Survey'!BQ83-'Existing Levels Drone Survey'!BQ83</f>
        <v>0</v>
      </c>
      <c r="BR83" s="191">
        <f>'Functional Levels Drone Survey'!BR83-'Existing Levels Drone Survey'!BR83</f>
        <v>0</v>
      </c>
      <c r="BS83" s="191">
        <f>'Functional Levels Drone Survey'!BS83-'Existing Levels Drone Survey'!BS83</f>
        <v>0</v>
      </c>
      <c r="BT83" s="191">
        <f>'Functional Levels Drone Survey'!BT83-'Existing Levels Drone Survey'!BT83</f>
        <v>0</v>
      </c>
      <c r="BU83" s="191">
        <f>'Functional Levels Drone Survey'!BU83-'Existing Levels Drone Survey'!BU83</f>
        <v>0</v>
      </c>
      <c r="BV83" s="191">
        <f>'Functional Levels Drone Survey'!BV83-'Existing Levels Drone Survey'!BV83</f>
        <v>0</v>
      </c>
      <c r="BW83" s="191">
        <f>'Functional Levels Drone Survey'!BW83-'Existing Levels Drone Survey'!BW83</f>
        <v>0</v>
      </c>
      <c r="BX83" s="191">
        <f>'Functional Levels Drone Survey'!BX83-'Existing Levels Drone Survey'!BX83</f>
        <v>0</v>
      </c>
      <c r="BY83" s="191">
        <f>'Functional Levels Drone Survey'!BY83-'Existing Levels Drone Survey'!BY83</f>
        <v>0</v>
      </c>
      <c r="BZ83" s="191">
        <f>'Functional Levels Drone Survey'!BZ83-'Existing Levels Drone Survey'!BZ83</f>
        <v>0</v>
      </c>
      <c r="CA83" s="191">
        <f>'Functional Levels Drone Survey'!CA83-'Existing Levels Drone Survey'!CA83</f>
        <v>0</v>
      </c>
      <c r="CB83" s="191">
        <f>'Functional Levels Drone Survey'!CB83-'Existing Levels Drone Survey'!CB83</f>
        <v>0</v>
      </c>
      <c r="CC83" s="191">
        <f>'Functional Levels Drone Survey'!CC83-'Existing Levels Drone Survey'!CC83</f>
        <v>0</v>
      </c>
      <c r="CD83" s="191">
        <f>'Functional Levels Drone Survey'!CD83-'Existing Levels Drone Survey'!CD83</f>
        <v>0</v>
      </c>
      <c r="CE83" s="191">
        <f>'Functional Levels Drone Survey'!CE83-'Existing Levels Drone Survey'!CE83</f>
        <v>0</v>
      </c>
      <c r="CF83" s="191">
        <f>'Functional Levels Drone Survey'!CF83-'Existing Levels Drone Survey'!CF83</f>
        <v>0</v>
      </c>
      <c r="CG83" s="191">
        <f>'Functional Levels Drone Survey'!CG83-'Existing Levels Drone Survey'!CG83</f>
        <v>0</v>
      </c>
      <c r="CH83" s="191">
        <f>'Functional Levels Drone Survey'!CH83-'Existing Levels Drone Survey'!CH83</f>
        <v>0</v>
      </c>
      <c r="CI83" s="191">
        <f>'Functional Levels Drone Survey'!CI83-'Existing Levels Drone Survey'!CI83</f>
        <v>0</v>
      </c>
      <c r="CJ83" s="191">
        <f>'Functional Levels Drone Survey'!CJ83-'Existing Levels Drone Survey'!CJ83</f>
        <v>0</v>
      </c>
      <c r="CK83" s="191">
        <f>'Functional Levels Drone Survey'!CK83-'Existing Levels Drone Survey'!CK83</f>
        <v>0</v>
      </c>
      <c r="CL83" s="191">
        <f>'Functional Levels Drone Survey'!CL83-'Existing Levels Drone Survey'!CL83</f>
        <v>0</v>
      </c>
      <c r="CM83" s="191">
        <f>'Functional Levels Drone Survey'!CM83-'Existing Levels Drone Survey'!CM83</f>
        <v>0</v>
      </c>
      <c r="CN83" s="191">
        <f>'Functional Levels Drone Survey'!CN83-'Existing Levels Drone Survey'!CN83</f>
        <v>0</v>
      </c>
      <c r="CO83" s="191">
        <f>'Functional Levels Drone Survey'!CO83-'Existing Levels Drone Survey'!CO83</f>
        <v>0</v>
      </c>
      <c r="CP83" s="191">
        <f>'Functional Levels Drone Survey'!CP83-'Existing Levels Drone Survey'!CP83</f>
        <v>0</v>
      </c>
      <c r="CQ83" s="191">
        <f>'Functional Levels Drone Survey'!CQ83-'Existing Levels Drone Survey'!CQ83</f>
        <v>0</v>
      </c>
      <c r="CR83" s="191">
        <f>'Functional Levels Drone Survey'!CR83-'Existing Levels Drone Survey'!CR83</f>
        <v>0</v>
      </c>
      <c r="CS83" s="191">
        <f>'Functional Levels Drone Survey'!CS83-'Existing Levels Drone Survey'!CS83</f>
        <v>0</v>
      </c>
      <c r="CT83" s="191">
        <f>'Functional Levels Drone Survey'!CT83-'Existing Levels Drone Survey'!CT83</f>
        <v>0</v>
      </c>
      <c r="CU83" s="191">
        <f>'Functional Levels Drone Survey'!CU83-'Existing Levels Drone Survey'!CU83</f>
        <v>0</v>
      </c>
      <c r="CV83" s="191">
        <f>'Functional Levels Drone Survey'!CV83-'Existing Levels Drone Survey'!CV83</f>
        <v>0</v>
      </c>
      <c r="CW83" s="191">
        <f>'Functional Levels Drone Survey'!CW83-'Existing Levels Drone Survey'!CW83</f>
        <v>0</v>
      </c>
      <c r="CX83" s="191">
        <f>'Functional Levels Drone Survey'!CX83-'Existing Levels Drone Survey'!CX83</f>
        <v>0</v>
      </c>
      <c r="CY83" s="191">
        <f>'Functional Levels Drone Survey'!CY83-'Existing Levels Drone Survey'!CY83</f>
        <v>0</v>
      </c>
      <c r="CZ83" s="191">
        <f>'Functional Levels Drone Survey'!CZ83-'Existing Levels Drone Survey'!CZ83</f>
        <v>0</v>
      </c>
      <c r="DA83" s="191">
        <f>'Functional Levels Drone Survey'!DA83-'Existing Levels Drone Survey'!DA83</f>
        <v>0</v>
      </c>
      <c r="DB83" s="191">
        <f>'Functional Levels Drone Survey'!DB83-'Existing Levels Drone Survey'!DB83</f>
        <v>0</v>
      </c>
      <c r="DC83" s="191">
        <f>'Functional Levels Drone Survey'!DC83-'Existing Levels Drone Survey'!DC83</f>
        <v>0</v>
      </c>
      <c r="DD83" s="191">
        <f>'Functional Levels Drone Survey'!DD83-'Existing Levels Drone Survey'!DD83</f>
        <v>0</v>
      </c>
      <c r="DE83" s="191">
        <f>'Functional Levels Drone Survey'!DE83-'Existing Levels Drone Survey'!DE83</f>
        <v>0</v>
      </c>
      <c r="DF83" s="191">
        <f>'Functional Levels Drone Survey'!DF83-'Existing Levels Drone Survey'!DF83</f>
        <v>0</v>
      </c>
      <c r="DG83" s="191">
        <f>'Functional Levels Drone Survey'!DG83-'Existing Levels Drone Survey'!DG83</f>
        <v>0</v>
      </c>
      <c r="DH83" s="191">
        <f>'Functional Levels Drone Survey'!DH83-'Existing Levels Drone Survey'!DH83</f>
        <v>0</v>
      </c>
      <c r="DI83" s="191">
        <f>'Functional Levels Drone Survey'!DI83-'Existing Levels Drone Survey'!DI83</f>
        <v>0</v>
      </c>
      <c r="DJ83" s="191">
        <f>'Functional Levels Drone Survey'!DJ83-'Existing Levels Drone Survey'!DJ83</f>
        <v>0</v>
      </c>
      <c r="DK83" s="191">
        <f>'Functional Levels Drone Survey'!DK83-'Existing Levels Drone Survey'!DK83</f>
        <v>0</v>
      </c>
      <c r="DL83" s="191">
        <f>'Functional Levels Drone Survey'!DL83-'Existing Levels Drone Survey'!DL83</f>
        <v>0</v>
      </c>
      <c r="DM83" s="191">
        <f>'Functional Levels Drone Survey'!DM83-'Existing Levels Drone Survey'!DM83</f>
        <v>0</v>
      </c>
      <c r="DN83" s="191">
        <f>'Functional Levels Drone Survey'!DN83-'Existing Levels Drone Survey'!DN83</f>
        <v>0</v>
      </c>
      <c r="DO83" s="191">
        <f>'Functional Levels Drone Survey'!DO83-'Existing Levels Drone Survey'!DO83</f>
        <v>0</v>
      </c>
      <c r="DP83" s="191">
        <f>'Functional Levels Drone Survey'!DP83-'Existing Levels Drone Survey'!DP83</f>
        <v>0</v>
      </c>
      <c r="DQ83" s="191">
        <f>'Functional Levels Drone Survey'!DQ83-'Existing Levels Drone Survey'!DQ83</f>
        <v>0</v>
      </c>
      <c r="DR83" s="191">
        <f>'Functional Levels Drone Survey'!DR83-'Existing Levels Drone Survey'!DR83</f>
        <v>0</v>
      </c>
      <c r="DS83" s="191">
        <f>'Functional Levels Drone Survey'!DS83-'Existing Levels Drone Survey'!DS83</f>
        <v>0</v>
      </c>
      <c r="DT83" s="191">
        <f>'Functional Levels Drone Survey'!DT83-'Existing Levels Drone Survey'!DT83</f>
        <v>0</v>
      </c>
      <c r="DU83" s="191">
        <f>'Functional Levels Drone Survey'!DU83-'Existing Levels Drone Survey'!DU83</f>
        <v>0</v>
      </c>
      <c r="DV83" s="191">
        <f>'Functional Levels Drone Survey'!DV83-'Existing Levels Drone Survey'!DV83</f>
        <v>0</v>
      </c>
      <c r="DW83" s="191">
        <f>'Functional Levels Drone Survey'!DW83-'Existing Levels Drone Survey'!DW83</f>
        <v>0</v>
      </c>
      <c r="DX83" s="191">
        <f>'Functional Levels Drone Survey'!DX83-'Existing Levels Drone Survey'!DX83</f>
        <v>0</v>
      </c>
      <c r="DY83" s="191">
        <f>'Functional Levels Drone Survey'!DY83-'Existing Levels Drone Survey'!DY83</f>
        <v>0</v>
      </c>
      <c r="DZ83" s="191">
        <f>'Functional Levels Drone Survey'!DZ83-'Existing Levels Drone Survey'!DZ83</f>
        <v>0</v>
      </c>
      <c r="EA83" s="191">
        <f>'Functional Levels Drone Survey'!EA83-'Existing Levels Drone Survey'!EA83</f>
        <v>0</v>
      </c>
      <c r="EB83" s="191">
        <f>'Functional Levels Drone Survey'!EB83-'Existing Levels Drone Survey'!EB83</f>
        <v>0</v>
      </c>
      <c r="EC83" s="191">
        <f>'Functional Levels Drone Survey'!EC83-'Existing Levels Drone Survey'!EC83</f>
        <v>0</v>
      </c>
      <c r="ED83" s="191">
        <f>'Functional Levels Drone Survey'!ED83-'Existing Levels Drone Survey'!ED83</f>
        <v>0</v>
      </c>
      <c r="EE83" s="191">
        <f>'Functional Levels Drone Survey'!EE83-'Existing Levels Drone Survey'!EE83</f>
        <v>0</v>
      </c>
      <c r="EF83" s="191">
        <f>'Functional Levels Drone Survey'!EF83-'Existing Levels Drone Survey'!EF83</f>
        <v>0</v>
      </c>
      <c r="EG83" s="191">
        <f>'Functional Levels Drone Survey'!EG83-'Existing Levels Drone Survey'!EG83</f>
        <v>0</v>
      </c>
      <c r="EH83" s="191">
        <f>'Functional Levels Drone Survey'!EH83-'Existing Levels Drone Survey'!EH83</f>
        <v>0</v>
      </c>
      <c r="EI83" s="191">
        <f>'Functional Levels Drone Survey'!EI83-'Existing Levels Drone Survey'!EI83</f>
        <v>0</v>
      </c>
      <c r="EJ83" s="191">
        <f>'Functional Levels Drone Survey'!EJ83-'Existing Levels Drone Survey'!EJ83</f>
        <v>0</v>
      </c>
      <c r="EK83" s="191">
        <f>'Functional Levels Drone Survey'!EK83-'Existing Levels Drone Survey'!EK83</f>
        <v>0</v>
      </c>
      <c r="EL83" s="191">
        <f>'Functional Levels Drone Survey'!EL83-'Existing Levels Drone Survey'!EL83</f>
        <v>0</v>
      </c>
      <c r="EM83" s="191">
        <f>'Functional Levels Drone Survey'!EM83-'Existing Levels Drone Survey'!EM83</f>
        <v>0</v>
      </c>
      <c r="EN83" s="191">
        <f>'Functional Levels Drone Survey'!EN83-'Existing Levels Drone Survey'!EN83</f>
        <v>0</v>
      </c>
      <c r="EO83" s="191">
        <f>'Functional Levels Drone Survey'!EO83-'Existing Levels Drone Survey'!EO83</f>
        <v>0</v>
      </c>
      <c r="EP83" s="191">
        <f>'Functional Levels Drone Survey'!EP83-'Existing Levels Drone Survey'!EP83</f>
        <v>0</v>
      </c>
      <c r="EQ83" s="191">
        <f>'Functional Levels Drone Survey'!EQ83-'Existing Levels Drone Survey'!EQ83</f>
        <v>0</v>
      </c>
      <c r="ER83" s="191">
        <f>'Functional Levels Drone Survey'!ER83-'Existing Levels Drone Survey'!ER83</f>
        <v>0</v>
      </c>
      <c r="ES83" s="191">
        <f>'Functional Levels Drone Survey'!ES83-'Existing Levels Drone Survey'!ES83</f>
        <v>0</v>
      </c>
      <c r="ET83" s="191">
        <f>'Functional Levels Drone Survey'!ET83-'Existing Levels Drone Survey'!ET83</f>
        <v>0</v>
      </c>
      <c r="EU83" s="191">
        <f>'Functional Levels Drone Survey'!EU83-'Existing Levels Drone Survey'!EU83</f>
        <v>0</v>
      </c>
      <c r="EV83" s="191">
        <f>'Functional Levels Drone Survey'!EV83-'Existing Levels Drone Survey'!EV83</f>
        <v>0</v>
      </c>
      <c r="EW83" s="191">
        <f>'Functional Levels Drone Survey'!EW83-'Existing Levels Drone Survey'!EW83</f>
        <v>0</v>
      </c>
      <c r="EX83" s="191">
        <f>'Functional Levels Drone Survey'!EX83-'Existing Levels Drone Survey'!EX83</f>
        <v>0</v>
      </c>
      <c r="EY83" s="191">
        <f>'Functional Levels Drone Survey'!EY83-'Existing Levels Drone Survey'!EY83</f>
        <v>0</v>
      </c>
    </row>
    <row r="84" spans="1:159" ht="45" customHeight="1" x14ac:dyDescent="0.45">
      <c r="A84" s="277">
        <v>415</v>
      </c>
      <c r="B84" s="191">
        <f>'Functional Levels Drone Survey'!B84-'Existing Levels Drone Survey'!B84</f>
        <v>0</v>
      </c>
      <c r="C84" s="191">
        <f>'Functional Levels Drone Survey'!C84-'Existing Levels Drone Survey'!C84</f>
        <v>0</v>
      </c>
      <c r="D84" s="191">
        <f>'Functional Levels Drone Survey'!D84-'Existing Levels Drone Survey'!D84</f>
        <v>0</v>
      </c>
      <c r="E84" s="191">
        <f>'Functional Levels Drone Survey'!E84-'Existing Levels Drone Survey'!E84</f>
        <v>0</v>
      </c>
      <c r="F84" s="191">
        <f>'Functional Levels Drone Survey'!F84-'Existing Levels Drone Survey'!F84</f>
        <v>0</v>
      </c>
      <c r="G84" s="278">
        <f>'Functional Levels Drone Survey'!G84-'Existing Levels Drone Survey'!G84</f>
        <v>-0.59225555555570963</v>
      </c>
      <c r="H84" s="279">
        <f>'Functional Levels Drone Survey'!H84-'Existing Levels Drone Survey'!H84</f>
        <v>-0.19295555555567034</v>
      </c>
      <c r="I84" s="191">
        <f>'Functional Levels Drone Survey'!I84-'Existing Levels Drone Survey'!I84</f>
        <v>-0.18695555555564169</v>
      </c>
      <c r="J84" s="191">
        <f>'Functional Levels Drone Survey'!J84-'Existing Levels Drone Survey'!J84</f>
        <v>-0.18945555555563942</v>
      </c>
      <c r="K84" s="191">
        <f>'Functional Levels Drone Survey'!K84-'Existing Levels Drone Survey'!K84</f>
        <v>-0.22095555555569035</v>
      </c>
      <c r="L84" s="191">
        <f>'Functional Levels Drone Survey'!L84-'Existing Levels Drone Survey'!L84</f>
        <v>-0.21135555555565588</v>
      </c>
      <c r="M84" s="191">
        <f>'Functional Levels Drone Survey'!M84-'Existing Levels Drone Survey'!M84</f>
        <v>-0.19925555555568053</v>
      </c>
      <c r="N84" s="191">
        <f>'Functional Levels Drone Survey'!N84-'Existing Levels Drone Survey'!N84</f>
        <v>-0.22925555555565325</v>
      </c>
      <c r="O84" s="191">
        <f>'Functional Levels Drone Survey'!O84-'Existing Levels Drone Survey'!O84</f>
        <v>-0.23655555555563978</v>
      </c>
      <c r="P84" s="191">
        <f>'Functional Levels Drone Survey'!P84-'Existing Levels Drone Survey'!P84</f>
        <v>-0.38955555555565979</v>
      </c>
      <c r="Q84" s="191">
        <f>'Functional Levels Drone Survey'!Q84-'Existing Levels Drone Survey'!Q84</f>
        <v>-0.24315555555568835</v>
      </c>
      <c r="R84" s="191">
        <f>'Functional Levels Drone Survey'!R84-'Existing Levels Drone Survey'!R84</f>
        <v>-0.18115555555567653</v>
      </c>
      <c r="S84" s="191">
        <f>'Functional Levels Drone Survey'!S84-'Existing Levels Drone Survey'!S84</f>
        <v>-0.20015555555568199</v>
      </c>
      <c r="T84" s="191">
        <f>'Functional Levels Drone Survey'!T84-'Existing Levels Drone Survey'!T84</f>
        <v>-0.2312555555556628</v>
      </c>
      <c r="U84" s="191">
        <f>'Functional Levels Drone Survey'!U84-'Existing Levels Drone Survey'!U84</f>
        <v>-0.24365555555567653</v>
      </c>
      <c r="V84" s="191">
        <f>'Functional Levels Drone Survey'!V84-'Existing Levels Drone Survey'!V84</f>
        <v>-0.25455555555566889</v>
      </c>
      <c r="W84" s="191">
        <f>'Functional Levels Drone Survey'!W84-'Existing Levels Drone Survey'!W84</f>
        <v>-0.2855555555556748</v>
      </c>
      <c r="X84" s="191">
        <f>'Functional Levels Drone Survey'!X84-'Existing Levels Drone Survey'!X84</f>
        <v>-0.29705555555568708</v>
      </c>
      <c r="Y84" s="279">
        <f>'Functional Levels Drone Survey'!Y84-'Existing Levels Drone Survey'!Y84</f>
        <v>-0.28735555555567771</v>
      </c>
      <c r="Z84" s="278">
        <f>'Functional Levels Drone Survey'!Z84-'Existing Levels Drone Survey'!Z84</f>
        <v>-1.9149555555556503</v>
      </c>
      <c r="AA84" s="191">
        <f>'Functional Levels Drone Survey'!AA84-'Existing Levels Drone Survey'!AA84</f>
        <v>0</v>
      </c>
      <c r="AB84" s="191">
        <f>'Functional Levels Drone Survey'!AB84-'Existing Levels Drone Survey'!AB84</f>
        <v>0</v>
      </c>
      <c r="AC84" s="191">
        <f>'Functional Levels Drone Survey'!AC84-'Existing Levels Drone Survey'!AC84</f>
        <v>0</v>
      </c>
      <c r="AD84" s="191">
        <f>'Functional Levels Drone Survey'!AD84-'Existing Levels Drone Survey'!AD84</f>
        <v>0</v>
      </c>
      <c r="AE84" s="191">
        <f>'Functional Levels Drone Survey'!AE84-'Existing Levels Drone Survey'!AE84</f>
        <v>0</v>
      </c>
      <c r="AF84" s="191">
        <f>'Functional Levels Drone Survey'!AF84-'Existing Levels Drone Survey'!AF84</f>
        <v>0</v>
      </c>
      <c r="AG84" s="191">
        <f>'Functional Levels Drone Survey'!AG84-'Existing Levels Drone Survey'!AG84</f>
        <v>0</v>
      </c>
      <c r="AH84" s="191">
        <f>'Functional Levels Drone Survey'!AH84-'Existing Levels Drone Survey'!AH84</f>
        <v>0</v>
      </c>
      <c r="AI84" s="191">
        <f>'Functional Levels Drone Survey'!AI84-'Existing Levels Drone Survey'!AI84</f>
        <v>0</v>
      </c>
      <c r="AJ84" s="191">
        <f>'Functional Levels Drone Survey'!AJ84-'Existing Levels Drone Survey'!AJ84</f>
        <v>0</v>
      </c>
      <c r="AK84" s="191">
        <f>'Functional Levels Drone Survey'!AK84-'Existing Levels Drone Survey'!AK84</f>
        <v>0</v>
      </c>
      <c r="AL84" s="191">
        <f>'Functional Levels Drone Survey'!AL84-'Existing Levels Drone Survey'!AL84</f>
        <v>0</v>
      </c>
      <c r="AM84" s="191">
        <f>'Functional Levels Drone Survey'!AM84-'Existing Levels Drone Survey'!AM84</f>
        <v>0</v>
      </c>
      <c r="AN84" s="191">
        <f>'Functional Levels Drone Survey'!AN84-'Existing Levels Drone Survey'!AN84</f>
        <v>0</v>
      </c>
      <c r="AO84" s="191">
        <f>'Functional Levels Drone Survey'!AO84-'Existing Levels Drone Survey'!AO84</f>
        <v>0</v>
      </c>
      <c r="AP84" s="191">
        <f>'Functional Levels Drone Survey'!AP84-'Existing Levels Drone Survey'!AP84</f>
        <v>0</v>
      </c>
      <c r="AQ84" s="191">
        <f>'Functional Levels Drone Survey'!AQ84-'Existing Levels Drone Survey'!AQ84</f>
        <v>0</v>
      </c>
      <c r="AR84" s="191">
        <f>'Functional Levels Drone Survey'!AR84-'Existing Levels Drone Survey'!AR84</f>
        <v>0</v>
      </c>
      <c r="AS84" s="191">
        <f>'Functional Levels Drone Survey'!AS84-'Existing Levels Drone Survey'!AS84</f>
        <v>0</v>
      </c>
      <c r="AT84" s="191">
        <f>'Functional Levels Drone Survey'!AT84-'Existing Levels Drone Survey'!AT84</f>
        <v>0</v>
      </c>
      <c r="AU84" s="191">
        <f>'Functional Levels Drone Survey'!AU84-'Existing Levels Drone Survey'!AU84</f>
        <v>0</v>
      </c>
      <c r="AV84" s="191">
        <f>'Functional Levels Drone Survey'!AV84-'Existing Levels Drone Survey'!AV84</f>
        <v>0</v>
      </c>
      <c r="AW84" s="191">
        <f>'Functional Levels Drone Survey'!AW84-'Existing Levels Drone Survey'!AW84</f>
        <v>0</v>
      </c>
      <c r="AX84" s="191">
        <f>'Functional Levels Drone Survey'!AX84-'Existing Levels Drone Survey'!AX84</f>
        <v>0</v>
      </c>
      <c r="AY84" s="191">
        <f>'Functional Levels Drone Survey'!AY84-'Existing Levels Drone Survey'!AY84</f>
        <v>0</v>
      </c>
      <c r="AZ84" s="191">
        <f>'Functional Levels Drone Survey'!AZ84-'Existing Levels Drone Survey'!AZ84</f>
        <v>0</v>
      </c>
      <c r="BA84" s="191">
        <f>'Functional Levels Drone Survey'!BA84-'Existing Levels Drone Survey'!BA84</f>
        <v>0</v>
      </c>
      <c r="BB84" s="191">
        <f>'Functional Levels Drone Survey'!BB84-'Existing Levels Drone Survey'!BB84</f>
        <v>0</v>
      </c>
      <c r="BC84" s="191">
        <f>'Functional Levels Drone Survey'!BC84-'Existing Levels Drone Survey'!BC84</f>
        <v>0</v>
      </c>
      <c r="BD84" s="191">
        <f>'Functional Levels Drone Survey'!BD84-'Existing Levels Drone Survey'!BD84</f>
        <v>0</v>
      </c>
      <c r="BE84" s="191">
        <f>'Functional Levels Drone Survey'!BE84-'Existing Levels Drone Survey'!BE84</f>
        <v>0</v>
      </c>
      <c r="BF84" s="191">
        <f>'Functional Levels Drone Survey'!BF84-'Existing Levels Drone Survey'!BF84</f>
        <v>0</v>
      </c>
      <c r="BG84" s="191">
        <f>'Functional Levels Drone Survey'!BG84-'Existing Levels Drone Survey'!BG84</f>
        <v>0</v>
      </c>
      <c r="BH84" s="191">
        <f>'Functional Levels Drone Survey'!BH84-'Existing Levels Drone Survey'!BH84</f>
        <v>0</v>
      </c>
      <c r="BI84" s="191">
        <f>'Functional Levels Drone Survey'!BI84-'Existing Levels Drone Survey'!BI84</f>
        <v>0</v>
      </c>
      <c r="BJ84" s="191">
        <f>'Functional Levels Drone Survey'!BJ84-'Existing Levels Drone Survey'!BJ84</f>
        <v>0</v>
      </c>
      <c r="BK84" s="191">
        <f>'Functional Levels Drone Survey'!BK84-'Existing Levels Drone Survey'!BK84</f>
        <v>0</v>
      </c>
      <c r="BL84" s="191">
        <f>'Functional Levels Drone Survey'!BL84-'Existing Levels Drone Survey'!BL84</f>
        <v>0</v>
      </c>
      <c r="BM84" s="191">
        <f>'Functional Levels Drone Survey'!BM84-'Existing Levels Drone Survey'!BM84</f>
        <v>0</v>
      </c>
      <c r="BN84" s="191">
        <f>'Functional Levels Drone Survey'!BN84-'Existing Levels Drone Survey'!BN84</f>
        <v>0</v>
      </c>
      <c r="BO84" s="191">
        <f>'Functional Levels Drone Survey'!BO84-'Existing Levels Drone Survey'!BO84</f>
        <v>0</v>
      </c>
      <c r="BP84" s="191">
        <f>'Functional Levels Drone Survey'!BP84-'Existing Levels Drone Survey'!BP84</f>
        <v>0</v>
      </c>
      <c r="BQ84" s="191">
        <f>'Functional Levels Drone Survey'!BQ84-'Existing Levels Drone Survey'!BQ84</f>
        <v>0</v>
      </c>
      <c r="BR84" s="191">
        <f>'Functional Levels Drone Survey'!BR84-'Existing Levels Drone Survey'!BR84</f>
        <v>0</v>
      </c>
      <c r="BS84" s="191">
        <f>'Functional Levels Drone Survey'!BS84-'Existing Levels Drone Survey'!BS84</f>
        <v>0</v>
      </c>
      <c r="BT84" s="191">
        <f>'Functional Levels Drone Survey'!BT84-'Existing Levels Drone Survey'!BT84</f>
        <v>0</v>
      </c>
      <c r="BU84" s="191">
        <f>'Functional Levels Drone Survey'!BU84-'Existing Levels Drone Survey'!BU84</f>
        <v>0</v>
      </c>
      <c r="BV84" s="191">
        <f>'Functional Levels Drone Survey'!BV84-'Existing Levels Drone Survey'!BV84</f>
        <v>0</v>
      </c>
      <c r="BW84" s="191">
        <f>'Functional Levels Drone Survey'!BW84-'Existing Levels Drone Survey'!BW84</f>
        <v>0</v>
      </c>
      <c r="BX84" s="191">
        <f>'Functional Levels Drone Survey'!BX84-'Existing Levels Drone Survey'!BX84</f>
        <v>0</v>
      </c>
      <c r="BY84" s="191">
        <f>'Functional Levels Drone Survey'!BY84-'Existing Levels Drone Survey'!BY84</f>
        <v>0</v>
      </c>
      <c r="BZ84" s="191">
        <f>'Functional Levels Drone Survey'!BZ84-'Existing Levels Drone Survey'!BZ84</f>
        <v>0</v>
      </c>
      <c r="CA84" s="191">
        <f>'Functional Levels Drone Survey'!CA84-'Existing Levels Drone Survey'!CA84</f>
        <v>0</v>
      </c>
      <c r="CB84" s="191">
        <f>'Functional Levels Drone Survey'!CB84-'Existing Levels Drone Survey'!CB84</f>
        <v>0</v>
      </c>
      <c r="CC84" s="191">
        <f>'Functional Levels Drone Survey'!CC84-'Existing Levels Drone Survey'!CC84</f>
        <v>0</v>
      </c>
      <c r="CD84" s="191">
        <f>'Functional Levels Drone Survey'!CD84-'Existing Levels Drone Survey'!CD84</f>
        <v>0</v>
      </c>
      <c r="CE84" s="191">
        <f>'Functional Levels Drone Survey'!CE84-'Existing Levels Drone Survey'!CE84</f>
        <v>0</v>
      </c>
      <c r="CF84" s="191">
        <f>'Functional Levels Drone Survey'!CF84-'Existing Levels Drone Survey'!CF84</f>
        <v>0</v>
      </c>
      <c r="CG84" s="191">
        <f>'Functional Levels Drone Survey'!CG84-'Existing Levels Drone Survey'!CG84</f>
        <v>0</v>
      </c>
      <c r="CH84" s="191">
        <f>'Functional Levels Drone Survey'!CH84-'Existing Levels Drone Survey'!CH84</f>
        <v>0</v>
      </c>
      <c r="CI84" s="191">
        <f>'Functional Levels Drone Survey'!CI84-'Existing Levels Drone Survey'!CI84</f>
        <v>0</v>
      </c>
      <c r="CJ84" s="191">
        <f>'Functional Levels Drone Survey'!CJ84-'Existing Levels Drone Survey'!CJ84</f>
        <v>0</v>
      </c>
      <c r="CK84" s="191">
        <f>'Functional Levels Drone Survey'!CK84-'Existing Levels Drone Survey'!CK84</f>
        <v>0</v>
      </c>
      <c r="CL84" s="191">
        <f>'Functional Levels Drone Survey'!CL84-'Existing Levels Drone Survey'!CL84</f>
        <v>0</v>
      </c>
      <c r="CM84" s="191">
        <f>'Functional Levels Drone Survey'!CM84-'Existing Levels Drone Survey'!CM84</f>
        <v>0</v>
      </c>
      <c r="CN84" s="191">
        <f>'Functional Levels Drone Survey'!CN84-'Existing Levels Drone Survey'!CN84</f>
        <v>0</v>
      </c>
      <c r="CO84" s="191">
        <f>'Functional Levels Drone Survey'!CO84-'Existing Levels Drone Survey'!CO84</f>
        <v>0</v>
      </c>
      <c r="CP84" s="191">
        <f>'Functional Levels Drone Survey'!CP84-'Existing Levels Drone Survey'!CP84</f>
        <v>0</v>
      </c>
      <c r="CQ84" s="191">
        <f>'Functional Levels Drone Survey'!CQ84-'Existing Levels Drone Survey'!CQ84</f>
        <v>0</v>
      </c>
      <c r="CR84" s="191">
        <f>'Functional Levels Drone Survey'!CR84-'Existing Levels Drone Survey'!CR84</f>
        <v>0</v>
      </c>
      <c r="CS84" s="191">
        <f>'Functional Levels Drone Survey'!CS84-'Existing Levels Drone Survey'!CS84</f>
        <v>0</v>
      </c>
      <c r="CT84" s="191">
        <f>'Functional Levels Drone Survey'!CT84-'Existing Levels Drone Survey'!CT84</f>
        <v>0</v>
      </c>
      <c r="CU84" s="191">
        <f>'Functional Levels Drone Survey'!CU84-'Existing Levels Drone Survey'!CU84</f>
        <v>0</v>
      </c>
      <c r="CV84" s="191">
        <f>'Functional Levels Drone Survey'!CV84-'Existing Levels Drone Survey'!CV84</f>
        <v>0</v>
      </c>
      <c r="CW84" s="191">
        <f>'Functional Levels Drone Survey'!CW84-'Existing Levels Drone Survey'!CW84</f>
        <v>0</v>
      </c>
      <c r="CX84" s="191">
        <f>'Functional Levels Drone Survey'!CX84-'Existing Levels Drone Survey'!CX84</f>
        <v>0</v>
      </c>
      <c r="CY84" s="191">
        <f>'Functional Levels Drone Survey'!CY84-'Existing Levels Drone Survey'!CY84</f>
        <v>0</v>
      </c>
      <c r="CZ84" s="191">
        <f>'Functional Levels Drone Survey'!CZ84-'Existing Levels Drone Survey'!CZ84</f>
        <v>0</v>
      </c>
      <c r="DA84" s="191">
        <f>'Functional Levels Drone Survey'!DA84-'Existing Levels Drone Survey'!DA84</f>
        <v>0</v>
      </c>
      <c r="DB84" s="191">
        <f>'Functional Levels Drone Survey'!DB84-'Existing Levels Drone Survey'!DB84</f>
        <v>0</v>
      </c>
      <c r="DC84" s="191">
        <f>'Functional Levels Drone Survey'!DC84-'Existing Levels Drone Survey'!DC84</f>
        <v>0</v>
      </c>
      <c r="DD84" s="191">
        <f>'Functional Levels Drone Survey'!DD84-'Existing Levels Drone Survey'!DD84</f>
        <v>0</v>
      </c>
      <c r="DE84" s="191">
        <f>'Functional Levels Drone Survey'!DE84-'Existing Levels Drone Survey'!DE84</f>
        <v>0</v>
      </c>
      <c r="DF84" s="191">
        <f>'Functional Levels Drone Survey'!DF84-'Existing Levels Drone Survey'!DF84</f>
        <v>0</v>
      </c>
      <c r="DG84" s="191">
        <f>'Functional Levels Drone Survey'!DG84-'Existing Levels Drone Survey'!DG84</f>
        <v>0</v>
      </c>
      <c r="DH84" s="191">
        <f>'Functional Levels Drone Survey'!DH84-'Existing Levels Drone Survey'!DH84</f>
        <v>0</v>
      </c>
      <c r="DI84" s="191">
        <f>'Functional Levels Drone Survey'!DI84-'Existing Levels Drone Survey'!DI84</f>
        <v>0</v>
      </c>
      <c r="DJ84" s="191">
        <f>'Functional Levels Drone Survey'!DJ84-'Existing Levels Drone Survey'!DJ84</f>
        <v>0</v>
      </c>
      <c r="DK84" s="191">
        <f>'Functional Levels Drone Survey'!DK84-'Existing Levels Drone Survey'!DK84</f>
        <v>0</v>
      </c>
      <c r="DL84" s="191">
        <f>'Functional Levels Drone Survey'!DL84-'Existing Levels Drone Survey'!DL84</f>
        <v>0</v>
      </c>
      <c r="DM84" s="191">
        <f>'Functional Levels Drone Survey'!DM84-'Existing Levels Drone Survey'!DM84</f>
        <v>0</v>
      </c>
      <c r="DN84" s="191">
        <f>'Functional Levels Drone Survey'!DN84-'Existing Levels Drone Survey'!DN84</f>
        <v>0</v>
      </c>
      <c r="DO84" s="191">
        <f>'Functional Levels Drone Survey'!DO84-'Existing Levels Drone Survey'!DO84</f>
        <v>0</v>
      </c>
      <c r="DP84" s="191">
        <f>'Functional Levels Drone Survey'!DP84-'Existing Levels Drone Survey'!DP84</f>
        <v>0</v>
      </c>
      <c r="DQ84" s="191">
        <f>'Functional Levels Drone Survey'!DQ84-'Existing Levels Drone Survey'!DQ84</f>
        <v>0</v>
      </c>
      <c r="DR84" s="191">
        <f>'Functional Levels Drone Survey'!DR84-'Existing Levels Drone Survey'!DR84</f>
        <v>0</v>
      </c>
      <c r="DS84" s="191">
        <f>'Functional Levels Drone Survey'!DS84-'Existing Levels Drone Survey'!DS84</f>
        <v>0</v>
      </c>
      <c r="DT84" s="191">
        <f>'Functional Levels Drone Survey'!DT84-'Existing Levels Drone Survey'!DT84</f>
        <v>0</v>
      </c>
      <c r="DU84" s="191">
        <f>'Functional Levels Drone Survey'!DU84-'Existing Levels Drone Survey'!DU84</f>
        <v>0</v>
      </c>
      <c r="DV84" s="191">
        <f>'Functional Levels Drone Survey'!DV84-'Existing Levels Drone Survey'!DV84</f>
        <v>0</v>
      </c>
      <c r="DW84" s="191">
        <f>'Functional Levels Drone Survey'!DW84-'Existing Levels Drone Survey'!DW84</f>
        <v>0</v>
      </c>
      <c r="DX84" s="191">
        <f>'Functional Levels Drone Survey'!DX84-'Existing Levels Drone Survey'!DX84</f>
        <v>0</v>
      </c>
      <c r="DY84" s="191">
        <f>'Functional Levels Drone Survey'!DY84-'Existing Levels Drone Survey'!DY84</f>
        <v>0</v>
      </c>
      <c r="DZ84" s="191">
        <f>'Functional Levels Drone Survey'!DZ84-'Existing Levels Drone Survey'!DZ84</f>
        <v>0</v>
      </c>
      <c r="EA84" s="191">
        <f>'Functional Levels Drone Survey'!EA84-'Existing Levels Drone Survey'!EA84</f>
        <v>0</v>
      </c>
      <c r="EB84" s="191">
        <f>'Functional Levels Drone Survey'!EB84-'Existing Levels Drone Survey'!EB84</f>
        <v>0</v>
      </c>
      <c r="EC84" s="191">
        <f>'Functional Levels Drone Survey'!EC84-'Existing Levels Drone Survey'!EC84</f>
        <v>0</v>
      </c>
      <c r="ED84" s="191">
        <f>'Functional Levels Drone Survey'!ED84-'Existing Levels Drone Survey'!ED84</f>
        <v>0</v>
      </c>
      <c r="EE84" s="191">
        <f>'Functional Levels Drone Survey'!EE84-'Existing Levels Drone Survey'!EE84</f>
        <v>0</v>
      </c>
      <c r="EF84" s="191">
        <f>'Functional Levels Drone Survey'!EF84-'Existing Levels Drone Survey'!EF84</f>
        <v>0</v>
      </c>
      <c r="EG84" s="191">
        <f>'Functional Levels Drone Survey'!EG84-'Existing Levels Drone Survey'!EG84</f>
        <v>0</v>
      </c>
      <c r="EH84" s="191">
        <f>'Functional Levels Drone Survey'!EH84-'Existing Levels Drone Survey'!EH84</f>
        <v>0</v>
      </c>
      <c r="EI84" s="191">
        <f>'Functional Levels Drone Survey'!EI84-'Existing Levels Drone Survey'!EI84</f>
        <v>0</v>
      </c>
      <c r="EJ84" s="191">
        <f>'Functional Levels Drone Survey'!EJ84-'Existing Levels Drone Survey'!EJ84</f>
        <v>0</v>
      </c>
      <c r="EK84" s="191">
        <f>'Functional Levels Drone Survey'!EK84-'Existing Levels Drone Survey'!EK84</f>
        <v>0</v>
      </c>
      <c r="EL84" s="191">
        <f>'Functional Levels Drone Survey'!EL84-'Existing Levels Drone Survey'!EL84</f>
        <v>0</v>
      </c>
      <c r="EM84" s="191">
        <f>'Functional Levels Drone Survey'!EM84-'Existing Levels Drone Survey'!EM84</f>
        <v>0</v>
      </c>
      <c r="EN84" s="191">
        <f>'Functional Levels Drone Survey'!EN84-'Existing Levels Drone Survey'!EN84</f>
        <v>0</v>
      </c>
      <c r="EO84" s="191">
        <f>'Functional Levels Drone Survey'!EO84-'Existing Levels Drone Survey'!EO84</f>
        <v>0</v>
      </c>
      <c r="EP84" s="191">
        <f>'Functional Levels Drone Survey'!EP84-'Existing Levels Drone Survey'!EP84</f>
        <v>0</v>
      </c>
      <c r="EQ84" s="191">
        <f>'Functional Levels Drone Survey'!EQ84-'Existing Levels Drone Survey'!EQ84</f>
        <v>0</v>
      </c>
      <c r="ER84" s="191">
        <f>'Functional Levels Drone Survey'!ER84-'Existing Levels Drone Survey'!ER84</f>
        <v>0</v>
      </c>
      <c r="ES84" s="191">
        <f>'Functional Levels Drone Survey'!ES84-'Existing Levels Drone Survey'!ES84</f>
        <v>0</v>
      </c>
      <c r="ET84" s="191">
        <f>'Functional Levels Drone Survey'!ET84-'Existing Levels Drone Survey'!ET84</f>
        <v>0</v>
      </c>
      <c r="EU84" s="191">
        <f>'Functional Levels Drone Survey'!EU84-'Existing Levels Drone Survey'!EU84</f>
        <v>0</v>
      </c>
      <c r="EV84" s="191">
        <f>'Functional Levels Drone Survey'!EV84-'Existing Levels Drone Survey'!EV84</f>
        <v>0</v>
      </c>
      <c r="EW84" s="191">
        <f>'Functional Levels Drone Survey'!EW84-'Existing Levels Drone Survey'!EW84</f>
        <v>0</v>
      </c>
      <c r="EX84" s="191">
        <f>'Functional Levels Drone Survey'!EX84-'Existing Levels Drone Survey'!EX84</f>
        <v>0</v>
      </c>
      <c r="EY84" s="191">
        <f>'Functional Levels Drone Survey'!EY84-'Existing Levels Drone Survey'!EY84</f>
        <v>0</v>
      </c>
    </row>
    <row r="85" spans="1:159" ht="45" customHeight="1" x14ac:dyDescent="0.45">
      <c r="A85" s="277">
        <v>420</v>
      </c>
      <c r="B85" s="191">
        <f>'Functional Levels Drone Survey'!B85-'Existing Levels Drone Survey'!B85</f>
        <v>0</v>
      </c>
      <c r="C85" s="191">
        <f>'Functional Levels Drone Survey'!C85-'Existing Levels Drone Survey'!C85</f>
        <v>0</v>
      </c>
      <c r="D85" s="191">
        <f>'Functional Levels Drone Survey'!D85-'Existing Levels Drone Survey'!D85</f>
        <v>0</v>
      </c>
      <c r="E85" s="191">
        <f>'Functional Levels Drone Survey'!E85-'Existing Levels Drone Survey'!E85</f>
        <v>0</v>
      </c>
      <c r="F85" s="191">
        <f>'Functional Levels Drone Survey'!F85-'Existing Levels Drone Survey'!F85</f>
        <v>0</v>
      </c>
      <c r="G85" s="278">
        <f>'Functional Levels Drone Survey'!G85-'Existing Levels Drone Survey'!G85</f>
        <v>-0.81005555555572073</v>
      </c>
      <c r="H85" s="279">
        <f>'Functional Levels Drone Survey'!H85-'Existing Levels Drone Survey'!H85</f>
        <v>-0.25485555555565043</v>
      </c>
      <c r="I85" s="279">
        <f>'Functional Levels Drone Survey'!I85-'Existing Levels Drone Survey'!I85</f>
        <v>-0.24075555555566552</v>
      </c>
      <c r="J85" s="279">
        <f>'Functional Levels Drone Survey'!J85-'Existing Levels Drone Survey'!J85</f>
        <v>-0.26075555555570418</v>
      </c>
      <c r="K85" s="279">
        <f>'Functional Levels Drone Survey'!K85-'Existing Levels Drone Survey'!K85</f>
        <v>-0.26595555555564943</v>
      </c>
      <c r="L85" s="279">
        <f>'Functional Levels Drone Survey'!L85-'Existing Levels Drone Survey'!L85</f>
        <v>-0.27775555555570008</v>
      </c>
      <c r="M85" s="279">
        <f>'Functional Levels Drone Survey'!M85-'Existing Levels Drone Survey'!M85</f>
        <v>-0.30345555555567216</v>
      </c>
      <c r="N85" s="279">
        <f>'Functional Levels Drone Survey'!N85-'Existing Levels Drone Survey'!N85</f>
        <v>-0.29905555555569663</v>
      </c>
      <c r="O85" s="279">
        <f>'Functional Levels Drone Survey'!O85-'Existing Levels Drone Survey'!O85</f>
        <v>-0.3481555555556497</v>
      </c>
      <c r="P85" s="279">
        <f>'Functional Levels Drone Survey'!P85-'Existing Levels Drone Survey'!P85</f>
        <v>-0.50265555555569108</v>
      </c>
      <c r="Q85" s="279">
        <f>'Functional Levels Drone Survey'!Q85-'Existing Levels Drone Survey'!Q85</f>
        <v>-0.31595555555566079</v>
      </c>
      <c r="R85" s="279">
        <f>'Functional Levels Drone Survey'!R85-'Existing Levels Drone Survey'!R85</f>
        <v>-0.31425555555568963</v>
      </c>
      <c r="S85" s="279">
        <f>'Functional Levels Drone Survey'!S85-'Existing Levels Drone Survey'!S85</f>
        <v>-0.31605555555569254</v>
      </c>
      <c r="T85" s="279">
        <f>'Functional Levels Drone Survey'!T85-'Existing Levels Drone Survey'!T85</f>
        <v>-0.28715555555567107</v>
      </c>
      <c r="U85" s="279">
        <f>'Functional Levels Drone Survey'!U85-'Existing Levels Drone Survey'!U85</f>
        <v>-0.30255555555567071</v>
      </c>
      <c r="V85" s="279">
        <f>'Functional Levels Drone Survey'!V85-'Existing Levels Drone Survey'!V85</f>
        <v>-0.29645555555566716</v>
      </c>
      <c r="W85" s="279">
        <f>'Functional Levels Drone Survey'!W85-'Existing Levels Drone Survey'!W85</f>
        <v>-0.3269555555556849</v>
      </c>
      <c r="X85" s="279">
        <f>'Functional Levels Drone Survey'!X85-'Existing Levels Drone Survey'!X85</f>
        <v>-0.34975555555570281</v>
      </c>
      <c r="Y85" s="279">
        <f>'Functional Levels Drone Survey'!Y85-'Existing Levels Drone Survey'!Y85</f>
        <v>-0.28045555555570445</v>
      </c>
      <c r="Z85" s="278">
        <f>'Functional Levels Drone Survey'!Z85-'Existing Levels Drone Survey'!Z85</f>
        <v>-1.9546555555556893</v>
      </c>
      <c r="AA85" s="191">
        <f>'Functional Levels Drone Survey'!AA85-'Existing Levels Drone Survey'!AA85</f>
        <v>0</v>
      </c>
      <c r="AB85" s="191">
        <f>'Functional Levels Drone Survey'!AB85-'Existing Levels Drone Survey'!AB85</f>
        <v>0</v>
      </c>
      <c r="AC85" s="191">
        <f>'Functional Levels Drone Survey'!AC85-'Existing Levels Drone Survey'!AC85</f>
        <v>0</v>
      </c>
      <c r="AD85" s="191">
        <f>'Functional Levels Drone Survey'!AD85-'Existing Levels Drone Survey'!AD85</f>
        <v>0</v>
      </c>
      <c r="AE85" s="191">
        <f>'Functional Levels Drone Survey'!AE85-'Existing Levels Drone Survey'!AE85</f>
        <v>0</v>
      </c>
      <c r="AF85" s="191">
        <f>'Functional Levels Drone Survey'!AF85-'Existing Levels Drone Survey'!AF85</f>
        <v>0</v>
      </c>
      <c r="AG85" s="191">
        <f>'Functional Levels Drone Survey'!AG85-'Existing Levels Drone Survey'!AG85</f>
        <v>0</v>
      </c>
      <c r="AH85" s="191">
        <f>'Functional Levels Drone Survey'!AH85-'Existing Levels Drone Survey'!AH85</f>
        <v>0</v>
      </c>
      <c r="AI85" s="191">
        <f>'Functional Levels Drone Survey'!AI85-'Existing Levels Drone Survey'!AI85</f>
        <v>0</v>
      </c>
      <c r="AJ85" s="191">
        <f>'Functional Levels Drone Survey'!AJ85-'Existing Levels Drone Survey'!AJ85</f>
        <v>0</v>
      </c>
      <c r="AK85" s="191">
        <f>'Functional Levels Drone Survey'!AK85-'Existing Levels Drone Survey'!AK85</f>
        <v>0</v>
      </c>
      <c r="AL85" s="191">
        <f>'Functional Levels Drone Survey'!AL85-'Existing Levels Drone Survey'!AL85</f>
        <v>0</v>
      </c>
      <c r="AM85" s="191">
        <f>'Functional Levels Drone Survey'!AM85-'Existing Levels Drone Survey'!AM85</f>
        <v>0</v>
      </c>
      <c r="AN85" s="191">
        <f>'Functional Levels Drone Survey'!AN85-'Existing Levels Drone Survey'!AN85</f>
        <v>0</v>
      </c>
      <c r="AO85" s="191">
        <f>'Functional Levels Drone Survey'!AO85-'Existing Levels Drone Survey'!AO85</f>
        <v>0</v>
      </c>
      <c r="AP85" s="191">
        <f>'Functional Levels Drone Survey'!AP85-'Existing Levels Drone Survey'!AP85</f>
        <v>0</v>
      </c>
      <c r="AQ85" s="191">
        <f>'Functional Levels Drone Survey'!AQ85-'Existing Levels Drone Survey'!AQ85</f>
        <v>0</v>
      </c>
      <c r="AR85" s="191">
        <f>'Functional Levels Drone Survey'!AR85-'Existing Levels Drone Survey'!AR85</f>
        <v>0</v>
      </c>
      <c r="AS85" s="191">
        <f>'Functional Levels Drone Survey'!AS85-'Existing Levels Drone Survey'!AS85</f>
        <v>0</v>
      </c>
      <c r="AT85" s="191">
        <f>'Functional Levels Drone Survey'!AT85-'Existing Levels Drone Survey'!AT85</f>
        <v>0</v>
      </c>
      <c r="AU85" s="191">
        <f>'Functional Levels Drone Survey'!AU85-'Existing Levels Drone Survey'!AU85</f>
        <v>0</v>
      </c>
      <c r="AV85" s="191">
        <f>'Functional Levels Drone Survey'!AV85-'Existing Levels Drone Survey'!AV85</f>
        <v>0</v>
      </c>
      <c r="AW85" s="191">
        <f>'Functional Levels Drone Survey'!AW85-'Existing Levels Drone Survey'!AW85</f>
        <v>0</v>
      </c>
      <c r="AX85" s="191">
        <f>'Functional Levels Drone Survey'!AX85-'Existing Levels Drone Survey'!AX85</f>
        <v>0</v>
      </c>
      <c r="AY85" s="191">
        <f>'Functional Levels Drone Survey'!AY85-'Existing Levels Drone Survey'!AY85</f>
        <v>0</v>
      </c>
      <c r="AZ85" s="191">
        <f>'Functional Levels Drone Survey'!AZ85-'Existing Levels Drone Survey'!AZ85</f>
        <v>0</v>
      </c>
      <c r="BA85" s="191">
        <f>'Functional Levels Drone Survey'!BA85-'Existing Levels Drone Survey'!BA85</f>
        <v>0</v>
      </c>
      <c r="BB85" s="191">
        <f>'Functional Levels Drone Survey'!BB85-'Existing Levels Drone Survey'!BB85</f>
        <v>0</v>
      </c>
      <c r="BC85" s="191">
        <f>'Functional Levels Drone Survey'!BC85-'Existing Levels Drone Survey'!BC85</f>
        <v>0</v>
      </c>
      <c r="BD85" s="191">
        <f>'Functional Levels Drone Survey'!BD85-'Existing Levels Drone Survey'!BD85</f>
        <v>0</v>
      </c>
      <c r="BE85" s="191">
        <f>'Functional Levels Drone Survey'!BE85-'Existing Levels Drone Survey'!BE85</f>
        <v>0</v>
      </c>
      <c r="BF85" s="191">
        <f>'Functional Levels Drone Survey'!BF85-'Existing Levels Drone Survey'!BF85</f>
        <v>0</v>
      </c>
      <c r="BG85" s="191">
        <f>'Functional Levels Drone Survey'!BG85-'Existing Levels Drone Survey'!BG85</f>
        <v>0</v>
      </c>
      <c r="BH85" s="191">
        <f>'Functional Levels Drone Survey'!BH85-'Existing Levels Drone Survey'!BH85</f>
        <v>0</v>
      </c>
      <c r="BI85" s="191">
        <f>'Functional Levels Drone Survey'!BI85-'Existing Levels Drone Survey'!BI85</f>
        <v>0</v>
      </c>
      <c r="BJ85" s="191">
        <f>'Functional Levels Drone Survey'!BJ85-'Existing Levels Drone Survey'!BJ85</f>
        <v>0</v>
      </c>
      <c r="BK85" s="191">
        <f>'Functional Levels Drone Survey'!BK85-'Existing Levels Drone Survey'!BK85</f>
        <v>0</v>
      </c>
      <c r="BL85" s="191">
        <f>'Functional Levels Drone Survey'!BL85-'Existing Levels Drone Survey'!BL85</f>
        <v>0</v>
      </c>
      <c r="BM85" s="191">
        <f>'Functional Levels Drone Survey'!BM85-'Existing Levels Drone Survey'!BM85</f>
        <v>0</v>
      </c>
      <c r="BN85" s="191">
        <f>'Functional Levels Drone Survey'!BN85-'Existing Levels Drone Survey'!BN85</f>
        <v>0</v>
      </c>
      <c r="BO85" s="191">
        <f>'Functional Levels Drone Survey'!BO85-'Existing Levels Drone Survey'!BO85</f>
        <v>0</v>
      </c>
      <c r="BP85" s="191">
        <f>'Functional Levels Drone Survey'!BP85-'Existing Levels Drone Survey'!BP85</f>
        <v>0</v>
      </c>
      <c r="BQ85" s="191">
        <f>'Functional Levels Drone Survey'!BQ85-'Existing Levels Drone Survey'!BQ85</f>
        <v>0</v>
      </c>
      <c r="BR85" s="191">
        <f>'Functional Levels Drone Survey'!BR85-'Existing Levels Drone Survey'!BR85</f>
        <v>0</v>
      </c>
      <c r="BS85" s="191">
        <f>'Functional Levels Drone Survey'!BS85-'Existing Levels Drone Survey'!BS85</f>
        <v>0</v>
      </c>
      <c r="BT85" s="191">
        <f>'Functional Levels Drone Survey'!BT85-'Existing Levels Drone Survey'!BT85</f>
        <v>0</v>
      </c>
      <c r="BU85" s="191">
        <f>'Functional Levels Drone Survey'!BU85-'Existing Levels Drone Survey'!BU85</f>
        <v>0</v>
      </c>
      <c r="BV85" s="191">
        <f>'Functional Levels Drone Survey'!BV85-'Existing Levels Drone Survey'!BV85</f>
        <v>0</v>
      </c>
      <c r="BW85" s="191">
        <f>'Functional Levels Drone Survey'!BW85-'Existing Levels Drone Survey'!BW85</f>
        <v>0</v>
      </c>
      <c r="BX85" s="191">
        <f>'Functional Levels Drone Survey'!BX85-'Existing Levels Drone Survey'!BX85</f>
        <v>0</v>
      </c>
      <c r="BY85" s="191">
        <f>'Functional Levels Drone Survey'!BY85-'Existing Levels Drone Survey'!BY85</f>
        <v>0</v>
      </c>
      <c r="BZ85" s="191">
        <f>'Functional Levels Drone Survey'!BZ85-'Existing Levels Drone Survey'!BZ85</f>
        <v>0</v>
      </c>
      <c r="CA85" s="191">
        <f>'Functional Levels Drone Survey'!CA85-'Existing Levels Drone Survey'!CA85</f>
        <v>0</v>
      </c>
      <c r="CB85" s="191">
        <f>'Functional Levels Drone Survey'!CB85-'Existing Levels Drone Survey'!CB85</f>
        <v>0</v>
      </c>
      <c r="CC85" s="191">
        <f>'Functional Levels Drone Survey'!CC85-'Existing Levels Drone Survey'!CC85</f>
        <v>0</v>
      </c>
      <c r="CD85" s="191">
        <f>'Functional Levels Drone Survey'!CD85-'Existing Levels Drone Survey'!CD85</f>
        <v>0</v>
      </c>
      <c r="CE85" s="191">
        <f>'Functional Levels Drone Survey'!CE85-'Existing Levels Drone Survey'!CE85</f>
        <v>0</v>
      </c>
      <c r="CF85" s="191">
        <f>'Functional Levels Drone Survey'!CF85-'Existing Levels Drone Survey'!CF85</f>
        <v>0</v>
      </c>
      <c r="CG85" s="191">
        <f>'Functional Levels Drone Survey'!CG85-'Existing Levels Drone Survey'!CG85</f>
        <v>0</v>
      </c>
      <c r="CH85" s="191">
        <f>'Functional Levels Drone Survey'!CH85-'Existing Levels Drone Survey'!CH85</f>
        <v>0</v>
      </c>
      <c r="CI85" s="191">
        <f>'Functional Levels Drone Survey'!CI85-'Existing Levels Drone Survey'!CI85</f>
        <v>0</v>
      </c>
      <c r="CJ85" s="191">
        <f>'Functional Levels Drone Survey'!CJ85-'Existing Levels Drone Survey'!CJ85</f>
        <v>0</v>
      </c>
      <c r="CK85" s="191">
        <f>'Functional Levels Drone Survey'!CK85-'Existing Levels Drone Survey'!CK85</f>
        <v>0</v>
      </c>
      <c r="CL85" s="191">
        <f>'Functional Levels Drone Survey'!CL85-'Existing Levels Drone Survey'!CL85</f>
        <v>0</v>
      </c>
      <c r="CM85" s="191">
        <f>'Functional Levels Drone Survey'!CM85-'Existing Levels Drone Survey'!CM85</f>
        <v>0</v>
      </c>
      <c r="CN85" s="191">
        <f>'Functional Levels Drone Survey'!CN85-'Existing Levels Drone Survey'!CN85</f>
        <v>0</v>
      </c>
      <c r="CO85" s="191">
        <f>'Functional Levels Drone Survey'!CO85-'Existing Levels Drone Survey'!CO85</f>
        <v>0</v>
      </c>
      <c r="CP85" s="191">
        <f>'Functional Levels Drone Survey'!CP85-'Existing Levels Drone Survey'!CP85</f>
        <v>0</v>
      </c>
      <c r="CQ85" s="191">
        <f>'Functional Levels Drone Survey'!CQ85-'Existing Levels Drone Survey'!CQ85</f>
        <v>0</v>
      </c>
      <c r="CR85" s="191">
        <f>'Functional Levels Drone Survey'!CR85-'Existing Levels Drone Survey'!CR85</f>
        <v>0</v>
      </c>
      <c r="CS85" s="191">
        <f>'Functional Levels Drone Survey'!CS85-'Existing Levels Drone Survey'!CS85</f>
        <v>0</v>
      </c>
      <c r="CT85" s="191">
        <f>'Functional Levels Drone Survey'!CT85-'Existing Levels Drone Survey'!CT85</f>
        <v>0</v>
      </c>
      <c r="CU85" s="191">
        <f>'Functional Levels Drone Survey'!CU85-'Existing Levels Drone Survey'!CU85</f>
        <v>0</v>
      </c>
      <c r="CV85" s="191">
        <f>'Functional Levels Drone Survey'!CV85-'Existing Levels Drone Survey'!CV85</f>
        <v>0</v>
      </c>
      <c r="CW85" s="191">
        <f>'Functional Levels Drone Survey'!CW85-'Existing Levels Drone Survey'!CW85</f>
        <v>0</v>
      </c>
      <c r="CX85" s="191">
        <f>'Functional Levels Drone Survey'!CX85-'Existing Levels Drone Survey'!CX85</f>
        <v>0</v>
      </c>
      <c r="CY85" s="191">
        <f>'Functional Levels Drone Survey'!CY85-'Existing Levels Drone Survey'!CY85</f>
        <v>0</v>
      </c>
      <c r="CZ85" s="191">
        <f>'Functional Levels Drone Survey'!CZ85-'Existing Levels Drone Survey'!CZ85</f>
        <v>0</v>
      </c>
      <c r="DA85" s="191">
        <f>'Functional Levels Drone Survey'!DA85-'Existing Levels Drone Survey'!DA85</f>
        <v>0</v>
      </c>
      <c r="DB85" s="191">
        <f>'Functional Levels Drone Survey'!DB85-'Existing Levels Drone Survey'!DB85</f>
        <v>0</v>
      </c>
      <c r="DC85" s="191">
        <f>'Functional Levels Drone Survey'!DC85-'Existing Levels Drone Survey'!DC85</f>
        <v>0</v>
      </c>
      <c r="DD85" s="191">
        <f>'Functional Levels Drone Survey'!DD85-'Existing Levels Drone Survey'!DD85</f>
        <v>0</v>
      </c>
      <c r="DE85" s="191">
        <f>'Functional Levels Drone Survey'!DE85-'Existing Levels Drone Survey'!DE85</f>
        <v>0</v>
      </c>
      <c r="DF85" s="191">
        <f>'Functional Levels Drone Survey'!DF85-'Existing Levels Drone Survey'!DF85</f>
        <v>0</v>
      </c>
      <c r="DG85" s="191">
        <f>'Functional Levels Drone Survey'!DG85-'Existing Levels Drone Survey'!DG85</f>
        <v>0</v>
      </c>
      <c r="DH85" s="191">
        <f>'Functional Levels Drone Survey'!DH85-'Existing Levels Drone Survey'!DH85</f>
        <v>0</v>
      </c>
      <c r="DI85" s="191">
        <f>'Functional Levels Drone Survey'!DI85-'Existing Levels Drone Survey'!DI85</f>
        <v>0</v>
      </c>
      <c r="DJ85" s="191">
        <f>'Functional Levels Drone Survey'!DJ85-'Existing Levels Drone Survey'!DJ85</f>
        <v>0</v>
      </c>
      <c r="DK85" s="191">
        <f>'Functional Levels Drone Survey'!DK85-'Existing Levels Drone Survey'!DK85</f>
        <v>0</v>
      </c>
      <c r="DL85" s="191">
        <f>'Functional Levels Drone Survey'!DL85-'Existing Levels Drone Survey'!DL85</f>
        <v>0</v>
      </c>
      <c r="DM85" s="191">
        <f>'Functional Levels Drone Survey'!DM85-'Existing Levels Drone Survey'!DM85</f>
        <v>0</v>
      </c>
      <c r="DN85" s="191">
        <f>'Functional Levels Drone Survey'!DN85-'Existing Levels Drone Survey'!DN85</f>
        <v>0</v>
      </c>
      <c r="DO85" s="191">
        <f>'Functional Levels Drone Survey'!DO85-'Existing Levels Drone Survey'!DO85</f>
        <v>0</v>
      </c>
      <c r="DP85" s="191">
        <f>'Functional Levels Drone Survey'!DP85-'Existing Levels Drone Survey'!DP85</f>
        <v>0</v>
      </c>
      <c r="DQ85" s="191">
        <f>'Functional Levels Drone Survey'!DQ85-'Existing Levels Drone Survey'!DQ85</f>
        <v>0</v>
      </c>
      <c r="DR85" s="191">
        <f>'Functional Levels Drone Survey'!DR85-'Existing Levels Drone Survey'!DR85</f>
        <v>0</v>
      </c>
      <c r="DS85" s="191">
        <f>'Functional Levels Drone Survey'!DS85-'Existing Levels Drone Survey'!DS85</f>
        <v>0</v>
      </c>
      <c r="DT85" s="191">
        <f>'Functional Levels Drone Survey'!DT85-'Existing Levels Drone Survey'!DT85</f>
        <v>0</v>
      </c>
      <c r="DU85" s="191">
        <f>'Functional Levels Drone Survey'!DU85-'Existing Levels Drone Survey'!DU85</f>
        <v>0</v>
      </c>
      <c r="DV85" s="191">
        <f>'Functional Levels Drone Survey'!DV85-'Existing Levels Drone Survey'!DV85</f>
        <v>0</v>
      </c>
      <c r="DW85" s="191">
        <f>'Functional Levels Drone Survey'!DW85-'Existing Levels Drone Survey'!DW85</f>
        <v>0</v>
      </c>
      <c r="DX85" s="191">
        <f>'Functional Levels Drone Survey'!DX85-'Existing Levels Drone Survey'!DX85</f>
        <v>0</v>
      </c>
      <c r="DY85" s="191">
        <f>'Functional Levels Drone Survey'!DY85-'Existing Levels Drone Survey'!DY85</f>
        <v>0</v>
      </c>
      <c r="DZ85" s="191">
        <f>'Functional Levels Drone Survey'!DZ85-'Existing Levels Drone Survey'!DZ85</f>
        <v>0</v>
      </c>
      <c r="EA85" s="191">
        <f>'Functional Levels Drone Survey'!EA85-'Existing Levels Drone Survey'!EA85</f>
        <v>0</v>
      </c>
      <c r="EB85" s="191">
        <f>'Functional Levels Drone Survey'!EB85-'Existing Levels Drone Survey'!EB85</f>
        <v>0</v>
      </c>
      <c r="EC85" s="191">
        <f>'Functional Levels Drone Survey'!EC85-'Existing Levels Drone Survey'!EC85</f>
        <v>0</v>
      </c>
      <c r="ED85" s="191">
        <f>'Functional Levels Drone Survey'!ED85-'Existing Levels Drone Survey'!ED85</f>
        <v>0</v>
      </c>
      <c r="EE85" s="191">
        <f>'Functional Levels Drone Survey'!EE85-'Existing Levels Drone Survey'!EE85</f>
        <v>0</v>
      </c>
      <c r="EF85" s="191">
        <f>'Functional Levels Drone Survey'!EF85-'Existing Levels Drone Survey'!EF85</f>
        <v>0</v>
      </c>
      <c r="EG85" s="191">
        <f>'Functional Levels Drone Survey'!EG85-'Existing Levels Drone Survey'!EG85</f>
        <v>0</v>
      </c>
      <c r="EH85" s="191">
        <f>'Functional Levels Drone Survey'!EH85-'Existing Levels Drone Survey'!EH85</f>
        <v>0</v>
      </c>
      <c r="EI85" s="191">
        <f>'Functional Levels Drone Survey'!EI85-'Existing Levels Drone Survey'!EI85</f>
        <v>0</v>
      </c>
      <c r="EJ85" s="191">
        <f>'Functional Levels Drone Survey'!EJ85-'Existing Levels Drone Survey'!EJ85</f>
        <v>0</v>
      </c>
      <c r="EK85" s="191">
        <f>'Functional Levels Drone Survey'!EK85-'Existing Levels Drone Survey'!EK85</f>
        <v>0</v>
      </c>
      <c r="EL85" s="191">
        <f>'Functional Levels Drone Survey'!EL85-'Existing Levels Drone Survey'!EL85</f>
        <v>0</v>
      </c>
      <c r="EM85" s="191">
        <f>'Functional Levels Drone Survey'!EM85-'Existing Levels Drone Survey'!EM85</f>
        <v>0</v>
      </c>
      <c r="EN85" s="191">
        <f>'Functional Levels Drone Survey'!EN85-'Existing Levels Drone Survey'!EN85</f>
        <v>0</v>
      </c>
      <c r="EO85" s="191">
        <f>'Functional Levels Drone Survey'!EO85-'Existing Levels Drone Survey'!EO85</f>
        <v>0</v>
      </c>
      <c r="EP85" s="191">
        <f>'Functional Levels Drone Survey'!EP85-'Existing Levels Drone Survey'!EP85</f>
        <v>0</v>
      </c>
      <c r="EQ85" s="191">
        <f>'Functional Levels Drone Survey'!EQ85-'Existing Levels Drone Survey'!EQ85</f>
        <v>0</v>
      </c>
      <c r="ER85" s="191">
        <f>'Functional Levels Drone Survey'!ER85-'Existing Levels Drone Survey'!ER85</f>
        <v>0</v>
      </c>
      <c r="ES85" s="191">
        <f>'Functional Levels Drone Survey'!ES85-'Existing Levels Drone Survey'!ES85</f>
        <v>0</v>
      </c>
      <c r="ET85" s="191">
        <f>'Functional Levels Drone Survey'!ET85-'Existing Levels Drone Survey'!ET85</f>
        <v>0</v>
      </c>
      <c r="EU85" s="191">
        <f>'Functional Levels Drone Survey'!EU85-'Existing Levels Drone Survey'!EU85</f>
        <v>0</v>
      </c>
      <c r="EV85" s="191">
        <f>'Functional Levels Drone Survey'!EV85-'Existing Levels Drone Survey'!EV85</f>
        <v>0</v>
      </c>
      <c r="EW85" s="191">
        <f>'Functional Levels Drone Survey'!EW85-'Existing Levels Drone Survey'!EW85</f>
        <v>0</v>
      </c>
      <c r="EX85" s="191">
        <f>'Functional Levels Drone Survey'!EX85-'Existing Levels Drone Survey'!EX85</f>
        <v>0</v>
      </c>
      <c r="EY85" s="191">
        <f>'Functional Levels Drone Survey'!EY85-'Existing Levels Drone Survey'!EY85</f>
        <v>0</v>
      </c>
    </row>
    <row r="86" spans="1:159" ht="45" customHeight="1" x14ac:dyDescent="0.45">
      <c r="A86" s="277">
        <v>425</v>
      </c>
      <c r="B86" s="191">
        <f>'Functional Levels Drone Survey'!B86-'Existing Levels Drone Survey'!B86</f>
        <v>0</v>
      </c>
      <c r="C86" s="191">
        <f>'Functional Levels Drone Survey'!C86-'Existing Levels Drone Survey'!C86</f>
        <v>0</v>
      </c>
      <c r="D86" s="191">
        <f>'Functional Levels Drone Survey'!D86-'Existing Levels Drone Survey'!D86</f>
        <v>0</v>
      </c>
      <c r="E86" s="191">
        <f>'Functional Levels Drone Survey'!E86-'Existing Levels Drone Survey'!E86</f>
        <v>0</v>
      </c>
      <c r="F86" s="191">
        <f>'Functional Levels Drone Survey'!F86-'Existing Levels Drone Survey'!F86</f>
        <v>0</v>
      </c>
      <c r="G86" s="278">
        <f>'Functional Levels Drone Survey'!G86-'Existing Levels Drone Survey'!G86</f>
        <v>-0.43905555555568299</v>
      </c>
      <c r="H86" s="278">
        <f>'Functional Levels Drone Survey'!H86-'Existing Levels Drone Survey'!H86</f>
        <v>-0.39575555555563824</v>
      </c>
      <c r="I86" s="278">
        <f>'Functional Levels Drone Survey'!I86-'Existing Levels Drone Survey'!I86</f>
        <v>-0.44375555555564006</v>
      </c>
      <c r="J86" s="278">
        <f>'Functional Levels Drone Survey'!J86-'Existing Levels Drone Survey'!J86</f>
        <v>-0.53945555555566216</v>
      </c>
      <c r="K86" s="278">
        <f>'Functional Levels Drone Survey'!K86-'Existing Levels Drone Survey'!K86</f>
        <v>-0.40265555555566834</v>
      </c>
      <c r="L86" s="278">
        <f>'Functional Levels Drone Survey'!L86-'Existing Levels Drone Survey'!L86</f>
        <v>-0.34935555555568953</v>
      </c>
      <c r="M86" s="278">
        <f>'Functional Levels Drone Survey'!M86-'Existing Levels Drone Survey'!M86</f>
        <v>-0.3369555555556758</v>
      </c>
      <c r="N86" s="278">
        <f>'Functional Levels Drone Survey'!N86-'Existing Levels Drone Survey'!N86</f>
        <v>-0.4035555555556698</v>
      </c>
      <c r="O86" s="278">
        <f>'Functional Levels Drone Survey'!O86-'Existing Levels Drone Survey'!O86</f>
        <v>-0.41555555555567025</v>
      </c>
      <c r="P86" s="278">
        <f>'Functional Levels Drone Survey'!P86-'Existing Levels Drone Survey'!P86</f>
        <v>-0.42055555555566571</v>
      </c>
      <c r="Q86" s="278">
        <f>'Functional Levels Drone Survey'!Q86-'Existing Levels Drone Survey'!Q86</f>
        <v>-0.41405555555564888</v>
      </c>
      <c r="R86" s="278">
        <f>'Functional Levels Drone Survey'!R86-'Existing Levels Drone Survey'!R86</f>
        <v>-0.5345555555556416</v>
      </c>
      <c r="S86" s="278">
        <f>'Functional Levels Drone Survey'!S86-'Existing Levels Drone Survey'!S86</f>
        <v>-0.54985555555566634</v>
      </c>
      <c r="T86" s="278">
        <f>'Functional Levels Drone Survey'!T86-'Existing Levels Drone Survey'!T86</f>
        <v>-0.65505555555569117</v>
      </c>
      <c r="U86" s="278">
        <f>'Functional Levels Drone Survey'!U86-'Existing Levels Drone Survey'!U86</f>
        <v>-0.87135555555568089</v>
      </c>
      <c r="V86" s="278">
        <f>'Functional Levels Drone Survey'!V86-'Existing Levels Drone Survey'!V86</f>
        <v>-0.80315555555569063</v>
      </c>
      <c r="W86" s="278">
        <f>'Functional Levels Drone Survey'!W86-'Existing Levels Drone Survey'!W86</f>
        <v>-0.5577555555556728</v>
      </c>
      <c r="X86" s="278">
        <f>'Functional Levels Drone Survey'!X86-'Existing Levels Drone Survey'!X86</f>
        <v>-0.51025555555565916</v>
      </c>
      <c r="Y86" s="278">
        <f>'Functional Levels Drone Survey'!Y86-'Existing Levels Drone Survey'!Y86</f>
        <v>-0.98155555555564433</v>
      </c>
      <c r="Z86" s="278">
        <f>'Functional Levels Drone Survey'!Z86-'Existing Levels Drone Survey'!Z86</f>
        <v>-1.7608555555556791</v>
      </c>
      <c r="AA86" s="191">
        <f>'Functional Levels Drone Survey'!AA86-'Existing Levels Drone Survey'!AA86</f>
        <v>0</v>
      </c>
      <c r="AB86" s="191">
        <f>'Functional Levels Drone Survey'!AB86-'Existing Levels Drone Survey'!AB86</f>
        <v>0</v>
      </c>
      <c r="AC86" s="191">
        <f>'Functional Levels Drone Survey'!AC86-'Existing Levels Drone Survey'!AC86</f>
        <v>0</v>
      </c>
      <c r="AD86" s="191">
        <f>'Functional Levels Drone Survey'!AD86-'Existing Levels Drone Survey'!AD86</f>
        <v>0</v>
      </c>
      <c r="AE86" s="191">
        <f>'Functional Levels Drone Survey'!AE86-'Existing Levels Drone Survey'!AE86</f>
        <v>0</v>
      </c>
      <c r="AF86" s="191">
        <f>'Functional Levels Drone Survey'!AF86-'Existing Levels Drone Survey'!AF86</f>
        <v>0</v>
      </c>
      <c r="AG86" s="191">
        <f>'Functional Levels Drone Survey'!AG86-'Existing Levels Drone Survey'!AG86</f>
        <v>0</v>
      </c>
      <c r="AH86" s="191">
        <f>'Functional Levels Drone Survey'!AH86-'Existing Levels Drone Survey'!AH86</f>
        <v>0</v>
      </c>
      <c r="AI86" s="191">
        <f>'Functional Levels Drone Survey'!AI86-'Existing Levels Drone Survey'!AI86</f>
        <v>0</v>
      </c>
      <c r="AJ86" s="191">
        <f>'Functional Levels Drone Survey'!AJ86-'Existing Levels Drone Survey'!AJ86</f>
        <v>0</v>
      </c>
      <c r="AK86" s="191">
        <f>'Functional Levels Drone Survey'!AK86-'Existing Levels Drone Survey'!AK86</f>
        <v>0</v>
      </c>
      <c r="AL86" s="191">
        <f>'Functional Levels Drone Survey'!AL86-'Existing Levels Drone Survey'!AL86</f>
        <v>0</v>
      </c>
      <c r="AM86" s="191">
        <f>'Functional Levels Drone Survey'!AM86-'Existing Levels Drone Survey'!AM86</f>
        <v>0</v>
      </c>
      <c r="AN86" s="191">
        <f>'Functional Levels Drone Survey'!AN86-'Existing Levels Drone Survey'!AN86</f>
        <v>0</v>
      </c>
      <c r="AO86" s="191">
        <f>'Functional Levels Drone Survey'!AO86-'Existing Levels Drone Survey'!AO86</f>
        <v>0</v>
      </c>
      <c r="AP86" s="191">
        <f>'Functional Levels Drone Survey'!AP86-'Existing Levels Drone Survey'!AP86</f>
        <v>0</v>
      </c>
      <c r="AQ86" s="191">
        <f>'Functional Levels Drone Survey'!AQ86-'Existing Levels Drone Survey'!AQ86</f>
        <v>0</v>
      </c>
      <c r="AR86" s="191">
        <f>'Functional Levels Drone Survey'!AR86-'Existing Levels Drone Survey'!AR86</f>
        <v>0</v>
      </c>
      <c r="AS86" s="191">
        <f>'Functional Levels Drone Survey'!AS86-'Existing Levels Drone Survey'!AS86</f>
        <v>0</v>
      </c>
      <c r="AT86" s="191">
        <f>'Functional Levels Drone Survey'!AT86-'Existing Levels Drone Survey'!AT86</f>
        <v>0</v>
      </c>
      <c r="AU86" s="191">
        <f>'Functional Levels Drone Survey'!AU86-'Existing Levels Drone Survey'!AU86</f>
        <v>0</v>
      </c>
      <c r="AV86" s="191">
        <f>'Functional Levels Drone Survey'!AV86-'Existing Levels Drone Survey'!AV86</f>
        <v>0</v>
      </c>
      <c r="AW86" s="191">
        <f>'Functional Levels Drone Survey'!AW86-'Existing Levels Drone Survey'!AW86</f>
        <v>0</v>
      </c>
      <c r="AX86" s="191">
        <f>'Functional Levels Drone Survey'!AX86-'Existing Levels Drone Survey'!AX86</f>
        <v>0</v>
      </c>
      <c r="AY86" s="191">
        <f>'Functional Levels Drone Survey'!AY86-'Existing Levels Drone Survey'!AY86</f>
        <v>0</v>
      </c>
      <c r="AZ86" s="191">
        <f>'Functional Levels Drone Survey'!AZ86-'Existing Levels Drone Survey'!AZ86</f>
        <v>0</v>
      </c>
      <c r="BA86" s="191">
        <f>'Functional Levels Drone Survey'!BA86-'Existing Levels Drone Survey'!BA86</f>
        <v>0</v>
      </c>
      <c r="BB86" s="191">
        <f>'Functional Levels Drone Survey'!BB86-'Existing Levels Drone Survey'!BB86</f>
        <v>0</v>
      </c>
      <c r="BC86" s="191">
        <f>'Functional Levels Drone Survey'!BC86-'Existing Levels Drone Survey'!BC86</f>
        <v>0</v>
      </c>
      <c r="BD86" s="191">
        <f>'Functional Levels Drone Survey'!BD86-'Existing Levels Drone Survey'!BD86</f>
        <v>0</v>
      </c>
      <c r="BE86" s="191">
        <f>'Functional Levels Drone Survey'!BE86-'Existing Levels Drone Survey'!BE86</f>
        <v>0</v>
      </c>
      <c r="BF86" s="191">
        <f>'Functional Levels Drone Survey'!BF86-'Existing Levels Drone Survey'!BF86</f>
        <v>0</v>
      </c>
      <c r="BG86" s="191">
        <f>'Functional Levels Drone Survey'!BG86-'Existing Levels Drone Survey'!BG86</f>
        <v>0</v>
      </c>
      <c r="BH86" s="191">
        <f>'Functional Levels Drone Survey'!BH86-'Existing Levels Drone Survey'!BH86</f>
        <v>0</v>
      </c>
      <c r="BI86" s="191">
        <f>'Functional Levels Drone Survey'!BI86-'Existing Levels Drone Survey'!BI86</f>
        <v>0</v>
      </c>
      <c r="BJ86" s="191">
        <f>'Functional Levels Drone Survey'!BJ86-'Existing Levels Drone Survey'!BJ86</f>
        <v>0</v>
      </c>
      <c r="BK86" s="191">
        <f>'Functional Levels Drone Survey'!BK86-'Existing Levels Drone Survey'!BK86</f>
        <v>0</v>
      </c>
      <c r="BL86" s="191">
        <f>'Functional Levels Drone Survey'!BL86-'Existing Levels Drone Survey'!BL86</f>
        <v>0</v>
      </c>
      <c r="BM86" s="191">
        <f>'Functional Levels Drone Survey'!BM86-'Existing Levels Drone Survey'!BM86</f>
        <v>0</v>
      </c>
      <c r="BN86" s="191">
        <f>'Functional Levels Drone Survey'!BN86-'Existing Levels Drone Survey'!BN86</f>
        <v>0</v>
      </c>
      <c r="BO86" s="191">
        <f>'Functional Levels Drone Survey'!BO86-'Existing Levels Drone Survey'!BO86</f>
        <v>0</v>
      </c>
      <c r="BP86" s="191">
        <f>'Functional Levels Drone Survey'!BP86-'Existing Levels Drone Survey'!BP86</f>
        <v>0</v>
      </c>
      <c r="BQ86" s="191">
        <f>'Functional Levels Drone Survey'!BQ86-'Existing Levels Drone Survey'!BQ86</f>
        <v>0</v>
      </c>
      <c r="BR86" s="191">
        <f>'Functional Levels Drone Survey'!BR86-'Existing Levels Drone Survey'!BR86</f>
        <v>0</v>
      </c>
      <c r="BS86" s="191">
        <f>'Functional Levels Drone Survey'!BS86-'Existing Levels Drone Survey'!BS86</f>
        <v>0</v>
      </c>
      <c r="BT86" s="191">
        <f>'Functional Levels Drone Survey'!BT86-'Existing Levels Drone Survey'!BT86</f>
        <v>0</v>
      </c>
      <c r="BU86" s="191">
        <f>'Functional Levels Drone Survey'!BU86-'Existing Levels Drone Survey'!BU86</f>
        <v>0</v>
      </c>
      <c r="BV86" s="191">
        <f>'Functional Levels Drone Survey'!BV86-'Existing Levels Drone Survey'!BV86</f>
        <v>0</v>
      </c>
      <c r="BW86" s="191">
        <f>'Functional Levels Drone Survey'!BW86-'Existing Levels Drone Survey'!BW86</f>
        <v>0</v>
      </c>
      <c r="BX86" s="191">
        <f>'Functional Levels Drone Survey'!BX86-'Existing Levels Drone Survey'!BX86</f>
        <v>0</v>
      </c>
      <c r="BY86" s="191">
        <f>'Functional Levels Drone Survey'!BY86-'Existing Levels Drone Survey'!BY86</f>
        <v>0</v>
      </c>
      <c r="BZ86" s="191">
        <f>'Functional Levels Drone Survey'!BZ86-'Existing Levels Drone Survey'!BZ86</f>
        <v>0</v>
      </c>
      <c r="CA86" s="191">
        <f>'Functional Levels Drone Survey'!CA86-'Existing Levels Drone Survey'!CA86</f>
        <v>0</v>
      </c>
      <c r="CB86" s="191">
        <f>'Functional Levels Drone Survey'!CB86-'Existing Levels Drone Survey'!CB86</f>
        <v>0</v>
      </c>
      <c r="CC86" s="191">
        <f>'Functional Levels Drone Survey'!CC86-'Existing Levels Drone Survey'!CC86</f>
        <v>0</v>
      </c>
      <c r="CD86" s="191">
        <f>'Functional Levels Drone Survey'!CD86-'Existing Levels Drone Survey'!CD86</f>
        <v>0</v>
      </c>
      <c r="CE86" s="191">
        <f>'Functional Levels Drone Survey'!CE86-'Existing Levels Drone Survey'!CE86</f>
        <v>0</v>
      </c>
      <c r="CF86" s="191">
        <f>'Functional Levels Drone Survey'!CF86-'Existing Levels Drone Survey'!CF86</f>
        <v>0</v>
      </c>
      <c r="CG86" s="191">
        <f>'Functional Levels Drone Survey'!CG86-'Existing Levels Drone Survey'!CG86</f>
        <v>0</v>
      </c>
      <c r="CH86" s="191">
        <f>'Functional Levels Drone Survey'!CH86-'Existing Levels Drone Survey'!CH86</f>
        <v>0</v>
      </c>
      <c r="CI86" s="191">
        <f>'Functional Levels Drone Survey'!CI86-'Existing Levels Drone Survey'!CI86</f>
        <v>0</v>
      </c>
      <c r="CJ86" s="191">
        <f>'Functional Levels Drone Survey'!CJ86-'Existing Levels Drone Survey'!CJ86</f>
        <v>0</v>
      </c>
      <c r="CK86" s="191">
        <f>'Functional Levels Drone Survey'!CK86-'Existing Levels Drone Survey'!CK86</f>
        <v>0</v>
      </c>
      <c r="CL86" s="191">
        <f>'Functional Levels Drone Survey'!CL86-'Existing Levels Drone Survey'!CL86</f>
        <v>0</v>
      </c>
      <c r="CM86" s="191">
        <f>'Functional Levels Drone Survey'!CM86-'Existing Levels Drone Survey'!CM86</f>
        <v>0</v>
      </c>
      <c r="CN86" s="191">
        <f>'Functional Levels Drone Survey'!CN86-'Existing Levels Drone Survey'!CN86</f>
        <v>0</v>
      </c>
      <c r="CO86" s="191">
        <f>'Functional Levels Drone Survey'!CO86-'Existing Levels Drone Survey'!CO86</f>
        <v>0</v>
      </c>
      <c r="CP86" s="191">
        <f>'Functional Levels Drone Survey'!CP86-'Existing Levels Drone Survey'!CP86</f>
        <v>0</v>
      </c>
      <c r="CQ86" s="191">
        <f>'Functional Levels Drone Survey'!CQ86-'Existing Levels Drone Survey'!CQ86</f>
        <v>0</v>
      </c>
      <c r="CR86" s="191">
        <f>'Functional Levels Drone Survey'!CR86-'Existing Levels Drone Survey'!CR86</f>
        <v>0</v>
      </c>
      <c r="CS86" s="191">
        <f>'Functional Levels Drone Survey'!CS86-'Existing Levels Drone Survey'!CS86</f>
        <v>0</v>
      </c>
      <c r="CT86" s="191">
        <f>'Functional Levels Drone Survey'!CT86-'Existing Levels Drone Survey'!CT86</f>
        <v>0</v>
      </c>
      <c r="CU86" s="191">
        <f>'Functional Levels Drone Survey'!CU86-'Existing Levels Drone Survey'!CU86</f>
        <v>0</v>
      </c>
      <c r="CV86" s="191">
        <f>'Functional Levels Drone Survey'!CV86-'Existing Levels Drone Survey'!CV86</f>
        <v>0</v>
      </c>
      <c r="CW86" s="191">
        <f>'Functional Levels Drone Survey'!CW86-'Existing Levels Drone Survey'!CW86</f>
        <v>0</v>
      </c>
      <c r="CX86" s="191">
        <f>'Functional Levels Drone Survey'!CX86-'Existing Levels Drone Survey'!CX86</f>
        <v>0</v>
      </c>
      <c r="CY86" s="191">
        <f>'Functional Levels Drone Survey'!CY86-'Existing Levels Drone Survey'!CY86</f>
        <v>0</v>
      </c>
      <c r="CZ86" s="191">
        <f>'Functional Levels Drone Survey'!CZ86-'Existing Levels Drone Survey'!CZ86</f>
        <v>0</v>
      </c>
      <c r="DA86" s="191">
        <f>'Functional Levels Drone Survey'!DA86-'Existing Levels Drone Survey'!DA86</f>
        <v>0</v>
      </c>
      <c r="DB86" s="191">
        <f>'Functional Levels Drone Survey'!DB86-'Existing Levels Drone Survey'!DB86</f>
        <v>0</v>
      </c>
      <c r="DC86" s="191">
        <f>'Functional Levels Drone Survey'!DC86-'Existing Levels Drone Survey'!DC86</f>
        <v>0</v>
      </c>
      <c r="DD86" s="191">
        <f>'Functional Levels Drone Survey'!DD86-'Existing Levels Drone Survey'!DD86</f>
        <v>0</v>
      </c>
      <c r="DE86" s="191">
        <f>'Functional Levels Drone Survey'!DE86-'Existing Levels Drone Survey'!DE86</f>
        <v>0</v>
      </c>
      <c r="DF86" s="191">
        <f>'Functional Levels Drone Survey'!DF86-'Existing Levels Drone Survey'!DF86</f>
        <v>0</v>
      </c>
      <c r="DG86" s="191">
        <f>'Functional Levels Drone Survey'!DG86-'Existing Levels Drone Survey'!DG86</f>
        <v>0</v>
      </c>
      <c r="DH86" s="191">
        <f>'Functional Levels Drone Survey'!DH86-'Existing Levels Drone Survey'!DH86</f>
        <v>0</v>
      </c>
      <c r="DI86" s="191">
        <f>'Functional Levels Drone Survey'!DI86-'Existing Levels Drone Survey'!DI86</f>
        <v>0</v>
      </c>
      <c r="DJ86" s="191">
        <f>'Functional Levels Drone Survey'!DJ86-'Existing Levels Drone Survey'!DJ86</f>
        <v>0</v>
      </c>
      <c r="DK86" s="191">
        <f>'Functional Levels Drone Survey'!DK86-'Existing Levels Drone Survey'!DK86</f>
        <v>0</v>
      </c>
      <c r="DL86" s="191">
        <f>'Functional Levels Drone Survey'!DL86-'Existing Levels Drone Survey'!DL86</f>
        <v>0</v>
      </c>
      <c r="DM86" s="191">
        <f>'Functional Levels Drone Survey'!DM86-'Existing Levels Drone Survey'!DM86</f>
        <v>0</v>
      </c>
      <c r="DN86" s="191">
        <f>'Functional Levels Drone Survey'!DN86-'Existing Levels Drone Survey'!DN86</f>
        <v>0</v>
      </c>
      <c r="DO86" s="191">
        <f>'Functional Levels Drone Survey'!DO86-'Existing Levels Drone Survey'!DO86</f>
        <v>0</v>
      </c>
      <c r="DP86" s="191">
        <f>'Functional Levels Drone Survey'!DP86-'Existing Levels Drone Survey'!DP86</f>
        <v>0</v>
      </c>
      <c r="DQ86" s="191">
        <f>'Functional Levels Drone Survey'!DQ86-'Existing Levels Drone Survey'!DQ86</f>
        <v>0</v>
      </c>
      <c r="DR86" s="191">
        <f>'Functional Levels Drone Survey'!DR86-'Existing Levels Drone Survey'!DR86</f>
        <v>0</v>
      </c>
      <c r="DS86" s="191">
        <f>'Functional Levels Drone Survey'!DS86-'Existing Levels Drone Survey'!DS86</f>
        <v>0</v>
      </c>
      <c r="DT86" s="191">
        <f>'Functional Levels Drone Survey'!DT86-'Existing Levels Drone Survey'!DT86</f>
        <v>0</v>
      </c>
      <c r="DU86" s="191">
        <f>'Functional Levels Drone Survey'!DU86-'Existing Levels Drone Survey'!DU86</f>
        <v>0</v>
      </c>
      <c r="DV86" s="191">
        <f>'Functional Levels Drone Survey'!DV86-'Existing Levels Drone Survey'!DV86</f>
        <v>0</v>
      </c>
      <c r="DW86" s="191">
        <f>'Functional Levels Drone Survey'!DW86-'Existing Levels Drone Survey'!DW86</f>
        <v>0</v>
      </c>
      <c r="DX86" s="191">
        <f>'Functional Levels Drone Survey'!DX86-'Existing Levels Drone Survey'!DX86</f>
        <v>0</v>
      </c>
      <c r="DY86" s="191">
        <f>'Functional Levels Drone Survey'!DY86-'Existing Levels Drone Survey'!DY86</f>
        <v>0</v>
      </c>
      <c r="DZ86" s="191">
        <f>'Functional Levels Drone Survey'!DZ86-'Existing Levels Drone Survey'!DZ86</f>
        <v>0</v>
      </c>
      <c r="EA86" s="191">
        <f>'Functional Levels Drone Survey'!EA86-'Existing Levels Drone Survey'!EA86</f>
        <v>0</v>
      </c>
      <c r="EB86" s="191">
        <f>'Functional Levels Drone Survey'!EB86-'Existing Levels Drone Survey'!EB86</f>
        <v>0</v>
      </c>
      <c r="EC86" s="191">
        <f>'Functional Levels Drone Survey'!EC86-'Existing Levels Drone Survey'!EC86</f>
        <v>0</v>
      </c>
      <c r="ED86" s="191">
        <f>'Functional Levels Drone Survey'!ED86-'Existing Levels Drone Survey'!ED86</f>
        <v>0</v>
      </c>
      <c r="EE86" s="191">
        <f>'Functional Levels Drone Survey'!EE86-'Existing Levels Drone Survey'!EE86</f>
        <v>0</v>
      </c>
      <c r="EF86" s="191">
        <f>'Functional Levels Drone Survey'!EF86-'Existing Levels Drone Survey'!EF86</f>
        <v>0</v>
      </c>
      <c r="EG86" s="191">
        <f>'Functional Levels Drone Survey'!EG86-'Existing Levels Drone Survey'!EG86</f>
        <v>0</v>
      </c>
      <c r="EH86" s="191">
        <f>'Functional Levels Drone Survey'!EH86-'Existing Levels Drone Survey'!EH86</f>
        <v>0</v>
      </c>
      <c r="EI86" s="191">
        <f>'Functional Levels Drone Survey'!EI86-'Existing Levels Drone Survey'!EI86</f>
        <v>0</v>
      </c>
      <c r="EJ86" s="191">
        <f>'Functional Levels Drone Survey'!EJ86-'Existing Levels Drone Survey'!EJ86</f>
        <v>0</v>
      </c>
      <c r="EK86" s="191">
        <f>'Functional Levels Drone Survey'!EK86-'Existing Levels Drone Survey'!EK86</f>
        <v>0</v>
      </c>
      <c r="EL86" s="191">
        <f>'Functional Levels Drone Survey'!EL86-'Existing Levels Drone Survey'!EL86</f>
        <v>0</v>
      </c>
      <c r="EM86" s="191">
        <f>'Functional Levels Drone Survey'!EM86-'Existing Levels Drone Survey'!EM86</f>
        <v>0</v>
      </c>
      <c r="EN86" s="191">
        <f>'Functional Levels Drone Survey'!EN86-'Existing Levels Drone Survey'!EN86</f>
        <v>0</v>
      </c>
      <c r="EO86" s="191">
        <f>'Functional Levels Drone Survey'!EO86-'Existing Levels Drone Survey'!EO86</f>
        <v>0</v>
      </c>
      <c r="EP86" s="191">
        <f>'Functional Levels Drone Survey'!EP86-'Existing Levels Drone Survey'!EP86</f>
        <v>0</v>
      </c>
      <c r="EQ86" s="191">
        <f>'Functional Levels Drone Survey'!EQ86-'Existing Levels Drone Survey'!EQ86</f>
        <v>0</v>
      </c>
      <c r="ER86" s="191">
        <f>'Functional Levels Drone Survey'!ER86-'Existing Levels Drone Survey'!ER86</f>
        <v>0</v>
      </c>
      <c r="ES86" s="191">
        <f>'Functional Levels Drone Survey'!ES86-'Existing Levels Drone Survey'!ES86</f>
        <v>0</v>
      </c>
      <c r="ET86" s="191">
        <f>'Functional Levels Drone Survey'!ET86-'Existing Levels Drone Survey'!ET86</f>
        <v>0</v>
      </c>
      <c r="EU86" s="191">
        <f>'Functional Levels Drone Survey'!EU86-'Existing Levels Drone Survey'!EU86</f>
        <v>0</v>
      </c>
      <c r="EV86" s="191">
        <f>'Functional Levels Drone Survey'!EV86-'Existing Levels Drone Survey'!EV86</f>
        <v>0</v>
      </c>
      <c r="EW86" s="191">
        <f>'Functional Levels Drone Survey'!EW86-'Existing Levels Drone Survey'!EW86</f>
        <v>0</v>
      </c>
      <c r="EX86" s="191">
        <f>'Functional Levels Drone Survey'!EX86-'Existing Levels Drone Survey'!EX86</f>
        <v>0</v>
      </c>
      <c r="EY86" s="191">
        <f>'Functional Levels Drone Survey'!EY86-'Existing Levels Drone Survey'!EY86</f>
        <v>0</v>
      </c>
    </row>
    <row r="87" spans="1:159" ht="45" customHeight="1" x14ac:dyDescent="0.45">
      <c r="A87" s="277">
        <v>430</v>
      </c>
      <c r="B87" s="191">
        <f>'Functional Levels Drone Survey'!B87-'Existing Levels Drone Survey'!B87</f>
        <v>0</v>
      </c>
      <c r="C87" s="191">
        <f>'Functional Levels Drone Survey'!C87-'Existing Levels Drone Survey'!C87</f>
        <v>0</v>
      </c>
      <c r="D87" s="191">
        <f>'Functional Levels Drone Survey'!D87-'Existing Levels Drone Survey'!D87</f>
        <v>0</v>
      </c>
      <c r="E87" s="191">
        <f>'Functional Levels Drone Survey'!E87-'Existing Levels Drone Survey'!E87</f>
        <v>0</v>
      </c>
      <c r="F87" s="191">
        <f>'Functional Levels Drone Survey'!F87-'Existing Levels Drone Survey'!F87</f>
        <v>0</v>
      </c>
      <c r="G87" s="191">
        <f>'Functional Levels Drone Survey'!G87-'Existing Levels Drone Survey'!G87</f>
        <v>0</v>
      </c>
      <c r="H87" s="191">
        <f>'Functional Levels Drone Survey'!H87-'Existing Levels Drone Survey'!H87</f>
        <v>0</v>
      </c>
      <c r="I87" s="191">
        <f>'Functional Levels Drone Survey'!I87-'Existing Levels Drone Survey'!I87</f>
        <v>0</v>
      </c>
      <c r="J87" s="191">
        <f>'Functional Levels Drone Survey'!J87-'Existing Levels Drone Survey'!J87</f>
        <v>0</v>
      </c>
      <c r="K87" s="191">
        <f>'Functional Levels Drone Survey'!K87-'Existing Levels Drone Survey'!K87</f>
        <v>0</v>
      </c>
      <c r="L87" s="191">
        <f>'Functional Levels Drone Survey'!L87-'Existing Levels Drone Survey'!L87</f>
        <v>0</v>
      </c>
      <c r="M87" s="191">
        <f>'Functional Levels Drone Survey'!M87-'Existing Levels Drone Survey'!M87</f>
        <v>0</v>
      </c>
      <c r="N87" s="191">
        <f>'Functional Levels Drone Survey'!N87-'Existing Levels Drone Survey'!N87</f>
        <v>0</v>
      </c>
      <c r="O87" s="191">
        <f>'Functional Levels Drone Survey'!O87-'Existing Levels Drone Survey'!O87</f>
        <v>0</v>
      </c>
      <c r="P87" s="191">
        <f>'Functional Levels Drone Survey'!P87-'Existing Levels Drone Survey'!P87</f>
        <v>0</v>
      </c>
      <c r="Q87" s="191">
        <f>'Functional Levels Drone Survey'!Q87-'Existing Levels Drone Survey'!Q87</f>
        <v>0</v>
      </c>
      <c r="R87" s="191">
        <f>'Functional Levels Drone Survey'!R87-'Existing Levels Drone Survey'!R87</f>
        <v>0</v>
      </c>
      <c r="S87" s="191">
        <f>'Functional Levels Drone Survey'!S87-'Existing Levels Drone Survey'!S87</f>
        <v>0</v>
      </c>
      <c r="T87" s="191">
        <f>'Functional Levels Drone Survey'!T87-'Existing Levels Drone Survey'!T87</f>
        <v>0</v>
      </c>
      <c r="U87" s="191">
        <f>'Functional Levels Drone Survey'!U87-'Existing Levels Drone Survey'!U87</f>
        <v>0</v>
      </c>
      <c r="V87" s="191">
        <f>'Functional Levels Drone Survey'!V87-'Existing Levels Drone Survey'!V87</f>
        <v>0</v>
      </c>
      <c r="W87" s="191">
        <f>'Functional Levels Drone Survey'!W87-'Existing Levels Drone Survey'!W87</f>
        <v>0</v>
      </c>
      <c r="X87" s="191">
        <f>'Functional Levels Drone Survey'!X87-'Existing Levels Drone Survey'!X87</f>
        <v>0</v>
      </c>
      <c r="Y87" s="191">
        <f>'Functional Levels Drone Survey'!Y87-'Existing Levels Drone Survey'!Y87</f>
        <v>0</v>
      </c>
      <c r="Z87" s="191">
        <f>'Functional Levels Drone Survey'!Z87-'Existing Levels Drone Survey'!Z87</f>
        <v>0</v>
      </c>
      <c r="AA87" s="191">
        <f>'Functional Levels Drone Survey'!AA87-'Existing Levels Drone Survey'!AA87</f>
        <v>0</v>
      </c>
      <c r="AB87" s="191">
        <f>'Functional Levels Drone Survey'!AB87-'Existing Levels Drone Survey'!AB87</f>
        <v>0</v>
      </c>
      <c r="AC87" s="191">
        <f>'Functional Levels Drone Survey'!AC87-'Existing Levels Drone Survey'!AC87</f>
        <v>0</v>
      </c>
      <c r="AD87" s="191">
        <f>'Functional Levels Drone Survey'!AD87-'Existing Levels Drone Survey'!AD87</f>
        <v>0</v>
      </c>
      <c r="AE87" s="191">
        <f>'Functional Levels Drone Survey'!AE87-'Existing Levels Drone Survey'!AE87</f>
        <v>0</v>
      </c>
      <c r="AF87" s="191">
        <f>'Functional Levels Drone Survey'!AF87-'Existing Levels Drone Survey'!AF87</f>
        <v>0</v>
      </c>
      <c r="AG87" s="191">
        <f>'Functional Levels Drone Survey'!AG87-'Existing Levels Drone Survey'!AG87</f>
        <v>0</v>
      </c>
      <c r="AH87" s="191">
        <f>'Functional Levels Drone Survey'!AH87-'Existing Levels Drone Survey'!AH87</f>
        <v>0</v>
      </c>
      <c r="AI87" s="191">
        <f>'Functional Levels Drone Survey'!AI87-'Existing Levels Drone Survey'!AI87</f>
        <v>0</v>
      </c>
      <c r="AJ87" s="191">
        <f>'Functional Levels Drone Survey'!AJ87-'Existing Levels Drone Survey'!AJ87</f>
        <v>0</v>
      </c>
      <c r="AK87" s="191">
        <f>'Functional Levels Drone Survey'!AK87-'Existing Levels Drone Survey'!AK87</f>
        <v>0</v>
      </c>
      <c r="AL87" s="191">
        <f>'Functional Levels Drone Survey'!AL87-'Existing Levels Drone Survey'!AL87</f>
        <v>0</v>
      </c>
      <c r="AM87" s="191">
        <f>'Functional Levels Drone Survey'!AM87-'Existing Levels Drone Survey'!AM87</f>
        <v>0</v>
      </c>
      <c r="AN87" s="191">
        <f>'Functional Levels Drone Survey'!AN87-'Existing Levels Drone Survey'!AN87</f>
        <v>0</v>
      </c>
      <c r="AO87" s="191">
        <f>'Functional Levels Drone Survey'!AO87-'Existing Levels Drone Survey'!AO87</f>
        <v>0</v>
      </c>
      <c r="AP87" s="191">
        <f>'Functional Levels Drone Survey'!AP87-'Existing Levels Drone Survey'!AP87</f>
        <v>0</v>
      </c>
      <c r="AQ87" s="191">
        <f>'Functional Levels Drone Survey'!AQ87-'Existing Levels Drone Survey'!AQ87</f>
        <v>0</v>
      </c>
      <c r="AR87" s="191">
        <f>'Functional Levels Drone Survey'!AR87-'Existing Levels Drone Survey'!AR87</f>
        <v>0</v>
      </c>
      <c r="AS87" s="191">
        <f>'Functional Levels Drone Survey'!AS87-'Existing Levels Drone Survey'!AS87</f>
        <v>0</v>
      </c>
      <c r="AT87" s="191">
        <f>'Functional Levels Drone Survey'!AT87-'Existing Levels Drone Survey'!AT87</f>
        <v>0</v>
      </c>
      <c r="AU87" s="191">
        <f>'Functional Levels Drone Survey'!AU87-'Existing Levels Drone Survey'!AU87</f>
        <v>0</v>
      </c>
      <c r="AV87" s="191">
        <f>'Functional Levels Drone Survey'!AV87-'Existing Levels Drone Survey'!AV87</f>
        <v>0</v>
      </c>
      <c r="AW87" s="191">
        <f>'Functional Levels Drone Survey'!AW87-'Existing Levels Drone Survey'!AW87</f>
        <v>0</v>
      </c>
      <c r="AX87" s="191">
        <f>'Functional Levels Drone Survey'!AX87-'Existing Levels Drone Survey'!AX87</f>
        <v>0</v>
      </c>
      <c r="AY87" s="191">
        <f>'Functional Levels Drone Survey'!AY87-'Existing Levels Drone Survey'!AY87</f>
        <v>0</v>
      </c>
      <c r="AZ87" s="191">
        <f>'Functional Levels Drone Survey'!AZ87-'Existing Levels Drone Survey'!AZ87</f>
        <v>0</v>
      </c>
      <c r="BA87" s="191">
        <f>'Functional Levels Drone Survey'!BA87-'Existing Levels Drone Survey'!BA87</f>
        <v>0</v>
      </c>
      <c r="BB87" s="191">
        <f>'Functional Levels Drone Survey'!BB87-'Existing Levels Drone Survey'!BB87</f>
        <v>0</v>
      </c>
      <c r="BC87" s="191">
        <f>'Functional Levels Drone Survey'!BC87-'Existing Levels Drone Survey'!BC87</f>
        <v>0</v>
      </c>
      <c r="BD87" s="191">
        <f>'Functional Levels Drone Survey'!BD87-'Existing Levels Drone Survey'!BD87</f>
        <v>0</v>
      </c>
      <c r="BE87" s="191">
        <f>'Functional Levels Drone Survey'!BE87-'Existing Levels Drone Survey'!BE87</f>
        <v>0</v>
      </c>
      <c r="BF87" s="191">
        <f>'Functional Levels Drone Survey'!BF87-'Existing Levels Drone Survey'!BF87</f>
        <v>0</v>
      </c>
      <c r="BG87" s="191">
        <f>'Functional Levels Drone Survey'!BG87-'Existing Levels Drone Survey'!BG87</f>
        <v>0</v>
      </c>
      <c r="BH87" s="191">
        <f>'Functional Levels Drone Survey'!BH87-'Existing Levels Drone Survey'!BH87</f>
        <v>0</v>
      </c>
      <c r="BI87" s="191">
        <f>'Functional Levels Drone Survey'!BI87-'Existing Levels Drone Survey'!BI87</f>
        <v>0</v>
      </c>
      <c r="BJ87" s="191">
        <f>'Functional Levels Drone Survey'!BJ87-'Existing Levels Drone Survey'!BJ87</f>
        <v>0</v>
      </c>
      <c r="BK87" s="191">
        <f>'Functional Levels Drone Survey'!BK87-'Existing Levels Drone Survey'!BK87</f>
        <v>0</v>
      </c>
      <c r="BL87" s="191">
        <f>'Functional Levels Drone Survey'!BL87-'Existing Levels Drone Survey'!BL87</f>
        <v>0</v>
      </c>
      <c r="BM87" s="191">
        <f>'Functional Levels Drone Survey'!BM87-'Existing Levels Drone Survey'!BM87</f>
        <v>0</v>
      </c>
      <c r="BN87" s="191">
        <f>'Functional Levels Drone Survey'!BN87-'Existing Levels Drone Survey'!BN87</f>
        <v>0</v>
      </c>
      <c r="BO87" s="191">
        <f>'Functional Levels Drone Survey'!BO87-'Existing Levels Drone Survey'!BO87</f>
        <v>0</v>
      </c>
      <c r="BP87" s="191">
        <f>'Functional Levels Drone Survey'!BP87-'Existing Levels Drone Survey'!BP87</f>
        <v>0</v>
      </c>
      <c r="BQ87" s="191">
        <f>'Functional Levels Drone Survey'!BQ87-'Existing Levels Drone Survey'!BQ87</f>
        <v>0</v>
      </c>
      <c r="BR87" s="191">
        <f>'Functional Levels Drone Survey'!BR87-'Existing Levels Drone Survey'!BR87</f>
        <v>0</v>
      </c>
      <c r="BS87" s="191">
        <f>'Functional Levels Drone Survey'!BS87-'Existing Levels Drone Survey'!BS87</f>
        <v>0</v>
      </c>
      <c r="BT87" s="191">
        <f>'Functional Levels Drone Survey'!BT87-'Existing Levels Drone Survey'!BT87</f>
        <v>0</v>
      </c>
      <c r="BU87" s="191">
        <f>'Functional Levels Drone Survey'!BU87-'Existing Levels Drone Survey'!BU87</f>
        <v>0</v>
      </c>
      <c r="BV87" s="191">
        <f>'Functional Levels Drone Survey'!BV87-'Existing Levels Drone Survey'!BV87</f>
        <v>0</v>
      </c>
      <c r="BW87" s="191">
        <f>'Functional Levels Drone Survey'!BW87-'Existing Levels Drone Survey'!BW87</f>
        <v>0</v>
      </c>
      <c r="BX87" s="191">
        <f>'Functional Levels Drone Survey'!BX87-'Existing Levels Drone Survey'!BX87</f>
        <v>0</v>
      </c>
      <c r="BY87" s="191">
        <f>'Functional Levels Drone Survey'!BY87-'Existing Levels Drone Survey'!BY87</f>
        <v>0</v>
      </c>
      <c r="BZ87" s="191">
        <f>'Functional Levels Drone Survey'!BZ87-'Existing Levels Drone Survey'!BZ87</f>
        <v>0</v>
      </c>
      <c r="CA87" s="191">
        <f>'Functional Levels Drone Survey'!CA87-'Existing Levels Drone Survey'!CA87</f>
        <v>0</v>
      </c>
      <c r="CB87" s="191">
        <f>'Functional Levels Drone Survey'!CB87-'Existing Levels Drone Survey'!CB87</f>
        <v>0</v>
      </c>
      <c r="CC87" s="191">
        <f>'Functional Levels Drone Survey'!CC87-'Existing Levels Drone Survey'!CC87</f>
        <v>0</v>
      </c>
      <c r="CD87" s="191">
        <f>'Functional Levels Drone Survey'!CD87-'Existing Levels Drone Survey'!CD87</f>
        <v>0</v>
      </c>
      <c r="CE87" s="191">
        <f>'Functional Levels Drone Survey'!CE87-'Existing Levels Drone Survey'!CE87</f>
        <v>0</v>
      </c>
      <c r="CF87" s="191">
        <f>'Functional Levels Drone Survey'!CF87-'Existing Levels Drone Survey'!CF87</f>
        <v>0</v>
      </c>
      <c r="CG87" s="191">
        <f>'Functional Levels Drone Survey'!CG87-'Existing Levels Drone Survey'!CG87</f>
        <v>0</v>
      </c>
      <c r="CH87" s="191">
        <f>'Functional Levels Drone Survey'!CH87-'Existing Levels Drone Survey'!CH87</f>
        <v>0</v>
      </c>
      <c r="CI87" s="191">
        <f>'Functional Levels Drone Survey'!CI87-'Existing Levels Drone Survey'!CI87</f>
        <v>0</v>
      </c>
      <c r="CJ87" s="191">
        <f>'Functional Levels Drone Survey'!CJ87-'Existing Levels Drone Survey'!CJ87</f>
        <v>0</v>
      </c>
      <c r="CK87" s="191">
        <f>'Functional Levels Drone Survey'!CK87-'Existing Levels Drone Survey'!CK87</f>
        <v>0</v>
      </c>
      <c r="CL87" s="191">
        <f>'Functional Levels Drone Survey'!CL87-'Existing Levels Drone Survey'!CL87</f>
        <v>0</v>
      </c>
      <c r="CM87" s="191">
        <f>'Functional Levels Drone Survey'!CM87-'Existing Levels Drone Survey'!CM87</f>
        <v>0</v>
      </c>
      <c r="CN87" s="191">
        <f>'Functional Levels Drone Survey'!CN87-'Existing Levels Drone Survey'!CN87</f>
        <v>0</v>
      </c>
      <c r="CO87" s="191">
        <f>'Functional Levels Drone Survey'!CO87-'Existing Levels Drone Survey'!CO87</f>
        <v>0</v>
      </c>
      <c r="CP87" s="191">
        <f>'Functional Levels Drone Survey'!CP87-'Existing Levels Drone Survey'!CP87</f>
        <v>0</v>
      </c>
      <c r="CQ87" s="191">
        <f>'Functional Levels Drone Survey'!CQ87-'Existing Levels Drone Survey'!CQ87</f>
        <v>0</v>
      </c>
      <c r="CR87" s="191">
        <f>'Functional Levels Drone Survey'!CR87-'Existing Levels Drone Survey'!CR87</f>
        <v>0</v>
      </c>
      <c r="CS87" s="191">
        <f>'Functional Levels Drone Survey'!CS87-'Existing Levels Drone Survey'!CS87</f>
        <v>0</v>
      </c>
      <c r="CT87" s="191">
        <f>'Functional Levels Drone Survey'!CT87-'Existing Levels Drone Survey'!CT87</f>
        <v>0</v>
      </c>
      <c r="CU87" s="191">
        <f>'Functional Levels Drone Survey'!CU87-'Existing Levels Drone Survey'!CU87</f>
        <v>0</v>
      </c>
      <c r="CV87" s="191">
        <f>'Functional Levels Drone Survey'!CV87-'Existing Levels Drone Survey'!CV87</f>
        <v>0</v>
      </c>
      <c r="CW87" s="191">
        <f>'Functional Levels Drone Survey'!CW87-'Existing Levels Drone Survey'!CW87</f>
        <v>0</v>
      </c>
      <c r="CX87" s="191">
        <f>'Functional Levels Drone Survey'!CX87-'Existing Levels Drone Survey'!CX87</f>
        <v>0</v>
      </c>
      <c r="CY87" s="191">
        <f>'Functional Levels Drone Survey'!CY87-'Existing Levels Drone Survey'!CY87</f>
        <v>0</v>
      </c>
      <c r="CZ87" s="191">
        <f>'Functional Levels Drone Survey'!CZ87-'Existing Levels Drone Survey'!CZ87</f>
        <v>0</v>
      </c>
      <c r="DA87" s="191">
        <f>'Functional Levels Drone Survey'!DA87-'Existing Levels Drone Survey'!DA87</f>
        <v>0</v>
      </c>
      <c r="DB87" s="191">
        <f>'Functional Levels Drone Survey'!DB87-'Existing Levels Drone Survey'!DB87</f>
        <v>0</v>
      </c>
      <c r="DC87" s="191">
        <f>'Functional Levels Drone Survey'!DC87-'Existing Levels Drone Survey'!DC87</f>
        <v>0</v>
      </c>
      <c r="DD87" s="191">
        <f>'Functional Levels Drone Survey'!DD87-'Existing Levels Drone Survey'!DD87</f>
        <v>0</v>
      </c>
      <c r="DE87" s="191">
        <f>'Functional Levels Drone Survey'!DE87-'Existing Levels Drone Survey'!DE87</f>
        <v>0</v>
      </c>
      <c r="DF87" s="191">
        <f>'Functional Levels Drone Survey'!DF87-'Existing Levels Drone Survey'!DF87</f>
        <v>0</v>
      </c>
      <c r="DG87" s="191">
        <f>'Functional Levels Drone Survey'!DG87-'Existing Levels Drone Survey'!DG87</f>
        <v>0</v>
      </c>
      <c r="DH87" s="191">
        <f>'Functional Levels Drone Survey'!DH87-'Existing Levels Drone Survey'!DH87</f>
        <v>0</v>
      </c>
      <c r="DI87" s="191">
        <f>'Functional Levels Drone Survey'!DI87-'Existing Levels Drone Survey'!DI87</f>
        <v>0</v>
      </c>
      <c r="DJ87" s="191">
        <f>'Functional Levels Drone Survey'!DJ87-'Existing Levels Drone Survey'!DJ87</f>
        <v>0</v>
      </c>
      <c r="DK87" s="191">
        <f>'Functional Levels Drone Survey'!DK87-'Existing Levels Drone Survey'!DK87</f>
        <v>0</v>
      </c>
      <c r="DL87" s="191">
        <f>'Functional Levels Drone Survey'!DL87-'Existing Levels Drone Survey'!DL87</f>
        <v>0</v>
      </c>
      <c r="DM87" s="191">
        <f>'Functional Levels Drone Survey'!DM87-'Existing Levels Drone Survey'!DM87</f>
        <v>0</v>
      </c>
      <c r="DN87" s="191">
        <f>'Functional Levels Drone Survey'!DN87-'Existing Levels Drone Survey'!DN87</f>
        <v>0</v>
      </c>
      <c r="DO87" s="191">
        <f>'Functional Levels Drone Survey'!DO87-'Existing Levels Drone Survey'!DO87</f>
        <v>0</v>
      </c>
      <c r="DP87" s="191">
        <f>'Functional Levels Drone Survey'!DP87-'Existing Levels Drone Survey'!DP87</f>
        <v>0</v>
      </c>
      <c r="DQ87" s="191">
        <f>'Functional Levels Drone Survey'!DQ87-'Existing Levels Drone Survey'!DQ87</f>
        <v>0</v>
      </c>
      <c r="DR87" s="191">
        <f>'Functional Levels Drone Survey'!DR87-'Existing Levels Drone Survey'!DR87</f>
        <v>0</v>
      </c>
      <c r="DS87" s="191">
        <f>'Functional Levels Drone Survey'!DS87-'Existing Levels Drone Survey'!DS87</f>
        <v>0</v>
      </c>
      <c r="DT87" s="191">
        <f>'Functional Levels Drone Survey'!DT87-'Existing Levels Drone Survey'!DT87</f>
        <v>0</v>
      </c>
      <c r="DU87" s="191">
        <f>'Functional Levels Drone Survey'!DU87-'Existing Levels Drone Survey'!DU87</f>
        <v>0</v>
      </c>
      <c r="DV87" s="191">
        <f>'Functional Levels Drone Survey'!DV87-'Existing Levels Drone Survey'!DV87</f>
        <v>0</v>
      </c>
      <c r="DW87" s="191">
        <f>'Functional Levels Drone Survey'!DW87-'Existing Levels Drone Survey'!DW87</f>
        <v>0</v>
      </c>
      <c r="DX87" s="191">
        <f>'Functional Levels Drone Survey'!DX87-'Existing Levels Drone Survey'!DX87</f>
        <v>0</v>
      </c>
      <c r="DY87" s="191">
        <f>'Functional Levels Drone Survey'!DY87-'Existing Levels Drone Survey'!DY87</f>
        <v>0</v>
      </c>
      <c r="DZ87" s="191">
        <f>'Functional Levels Drone Survey'!DZ87-'Existing Levels Drone Survey'!DZ87</f>
        <v>0</v>
      </c>
      <c r="EA87" s="191">
        <f>'Functional Levels Drone Survey'!EA87-'Existing Levels Drone Survey'!EA87</f>
        <v>0</v>
      </c>
      <c r="EB87" s="191">
        <f>'Functional Levels Drone Survey'!EB87-'Existing Levels Drone Survey'!EB87</f>
        <v>0</v>
      </c>
      <c r="EC87" s="191">
        <f>'Functional Levels Drone Survey'!EC87-'Existing Levels Drone Survey'!EC87</f>
        <v>0</v>
      </c>
      <c r="ED87" s="191">
        <f>'Functional Levels Drone Survey'!ED87-'Existing Levels Drone Survey'!ED87</f>
        <v>0</v>
      </c>
      <c r="EE87" s="191">
        <f>'Functional Levels Drone Survey'!EE87-'Existing Levels Drone Survey'!EE87</f>
        <v>0</v>
      </c>
      <c r="EF87" s="191">
        <f>'Functional Levels Drone Survey'!EF87-'Existing Levels Drone Survey'!EF87</f>
        <v>0</v>
      </c>
      <c r="EG87" s="191">
        <f>'Functional Levels Drone Survey'!EG87-'Existing Levels Drone Survey'!EG87</f>
        <v>0</v>
      </c>
      <c r="EH87" s="191">
        <f>'Functional Levels Drone Survey'!EH87-'Existing Levels Drone Survey'!EH87</f>
        <v>0</v>
      </c>
      <c r="EI87" s="191">
        <f>'Functional Levels Drone Survey'!EI87-'Existing Levels Drone Survey'!EI87</f>
        <v>0</v>
      </c>
      <c r="EJ87" s="191">
        <f>'Functional Levels Drone Survey'!EJ87-'Existing Levels Drone Survey'!EJ87</f>
        <v>0</v>
      </c>
      <c r="EK87" s="191">
        <f>'Functional Levels Drone Survey'!EK87-'Existing Levels Drone Survey'!EK87</f>
        <v>0</v>
      </c>
      <c r="EL87" s="191">
        <f>'Functional Levels Drone Survey'!EL87-'Existing Levels Drone Survey'!EL87</f>
        <v>0</v>
      </c>
      <c r="EM87" s="191">
        <f>'Functional Levels Drone Survey'!EM87-'Existing Levels Drone Survey'!EM87</f>
        <v>0</v>
      </c>
      <c r="EN87" s="191">
        <f>'Functional Levels Drone Survey'!EN87-'Existing Levels Drone Survey'!EN87</f>
        <v>0</v>
      </c>
      <c r="EO87" s="191">
        <f>'Functional Levels Drone Survey'!EO87-'Existing Levels Drone Survey'!EO87</f>
        <v>0</v>
      </c>
      <c r="EP87" s="191">
        <f>'Functional Levels Drone Survey'!EP87-'Existing Levels Drone Survey'!EP87</f>
        <v>0</v>
      </c>
      <c r="EQ87" s="191">
        <f>'Functional Levels Drone Survey'!EQ87-'Existing Levels Drone Survey'!EQ87</f>
        <v>0</v>
      </c>
      <c r="ER87" s="191">
        <f>'Functional Levels Drone Survey'!ER87-'Existing Levels Drone Survey'!ER87</f>
        <v>0</v>
      </c>
      <c r="ES87" s="191">
        <f>'Functional Levels Drone Survey'!ES87-'Existing Levels Drone Survey'!ES87</f>
        <v>0</v>
      </c>
      <c r="ET87" s="191">
        <f>'Functional Levels Drone Survey'!ET87-'Existing Levels Drone Survey'!ET87</f>
        <v>0</v>
      </c>
      <c r="EU87" s="191">
        <f>'Functional Levels Drone Survey'!EU87-'Existing Levels Drone Survey'!EU87</f>
        <v>0</v>
      </c>
      <c r="EV87" s="191">
        <f>'Functional Levels Drone Survey'!EV87-'Existing Levels Drone Survey'!EV87</f>
        <v>0</v>
      </c>
      <c r="EW87" s="191">
        <f>'Functional Levels Drone Survey'!EW87-'Existing Levels Drone Survey'!EW87</f>
        <v>0</v>
      </c>
      <c r="EX87" s="191">
        <f>'Functional Levels Drone Survey'!EX87-'Existing Levels Drone Survey'!EX87</f>
        <v>0</v>
      </c>
      <c r="EY87" s="191">
        <f>'Functional Levels Drone Survey'!EY87-'Existing Levels Drone Survey'!EY87</f>
        <v>0</v>
      </c>
    </row>
    <row r="88" spans="1:159" ht="45" customHeight="1" x14ac:dyDescent="0.45">
      <c r="A88" s="277">
        <v>435</v>
      </c>
      <c r="B88" s="191">
        <f>'Functional Levels Drone Survey'!B88-'Existing Levels Drone Survey'!B88</f>
        <v>0</v>
      </c>
      <c r="C88" s="191">
        <f>'Functional Levels Drone Survey'!C88-'Existing Levels Drone Survey'!C88</f>
        <v>0</v>
      </c>
      <c r="D88" s="191">
        <f>'Functional Levels Drone Survey'!D88-'Existing Levels Drone Survey'!D88</f>
        <v>0</v>
      </c>
      <c r="E88" s="191">
        <f>'Functional Levels Drone Survey'!E88-'Existing Levels Drone Survey'!E88</f>
        <v>0</v>
      </c>
      <c r="F88" s="191">
        <f>'Functional Levels Drone Survey'!F88-'Existing Levels Drone Survey'!F88</f>
        <v>0</v>
      </c>
      <c r="G88" s="191">
        <f>'Functional Levels Drone Survey'!G88-'Existing Levels Drone Survey'!G88</f>
        <v>0</v>
      </c>
      <c r="H88" s="191">
        <f>'Functional Levels Drone Survey'!H88-'Existing Levels Drone Survey'!H88</f>
        <v>0</v>
      </c>
      <c r="I88" s="191">
        <f>'Functional Levels Drone Survey'!I88-'Existing Levels Drone Survey'!I88</f>
        <v>0</v>
      </c>
      <c r="J88" s="191">
        <f>'Functional Levels Drone Survey'!J88-'Existing Levels Drone Survey'!J88</f>
        <v>0</v>
      </c>
      <c r="K88" s="191">
        <f>'Functional Levels Drone Survey'!K88-'Existing Levels Drone Survey'!K88</f>
        <v>0</v>
      </c>
      <c r="L88" s="191">
        <f>'Functional Levels Drone Survey'!L88-'Existing Levels Drone Survey'!L88</f>
        <v>0</v>
      </c>
      <c r="M88" s="191">
        <f>'Functional Levels Drone Survey'!M88-'Existing Levels Drone Survey'!M88</f>
        <v>0</v>
      </c>
      <c r="N88" s="191">
        <f>'Functional Levels Drone Survey'!N88-'Existing Levels Drone Survey'!N88</f>
        <v>0</v>
      </c>
      <c r="O88" s="191">
        <f>'Functional Levels Drone Survey'!O88-'Existing Levels Drone Survey'!O88</f>
        <v>0</v>
      </c>
      <c r="P88" s="191">
        <f>'Functional Levels Drone Survey'!P88-'Existing Levels Drone Survey'!P88</f>
        <v>0</v>
      </c>
      <c r="Q88" s="191">
        <f>'Functional Levels Drone Survey'!Q88-'Existing Levels Drone Survey'!Q88</f>
        <v>0</v>
      </c>
      <c r="R88" s="191">
        <f>'Functional Levels Drone Survey'!R88-'Existing Levels Drone Survey'!R88</f>
        <v>0</v>
      </c>
      <c r="S88" s="191">
        <f>'Functional Levels Drone Survey'!S88-'Existing Levels Drone Survey'!S88</f>
        <v>0</v>
      </c>
      <c r="T88" s="191">
        <f>'Functional Levels Drone Survey'!T88-'Existing Levels Drone Survey'!T88</f>
        <v>0</v>
      </c>
      <c r="U88" s="191">
        <f>'Functional Levels Drone Survey'!U88-'Existing Levels Drone Survey'!U88</f>
        <v>0</v>
      </c>
      <c r="V88" s="191">
        <f>'Functional Levels Drone Survey'!V88-'Existing Levels Drone Survey'!V88</f>
        <v>0</v>
      </c>
      <c r="W88" s="191">
        <f>'Functional Levels Drone Survey'!W88-'Existing Levels Drone Survey'!W88</f>
        <v>0</v>
      </c>
      <c r="X88" s="191">
        <f>'Functional Levels Drone Survey'!X88-'Existing Levels Drone Survey'!X88</f>
        <v>0</v>
      </c>
      <c r="Y88" s="191">
        <f>'Functional Levels Drone Survey'!Y88-'Existing Levels Drone Survey'!Y88</f>
        <v>0</v>
      </c>
      <c r="Z88" s="191">
        <f>'Functional Levels Drone Survey'!Z88-'Existing Levels Drone Survey'!Z88</f>
        <v>0</v>
      </c>
      <c r="AA88" s="191">
        <f>'Functional Levels Drone Survey'!AA88-'Existing Levels Drone Survey'!AA88</f>
        <v>0</v>
      </c>
      <c r="AB88" s="191">
        <f>'Functional Levels Drone Survey'!AB88-'Existing Levels Drone Survey'!AB88</f>
        <v>0</v>
      </c>
      <c r="AC88" s="191">
        <f>'Functional Levels Drone Survey'!AC88-'Existing Levels Drone Survey'!AC88</f>
        <v>0</v>
      </c>
      <c r="AD88" s="191">
        <f>'Functional Levels Drone Survey'!AD88-'Existing Levels Drone Survey'!AD88</f>
        <v>0</v>
      </c>
      <c r="AE88" s="191">
        <f>'Functional Levels Drone Survey'!AE88-'Existing Levels Drone Survey'!AE88</f>
        <v>0</v>
      </c>
      <c r="AF88" s="191">
        <f>'Functional Levels Drone Survey'!AF88-'Existing Levels Drone Survey'!AF88</f>
        <v>0</v>
      </c>
      <c r="AG88" s="191">
        <f>'Functional Levels Drone Survey'!AG88-'Existing Levels Drone Survey'!AG88</f>
        <v>0</v>
      </c>
      <c r="AH88" s="191">
        <f>'Functional Levels Drone Survey'!AH88-'Existing Levels Drone Survey'!AH88</f>
        <v>0</v>
      </c>
      <c r="AI88" s="191">
        <f>'Functional Levels Drone Survey'!AI88-'Existing Levels Drone Survey'!AI88</f>
        <v>0</v>
      </c>
      <c r="AJ88" s="191">
        <f>'Functional Levels Drone Survey'!AJ88-'Existing Levels Drone Survey'!AJ88</f>
        <v>0</v>
      </c>
      <c r="AK88" s="191">
        <f>'Functional Levels Drone Survey'!AK88-'Existing Levels Drone Survey'!AK88</f>
        <v>0</v>
      </c>
      <c r="AL88" s="191">
        <f>'Functional Levels Drone Survey'!AL88-'Existing Levels Drone Survey'!AL88</f>
        <v>0</v>
      </c>
      <c r="AM88" s="191">
        <f>'Functional Levels Drone Survey'!AM88-'Existing Levels Drone Survey'!AM88</f>
        <v>0</v>
      </c>
      <c r="AN88" s="191">
        <f>'Functional Levels Drone Survey'!AN88-'Existing Levels Drone Survey'!AN88</f>
        <v>0</v>
      </c>
      <c r="AO88" s="191">
        <f>'Functional Levels Drone Survey'!AO88-'Existing Levels Drone Survey'!AO88</f>
        <v>0</v>
      </c>
      <c r="AP88" s="191">
        <f>'Functional Levels Drone Survey'!AP88-'Existing Levels Drone Survey'!AP88</f>
        <v>0</v>
      </c>
      <c r="AQ88" s="191">
        <f>'Functional Levels Drone Survey'!AQ88-'Existing Levels Drone Survey'!AQ88</f>
        <v>0</v>
      </c>
      <c r="AR88" s="191">
        <f>'Functional Levels Drone Survey'!AR88-'Existing Levels Drone Survey'!AR88</f>
        <v>0</v>
      </c>
      <c r="AS88" s="191">
        <f>'Functional Levels Drone Survey'!AS88-'Existing Levels Drone Survey'!AS88</f>
        <v>0</v>
      </c>
      <c r="AT88" s="191">
        <f>'Functional Levels Drone Survey'!AT88-'Existing Levels Drone Survey'!AT88</f>
        <v>0</v>
      </c>
      <c r="AU88" s="191">
        <f>'Functional Levels Drone Survey'!AU88-'Existing Levels Drone Survey'!AU88</f>
        <v>0</v>
      </c>
      <c r="AV88" s="191">
        <f>'Functional Levels Drone Survey'!AV88-'Existing Levels Drone Survey'!AV88</f>
        <v>0</v>
      </c>
      <c r="AW88" s="191">
        <f>'Functional Levels Drone Survey'!AW88-'Existing Levels Drone Survey'!AW88</f>
        <v>0</v>
      </c>
      <c r="AX88" s="191">
        <f>'Functional Levels Drone Survey'!AX88-'Existing Levels Drone Survey'!AX88</f>
        <v>0</v>
      </c>
      <c r="AY88" s="191">
        <f>'Functional Levels Drone Survey'!AY88-'Existing Levels Drone Survey'!AY88</f>
        <v>0</v>
      </c>
      <c r="AZ88" s="191">
        <f>'Functional Levels Drone Survey'!AZ88-'Existing Levels Drone Survey'!AZ88</f>
        <v>0</v>
      </c>
      <c r="BA88" s="191">
        <f>'Functional Levels Drone Survey'!BA88-'Existing Levels Drone Survey'!BA88</f>
        <v>0</v>
      </c>
      <c r="BB88" s="191">
        <f>'Functional Levels Drone Survey'!BB88-'Existing Levels Drone Survey'!BB88</f>
        <v>0</v>
      </c>
      <c r="BC88" s="191">
        <f>'Functional Levels Drone Survey'!BC88-'Existing Levels Drone Survey'!BC88</f>
        <v>0</v>
      </c>
      <c r="BD88" s="191">
        <f>'Functional Levels Drone Survey'!BD88-'Existing Levels Drone Survey'!BD88</f>
        <v>0</v>
      </c>
      <c r="BE88" s="191">
        <f>'Functional Levels Drone Survey'!BE88-'Existing Levels Drone Survey'!BE88</f>
        <v>0</v>
      </c>
      <c r="BF88" s="191">
        <f>'Functional Levels Drone Survey'!BF88-'Existing Levels Drone Survey'!BF88</f>
        <v>0</v>
      </c>
      <c r="BG88" s="191">
        <f>'Functional Levels Drone Survey'!BG88-'Existing Levels Drone Survey'!BG88</f>
        <v>0</v>
      </c>
      <c r="BH88" s="191">
        <f>'Functional Levels Drone Survey'!BH88-'Existing Levels Drone Survey'!BH88</f>
        <v>0</v>
      </c>
      <c r="BI88" s="191">
        <f>'Functional Levels Drone Survey'!BI88-'Existing Levels Drone Survey'!BI88</f>
        <v>0</v>
      </c>
      <c r="BJ88" s="191">
        <f>'Functional Levels Drone Survey'!BJ88-'Existing Levels Drone Survey'!BJ88</f>
        <v>0</v>
      </c>
      <c r="BK88" s="191">
        <f>'Functional Levels Drone Survey'!BK88-'Existing Levels Drone Survey'!BK88</f>
        <v>0</v>
      </c>
      <c r="BL88" s="191">
        <f>'Functional Levels Drone Survey'!BL88-'Existing Levels Drone Survey'!BL88</f>
        <v>0</v>
      </c>
      <c r="BM88" s="191">
        <f>'Functional Levels Drone Survey'!BM88-'Existing Levels Drone Survey'!BM88</f>
        <v>0</v>
      </c>
      <c r="BN88" s="191">
        <f>'Functional Levels Drone Survey'!BN88-'Existing Levels Drone Survey'!BN88</f>
        <v>0</v>
      </c>
      <c r="BO88" s="191">
        <f>'Functional Levels Drone Survey'!BO88-'Existing Levels Drone Survey'!BO88</f>
        <v>0</v>
      </c>
      <c r="BP88" s="191">
        <f>'Functional Levels Drone Survey'!BP88-'Existing Levels Drone Survey'!BP88</f>
        <v>0</v>
      </c>
      <c r="BQ88" s="191">
        <f>'Functional Levels Drone Survey'!BQ88-'Existing Levels Drone Survey'!BQ88</f>
        <v>0</v>
      </c>
      <c r="BR88" s="191">
        <f>'Functional Levels Drone Survey'!BR88-'Existing Levels Drone Survey'!BR88</f>
        <v>0</v>
      </c>
      <c r="BS88" s="191">
        <f>'Functional Levels Drone Survey'!BS88-'Existing Levels Drone Survey'!BS88</f>
        <v>0</v>
      </c>
      <c r="BT88" s="191">
        <f>'Functional Levels Drone Survey'!BT88-'Existing Levels Drone Survey'!BT88</f>
        <v>0</v>
      </c>
      <c r="BU88" s="191">
        <f>'Functional Levels Drone Survey'!BU88-'Existing Levels Drone Survey'!BU88</f>
        <v>0</v>
      </c>
      <c r="BV88" s="191">
        <f>'Functional Levels Drone Survey'!BV88-'Existing Levels Drone Survey'!BV88</f>
        <v>0</v>
      </c>
      <c r="BW88" s="191">
        <f>'Functional Levels Drone Survey'!BW88-'Existing Levels Drone Survey'!BW88</f>
        <v>0</v>
      </c>
      <c r="BX88" s="191">
        <f>'Functional Levels Drone Survey'!BX88-'Existing Levels Drone Survey'!BX88</f>
        <v>0</v>
      </c>
      <c r="BY88" s="191">
        <f>'Functional Levels Drone Survey'!BY88-'Existing Levels Drone Survey'!BY88</f>
        <v>0</v>
      </c>
      <c r="BZ88" s="191">
        <f>'Functional Levels Drone Survey'!BZ88-'Existing Levels Drone Survey'!BZ88</f>
        <v>0</v>
      </c>
      <c r="CA88" s="191">
        <f>'Functional Levels Drone Survey'!CA88-'Existing Levels Drone Survey'!CA88</f>
        <v>0</v>
      </c>
      <c r="CB88" s="191">
        <f>'Functional Levels Drone Survey'!CB88-'Existing Levels Drone Survey'!CB88</f>
        <v>0</v>
      </c>
      <c r="CC88" s="191">
        <f>'Functional Levels Drone Survey'!CC88-'Existing Levels Drone Survey'!CC88</f>
        <v>0</v>
      </c>
      <c r="CD88" s="191">
        <f>'Functional Levels Drone Survey'!CD88-'Existing Levels Drone Survey'!CD88</f>
        <v>0</v>
      </c>
      <c r="CE88" s="191">
        <f>'Functional Levels Drone Survey'!CE88-'Existing Levels Drone Survey'!CE88</f>
        <v>0</v>
      </c>
      <c r="CF88" s="191">
        <f>'Functional Levels Drone Survey'!CF88-'Existing Levels Drone Survey'!CF88</f>
        <v>0</v>
      </c>
      <c r="CG88" s="191">
        <f>'Functional Levels Drone Survey'!CG88-'Existing Levels Drone Survey'!CG88</f>
        <v>0</v>
      </c>
      <c r="CH88" s="191">
        <f>'Functional Levels Drone Survey'!CH88-'Existing Levels Drone Survey'!CH88</f>
        <v>0</v>
      </c>
      <c r="CI88" s="191">
        <f>'Functional Levels Drone Survey'!CI88-'Existing Levels Drone Survey'!CI88</f>
        <v>0</v>
      </c>
      <c r="CJ88" s="191">
        <f>'Functional Levels Drone Survey'!CJ88-'Existing Levels Drone Survey'!CJ88</f>
        <v>0</v>
      </c>
      <c r="CK88" s="191">
        <f>'Functional Levels Drone Survey'!CK88-'Existing Levels Drone Survey'!CK88</f>
        <v>0</v>
      </c>
      <c r="CL88" s="191">
        <f>'Functional Levels Drone Survey'!CL88-'Existing Levels Drone Survey'!CL88</f>
        <v>0</v>
      </c>
      <c r="CM88" s="191">
        <f>'Functional Levels Drone Survey'!CM88-'Existing Levels Drone Survey'!CM88</f>
        <v>0</v>
      </c>
      <c r="CN88" s="191">
        <f>'Functional Levels Drone Survey'!CN88-'Existing Levels Drone Survey'!CN88</f>
        <v>0</v>
      </c>
      <c r="CO88" s="191">
        <f>'Functional Levels Drone Survey'!CO88-'Existing Levels Drone Survey'!CO88</f>
        <v>0</v>
      </c>
      <c r="CP88" s="191">
        <f>'Functional Levels Drone Survey'!CP88-'Existing Levels Drone Survey'!CP88</f>
        <v>0</v>
      </c>
      <c r="CQ88" s="191">
        <f>'Functional Levels Drone Survey'!CQ88-'Existing Levels Drone Survey'!CQ88</f>
        <v>0</v>
      </c>
      <c r="CR88" s="191">
        <f>'Functional Levels Drone Survey'!CR88-'Existing Levels Drone Survey'!CR88</f>
        <v>0</v>
      </c>
      <c r="CS88" s="191">
        <f>'Functional Levels Drone Survey'!CS88-'Existing Levels Drone Survey'!CS88</f>
        <v>0</v>
      </c>
      <c r="CT88" s="191">
        <f>'Functional Levels Drone Survey'!CT88-'Existing Levels Drone Survey'!CT88</f>
        <v>0</v>
      </c>
      <c r="CU88" s="191">
        <f>'Functional Levels Drone Survey'!CU88-'Existing Levels Drone Survey'!CU88</f>
        <v>0</v>
      </c>
      <c r="CV88" s="191">
        <f>'Functional Levels Drone Survey'!CV88-'Existing Levels Drone Survey'!CV88</f>
        <v>0</v>
      </c>
      <c r="CW88" s="191">
        <f>'Functional Levels Drone Survey'!CW88-'Existing Levels Drone Survey'!CW88</f>
        <v>0</v>
      </c>
      <c r="CX88" s="191">
        <f>'Functional Levels Drone Survey'!CX88-'Existing Levels Drone Survey'!CX88</f>
        <v>0</v>
      </c>
      <c r="CY88" s="191">
        <f>'Functional Levels Drone Survey'!CY88-'Existing Levels Drone Survey'!CY88</f>
        <v>0</v>
      </c>
      <c r="CZ88" s="191">
        <f>'Functional Levels Drone Survey'!CZ88-'Existing Levels Drone Survey'!CZ88</f>
        <v>0</v>
      </c>
      <c r="DA88" s="191">
        <f>'Functional Levels Drone Survey'!DA88-'Existing Levels Drone Survey'!DA88</f>
        <v>0</v>
      </c>
      <c r="DB88" s="191">
        <f>'Functional Levels Drone Survey'!DB88-'Existing Levels Drone Survey'!DB88</f>
        <v>0</v>
      </c>
      <c r="DC88" s="191">
        <f>'Functional Levels Drone Survey'!DC88-'Existing Levels Drone Survey'!DC88</f>
        <v>0</v>
      </c>
      <c r="DD88" s="191">
        <f>'Functional Levels Drone Survey'!DD88-'Existing Levels Drone Survey'!DD88</f>
        <v>0</v>
      </c>
      <c r="DE88" s="191">
        <f>'Functional Levels Drone Survey'!DE88-'Existing Levels Drone Survey'!DE88</f>
        <v>0</v>
      </c>
      <c r="DF88" s="191">
        <f>'Functional Levels Drone Survey'!DF88-'Existing Levels Drone Survey'!DF88</f>
        <v>0</v>
      </c>
      <c r="DG88" s="191">
        <f>'Functional Levels Drone Survey'!DG88-'Existing Levels Drone Survey'!DG88</f>
        <v>0</v>
      </c>
      <c r="DH88" s="191">
        <f>'Functional Levels Drone Survey'!DH88-'Existing Levels Drone Survey'!DH88</f>
        <v>0</v>
      </c>
      <c r="DI88" s="191">
        <f>'Functional Levels Drone Survey'!DI88-'Existing Levels Drone Survey'!DI88</f>
        <v>0</v>
      </c>
      <c r="DJ88" s="191">
        <f>'Functional Levels Drone Survey'!DJ88-'Existing Levels Drone Survey'!DJ88</f>
        <v>0</v>
      </c>
      <c r="DK88" s="191">
        <f>'Functional Levels Drone Survey'!DK88-'Existing Levels Drone Survey'!DK88</f>
        <v>0</v>
      </c>
      <c r="DL88" s="191">
        <f>'Functional Levels Drone Survey'!DL88-'Existing Levels Drone Survey'!DL88</f>
        <v>0</v>
      </c>
      <c r="DM88" s="191">
        <f>'Functional Levels Drone Survey'!DM88-'Existing Levels Drone Survey'!DM88</f>
        <v>0</v>
      </c>
      <c r="DN88" s="191">
        <f>'Functional Levels Drone Survey'!DN88-'Existing Levels Drone Survey'!DN88</f>
        <v>0</v>
      </c>
      <c r="DO88" s="191">
        <f>'Functional Levels Drone Survey'!DO88-'Existing Levels Drone Survey'!DO88</f>
        <v>0</v>
      </c>
      <c r="DP88" s="191">
        <f>'Functional Levels Drone Survey'!DP88-'Existing Levels Drone Survey'!DP88</f>
        <v>0</v>
      </c>
      <c r="DQ88" s="191">
        <f>'Functional Levels Drone Survey'!DQ88-'Existing Levels Drone Survey'!DQ88</f>
        <v>0</v>
      </c>
      <c r="DR88" s="191">
        <f>'Functional Levels Drone Survey'!DR88-'Existing Levels Drone Survey'!DR88</f>
        <v>0</v>
      </c>
      <c r="DS88" s="191">
        <f>'Functional Levels Drone Survey'!DS88-'Existing Levels Drone Survey'!DS88</f>
        <v>0</v>
      </c>
      <c r="DT88" s="191">
        <f>'Functional Levels Drone Survey'!DT88-'Existing Levels Drone Survey'!DT88</f>
        <v>0</v>
      </c>
      <c r="DU88" s="191">
        <f>'Functional Levels Drone Survey'!DU88-'Existing Levels Drone Survey'!DU88</f>
        <v>0</v>
      </c>
      <c r="DV88" s="191">
        <f>'Functional Levels Drone Survey'!DV88-'Existing Levels Drone Survey'!DV88</f>
        <v>0</v>
      </c>
      <c r="DW88" s="191">
        <f>'Functional Levels Drone Survey'!DW88-'Existing Levels Drone Survey'!DW88</f>
        <v>0</v>
      </c>
      <c r="DX88" s="191">
        <f>'Functional Levels Drone Survey'!DX88-'Existing Levels Drone Survey'!DX88</f>
        <v>0</v>
      </c>
      <c r="DY88" s="191">
        <f>'Functional Levels Drone Survey'!DY88-'Existing Levels Drone Survey'!DY88</f>
        <v>0</v>
      </c>
      <c r="DZ88" s="191">
        <f>'Functional Levels Drone Survey'!DZ88-'Existing Levels Drone Survey'!DZ88</f>
        <v>0</v>
      </c>
      <c r="EA88" s="191">
        <f>'Functional Levels Drone Survey'!EA88-'Existing Levels Drone Survey'!EA88</f>
        <v>0</v>
      </c>
      <c r="EB88" s="191">
        <f>'Functional Levels Drone Survey'!EB88-'Existing Levels Drone Survey'!EB88</f>
        <v>0</v>
      </c>
      <c r="EC88" s="191">
        <f>'Functional Levels Drone Survey'!EC88-'Existing Levels Drone Survey'!EC88</f>
        <v>0</v>
      </c>
      <c r="ED88" s="191">
        <f>'Functional Levels Drone Survey'!ED88-'Existing Levels Drone Survey'!ED88</f>
        <v>0</v>
      </c>
      <c r="EE88" s="191">
        <f>'Functional Levels Drone Survey'!EE88-'Existing Levels Drone Survey'!EE88</f>
        <v>0</v>
      </c>
      <c r="EF88" s="191">
        <f>'Functional Levels Drone Survey'!EF88-'Existing Levels Drone Survey'!EF88</f>
        <v>0</v>
      </c>
      <c r="EG88" s="191">
        <f>'Functional Levels Drone Survey'!EG88-'Existing Levels Drone Survey'!EG88</f>
        <v>0</v>
      </c>
      <c r="EH88" s="191">
        <f>'Functional Levels Drone Survey'!EH88-'Existing Levels Drone Survey'!EH88</f>
        <v>0</v>
      </c>
      <c r="EI88" s="191">
        <f>'Functional Levels Drone Survey'!EI88-'Existing Levels Drone Survey'!EI88</f>
        <v>0</v>
      </c>
      <c r="EJ88" s="191">
        <f>'Functional Levels Drone Survey'!EJ88-'Existing Levels Drone Survey'!EJ88</f>
        <v>0</v>
      </c>
      <c r="EK88" s="191">
        <f>'Functional Levels Drone Survey'!EK88-'Existing Levels Drone Survey'!EK88</f>
        <v>0</v>
      </c>
      <c r="EL88" s="191">
        <f>'Functional Levels Drone Survey'!EL88-'Existing Levels Drone Survey'!EL88</f>
        <v>0</v>
      </c>
      <c r="EM88" s="191">
        <f>'Functional Levels Drone Survey'!EM88-'Existing Levels Drone Survey'!EM88</f>
        <v>0</v>
      </c>
      <c r="EN88" s="191">
        <f>'Functional Levels Drone Survey'!EN88-'Existing Levels Drone Survey'!EN88</f>
        <v>0</v>
      </c>
      <c r="EO88" s="191">
        <f>'Functional Levels Drone Survey'!EO88-'Existing Levels Drone Survey'!EO88</f>
        <v>0</v>
      </c>
      <c r="EP88" s="191">
        <f>'Functional Levels Drone Survey'!EP88-'Existing Levels Drone Survey'!EP88</f>
        <v>0</v>
      </c>
      <c r="EQ88" s="191">
        <f>'Functional Levels Drone Survey'!EQ88-'Existing Levels Drone Survey'!EQ88</f>
        <v>0</v>
      </c>
      <c r="ER88" s="191">
        <f>'Functional Levels Drone Survey'!ER88-'Existing Levels Drone Survey'!ER88</f>
        <v>0</v>
      </c>
      <c r="ES88" s="191">
        <f>'Functional Levels Drone Survey'!ES88-'Existing Levels Drone Survey'!ES88</f>
        <v>0</v>
      </c>
      <c r="ET88" s="191">
        <f>'Functional Levels Drone Survey'!ET88-'Existing Levels Drone Survey'!ET88</f>
        <v>0</v>
      </c>
      <c r="EU88" s="191">
        <f>'Functional Levels Drone Survey'!EU88-'Existing Levels Drone Survey'!EU88</f>
        <v>0</v>
      </c>
      <c r="EV88" s="191">
        <f>'Functional Levels Drone Survey'!EV88-'Existing Levels Drone Survey'!EV88</f>
        <v>0</v>
      </c>
      <c r="EW88" s="191">
        <f>'Functional Levels Drone Survey'!EW88-'Existing Levels Drone Survey'!EW88</f>
        <v>0</v>
      </c>
      <c r="EX88" s="191">
        <f>'Functional Levels Drone Survey'!EX88-'Existing Levels Drone Survey'!EX88</f>
        <v>0</v>
      </c>
      <c r="EY88" s="191">
        <f>'Functional Levels Drone Survey'!EY88-'Existing Levels Drone Survey'!EY88</f>
        <v>0</v>
      </c>
    </row>
    <row r="89" spans="1:159" ht="45" customHeight="1" x14ac:dyDescent="0.45">
      <c r="A89" s="277">
        <v>440</v>
      </c>
      <c r="B89" s="191">
        <f>'Functional Levels Drone Survey'!B89-'Existing Levels Drone Survey'!B89</f>
        <v>0</v>
      </c>
      <c r="C89" s="191">
        <f>'Functional Levels Drone Survey'!C89-'Existing Levels Drone Survey'!C89</f>
        <v>0</v>
      </c>
      <c r="D89" s="191">
        <f>'Functional Levels Drone Survey'!D89-'Existing Levels Drone Survey'!D89</f>
        <v>0</v>
      </c>
      <c r="E89" s="191">
        <f>'Functional Levels Drone Survey'!E89-'Existing Levels Drone Survey'!E89</f>
        <v>0</v>
      </c>
      <c r="F89" s="191">
        <f>'Functional Levels Drone Survey'!F89-'Existing Levels Drone Survey'!F89</f>
        <v>0</v>
      </c>
      <c r="G89" s="191">
        <f>'Functional Levels Drone Survey'!G89-'Existing Levels Drone Survey'!G89</f>
        <v>0</v>
      </c>
      <c r="H89" s="191">
        <f>'Functional Levels Drone Survey'!H89-'Existing Levels Drone Survey'!H89</f>
        <v>0</v>
      </c>
      <c r="I89" s="191">
        <f>'Functional Levels Drone Survey'!I89-'Existing Levels Drone Survey'!I89</f>
        <v>0</v>
      </c>
      <c r="J89" s="191">
        <f>'Functional Levels Drone Survey'!J89-'Existing Levels Drone Survey'!J89</f>
        <v>0</v>
      </c>
      <c r="K89" s="191">
        <f>'Functional Levels Drone Survey'!K89-'Existing Levels Drone Survey'!K89</f>
        <v>0</v>
      </c>
      <c r="L89" s="191">
        <f>'Functional Levels Drone Survey'!L89-'Existing Levels Drone Survey'!L89</f>
        <v>0</v>
      </c>
      <c r="M89" s="191">
        <f>'Functional Levels Drone Survey'!M89-'Existing Levels Drone Survey'!M89</f>
        <v>0</v>
      </c>
      <c r="N89" s="191">
        <f>'Functional Levels Drone Survey'!N89-'Existing Levels Drone Survey'!N89</f>
        <v>0</v>
      </c>
      <c r="O89" s="191">
        <f>'Functional Levels Drone Survey'!O89-'Existing Levels Drone Survey'!O89</f>
        <v>0</v>
      </c>
      <c r="P89" s="191">
        <f>'Functional Levels Drone Survey'!P89-'Existing Levels Drone Survey'!P89</f>
        <v>0</v>
      </c>
      <c r="Q89" s="191">
        <f>'Functional Levels Drone Survey'!Q89-'Existing Levels Drone Survey'!Q89</f>
        <v>0</v>
      </c>
      <c r="R89" s="191">
        <f>'Functional Levels Drone Survey'!R89-'Existing Levels Drone Survey'!R89</f>
        <v>0</v>
      </c>
      <c r="S89" s="191">
        <f>'Functional Levels Drone Survey'!S89-'Existing Levels Drone Survey'!S89</f>
        <v>0</v>
      </c>
      <c r="T89" s="191">
        <f>'Functional Levels Drone Survey'!T89-'Existing Levels Drone Survey'!T89</f>
        <v>0</v>
      </c>
      <c r="U89" s="191">
        <f>'Functional Levels Drone Survey'!U89-'Existing Levels Drone Survey'!U89</f>
        <v>0</v>
      </c>
      <c r="V89" s="191">
        <f>'Functional Levels Drone Survey'!V89-'Existing Levels Drone Survey'!V89</f>
        <v>0</v>
      </c>
      <c r="W89" s="191">
        <f>'Functional Levels Drone Survey'!W89-'Existing Levels Drone Survey'!W89</f>
        <v>0</v>
      </c>
      <c r="X89" s="191">
        <f>'Functional Levels Drone Survey'!X89-'Existing Levels Drone Survey'!X89</f>
        <v>0</v>
      </c>
      <c r="Y89" s="191">
        <f>'Functional Levels Drone Survey'!Y89-'Existing Levels Drone Survey'!Y89</f>
        <v>0</v>
      </c>
      <c r="Z89" s="191">
        <f>'Functional Levels Drone Survey'!Z89-'Existing Levels Drone Survey'!Z89</f>
        <v>0</v>
      </c>
      <c r="AA89" s="191">
        <f>'Functional Levels Drone Survey'!AA89-'Existing Levels Drone Survey'!AA89</f>
        <v>0</v>
      </c>
      <c r="AB89" s="191">
        <f>'Functional Levels Drone Survey'!AB89-'Existing Levels Drone Survey'!AB89</f>
        <v>0</v>
      </c>
      <c r="AC89" s="191">
        <f>'Functional Levels Drone Survey'!AC89-'Existing Levels Drone Survey'!AC89</f>
        <v>0</v>
      </c>
      <c r="AD89" s="191">
        <f>'Functional Levels Drone Survey'!AD89-'Existing Levels Drone Survey'!AD89</f>
        <v>0</v>
      </c>
      <c r="AE89" s="191">
        <f>'Functional Levels Drone Survey'!AE89-'Existing Levels Drone Survey'!AE89</f>
        <v>0</v>
      </c>
      <c r="AF89" s="191">
        <f>'Functional Levels Drone Survey'!AF89-'Existing Levels Drone Survey'!AF89</f>
        <v>0</v>
      </c>
      <c r="AG89" s="191">
        <f>'Functional Levels Drone Survey'!AG89-'Existing Levels Drone Survey'!AG89</f>
        <v>0</v>
      </c>
      <c r="AH89" s="191">
        <f>'Functional Levels Drone Survey'!AH89-'Existing Levels Drone Survey'!AH89</f>
        <v>0</v>
      </c>
      <c r="AI89" s="191">
        <f>'Functional Levels Drone Survey'!AI89-'Existing Levels Drone Survey'!AI89</f>
        <v>0</v>
      </c>
      <c r="AJ89" s="191">
        <f>'Functional Levels Drone Survey'!AJ89-'Existing Levels Drone Survey'!AJ89</f>
        <v>0</v>
      </c>
      <c r="AK89" s="191">
        <f>'Functional Levels Drone Survey'!AK89-'Existing Levels Drone Survey'!AK89</f>
        <v>0</v>
      </c>
      <c r="AL89" s="191">
        <f>'Functional Levels Drone Survey'!AL89-'Existing Levels Drone Survey'!AL89</f>
        <v>0</v>
      </c>
      <c r="AM89" s="191">
        <f>'Functional Levels Drone Survey'!AM89-'Existing Levels Drone Survey'!AM89</f>
        <v>0</v>
      </c>
      <c r="AN89" s="191">
        <f>'Functional Levels Drone Survey'!AN89-'Existing Levels Drone Survey'!AN89</f>
        <v>0</v>
      </c>
      <c r="AO89" s="191">
        <f>'Functional Levels Drone Survey'!AO89-'Existing Levels Drone Survey'!AO89</f>
        <v>0</v>
      </c>
      <c r="AP89" s="191">
        <f>'Functional Levels Drone Survey'!AP89-'Existing Levels Drone Survey'!AP89</f>
        <v>0</v>
      </c>
      <c r="AQ89" s="191">
        <f>'Functional Levels Drone Survey'!AQ89-'Existing Levels Drone Survey'!AQ89</f>
        <v>0</v>
      </c>
      <c r="AR89" s="191">
        <f>'Functional Levels Drone Survey'!AR89-'Existing Levels Drone Survey'!AR89</f>
        <v>0</v>
      </c>
      <c r="AS89" s="191">
        <f>'Functional Levels Drone Survey'!AS89-'Existing Levels Drone Survey'!AS89</f>
        <v>0</v>
      </c>
      <c r="AT89" s="191">
        <f>'Functional Levels Drone Survey'!AT89-'Existing Levels Drone Survey'!AT89</f>
        <v>0</v>
      </c>
      <c r="AU89" s="191">
        <f>'Functional Levels Drone Survey'!AU89-'Existing Levels Drone Survey'!AU89</f>
        <v>0</v>
      </c>
      <c r="AV89" s="191">
        <f>'Functional Levels Drone Survey'!AV89-'Existing Levels Drone Survey'!AV89</f>
        <v>0</v>
      </c>
      <c r="AW89" s="191">
        <f>'Functional Levels Drone Survey'!AW89-'Existing Levels Drone Survey'!AW89</f>
        <v>0</v>
      </c>
      <c r="AX89" s="191">
        <f>'Functional Levels Drone Survey'!AX89-'Existing Levels Drone Survey'!AX89</f>
        <v>0</v>
      </c>
      <c r="AY89" s="191">
        <f>'Functional Levels Drone Survey'!AY89-'Existing Levels Drone Survey'!AY89</f>
        <v>0</v>
      </c>
      <c r="AZ89" s="191">
        <f>'Functional Levels Drone Survey'!AZ89-'Existing Levels Drone Survey'!AZ89</f>
        <v>0</v>
      </c>
      <c r="BA89" s="191">
        <f>'Functional Levels Drone Survey'!BA89-'Existing Levels Drone Survey'!BA89</f>
        <v>0</v>
      </c>
      <c r="BB89" s="191">
        <f>'Functional Levels Drone Survey'!BB89-'Existing Levels Drone Survey'!BB89</f>
        <v>0</v>
      </c>
      <c r="BC89" s="191">
        <f>'Functional Levels Drone Survey'!BC89-'Existing Levels Drone Survey'!BC89</f>
        <v>0</v>
      </c>
      <c r="BD89" s="191">
        <f>'Functional Levels Drone Survey'!BD89-'Existing Levels Drone Survey'!BD89</f>
        <v>0</v>
      </c>
      <c r="BE89" s="191">
        <f>'Functional Levels Drone Survey'!BE89-'Existing Levels Drone Survey'!BE89</f>
        <v>0</v>
      </c>
      <c r="BF89" s="191">
        <f>'Functional Levels Drone Survey'!BF89-'Existing Levels Drone Survey'!BF89</f>
        <v>0</v>
      </c>
      <c r="BG89" s="191">
        <f>'Functional Levels Drone Survey'!BG89-'Existing Levels Drone Survey'!BG89</f>
        <v>0</v>
      </c>
      <c r="BH89" s="191">
        <f>'Functional Levels Drone Survey'!BH89-'Existing Levels Drone Survey'!BH89</f>
        <v>0</v>
      </c>
      <c r="BI89" s="191">
        <f>'Functional Levels Drone Survey'!BI89-'Existing Levels Drone Survey'!BI89</f>
        <v>0</v>
      </c>
      <c r="BJ89" s="191">
        <f>'Functional Levels Drone Survey'!BJ89-'Existing Levels Drone Survey'!BJ89</f>
        <v>0</v>
      </c>
      <c r="BK89" s="191">
        <f>'Functional Levels Drone Survey'!BK89-'Existing Levels Drone Survey'!BK89</f>
        <v>0</v>
      </c>
      <c r="BL89" s="191">
        <f>'Functional Levels Drone Survey'!BL89-'Existing Levels Drone Survey'!BL89</f>
        <v>0</v>
      </c>
      <c r="BM89" s="191">
        <f>'Functional Levels Drone Survey'!BM89-'Existing Levels Drone Survey'!BM89</f>
        <v>0</v>
      </c>
      <c r="BN89" s="191">
        <f>'Functional Levels Drone Survey'!BN89-'Existing Levels Drone Survey'!BN89</f>
        <v>0</v>
      </c>
      <c r="BO89" s="191">
        <f>'Functional Levels Drone Survey'!BO89-'Existing Levels Drone Survey'!BO89</f>
        <v>0</v>
      </c>
      <c r="BP89" s="191">
        <f>'Functional Levels Drone Survey'!BP89-'Existing Levels Drone Survey'!BP89</f>
        <v>0</v>
      </c>
      <c r="BQ89" s="191">
        <f>'Functional Levels Drone Survey'!BQ89-'Existing Levels Drone Survey'!BQ89</f>
        <v>0</v>
      </c>
      <c r="BR89" s="191">
        <f>'Functional Levels Drone Survey'!BR89-'Existing Levels Drone Survey'!BR89</f>
        <v>0</v>
      </c>
      <c r="BS89" s="191">
        <f>'Functional Levels Drone Survey'!BS89-'Existing Levels Drone Survey'!BS89</f>
        <v>0</v>
      </c>
      <c r="BT89" s="191">
        <f>'Functional Levels Drone Survey'!BT89-'Existing Levels Drone Survey'!BT89</f>
        <v>0</v>
      </c>
      <c r="BU89" s="191">
        <f>'Functional Levels Drone Survey'!BU89-'Existing Levels Drone Survey'!BU89</f>
        <v>0</v>
      </c>
      <c r="BV89" s="191">
        <f>'Functional Levels Drone Survey'!BV89-'Existing Levels Drone Survey'!BV89</f>
        <v>0</v>
      </c>
      <c r="BW89" s="191">
        <f>'Functional Levels Drone Survey'!BW89-'Existing Levels Drone Survey'!BW89</f>
        <v>0</v>
      </c>
      <c r="BX89" s="191">
        <f>'Functional Levels Drone Survey'!BX89-'Existing Levels Drone Survey'!BX89</f>
        <v>0</v>
      </c>
      <c r="BY89" s="191">
        <f>'Functional Levels Drone Survey'!BY89-'Existing Levels Drone Survey'!BY89</f>
        <v>0</v>
      </c>
      <c r="BZ89" s="191">
        <f>'Functional Levels Drone Survey'!BZ89-'Existing Levels Drone Survey'!BZ89</f>
        <v>0</v>
      </c>
      <c r="CA89" s="191">
        <f>'Functional Levels Drone Survey'!CA89-'Existing Levels Drone Survey'!CA89</f>
        <v>0</v>
      </c>
      <c r="CB89" s="191">
        <f>'Functional Levels Drone Survey'!CB89-'Existing Levels Drone Survey'!CB89</f>
        <v>0</v>
      </c>
      <c r="CC89" s="191">
        <f>'Functional Levels Drone Survey'!CC89-'Existing Levels Drone Survey'!CC89</f>
        <v>0</v>
      </c>
      <c r="CD89" s="191">
        <f>'Functional Levels Drone Survey'!CD89-'Existing Levels Drone Survey'!CD89</f>
        <v>0</v>
      </c>
      <c r="CE89" s="191">
        <f>'Functional Levels Drone Survey'!CE89-'Existing Levels Drone Survey'!CE89</f>
        <v>0</v>
      </c>
      <c r="CF89" s="191">
        <f>'Functional Levels Drone Survey'!CF89-'Existing Levels Drone Survey'!CF89</f>
        <v>0</v>
      </c>
      <c r="CG89" s="191">
        <f>'Functional Levels Drone Survey'!CG89-'Existing Levels Drone Survey'!CG89</f>
        <v>0</v>
      </c>
      <c r="CH89" s="191">
        <f>'Functional Levels Drone Survey'!CH89-'Existing Levels Drone Survey'!CH89</f>
        <v>0</v>
      </c>
      <c r="CI89" s="191">
        <f>'Functional Levels Drone Survey'!CI89-'Existing Levels Drone Survey'!CI89</f>
        <v>0</v>
      </c>
      <c r="CJ89" s="191">
        <f>'Functional Levels Drone Survey'!CJ89-'Existing Levels Drone Survey'!CJ89</f>
        <v>0</v>
      </c>
      <c r="CK89" s="191">
        <f>'Functional Levels Drone Survey'!CK89-'Existing Levels Drone Survey'!CK89</f>
        <v>0</v>
      </c>
      <c r="CL89" s="191">
        <f>'Functional Levels Drone Survey'!CL89-'Existing Levels Drone Survey'!CL89</f>
        <v>0</v>
      </c>
      <c r="CM89" s="191">
        <f>'Functional Levels Drone Survey'!CM89-'Existing Levels Drone Survey'!CM89</f>
        <v>0</v>
      </c>
      <c r="CN89" s="191">
        <f>'Functional Levels Drone Survey'!CN89-'Existing Levels Drone Survey'!CN89</f>
        <v>0</v>
      </c>
      <c r="CO89" s="191">
        <f>'Functional Levels Drone Survey'!CO89-'Existing Levels Drone Survey'!CO89</f>
        <v>0</v>
      </c>
      <c r="CP89" s="191">
        <f>'Functional Levels Drone Survey'!CP89-'Existing Levels Drone Survey'!CP89</f>
        <v>0</v>
      </c>
      <c r="CQ89" s="191">
        <f>'Functional Levels Drone Survey'!CQ89-'Existing Levels Drone Survey'!CQ89</f>
        <v>0</v>
      </c>
      <c r="CR89" s="191">
        <f>'Functional Levels Drone Survey'!CR89-'Existing Levels Drone Survey'!CR89</f>
        <v>0</v>
      </c>
      <c r="CS89" s="191">
        <f>'Functional Levels Drone Survey'!CS89-'Existing Levels Drone Survey'!CS89</f>
        <v>0</v>
      </c>
      <c r="CT89" s="191">
        <f>'Functional Levels Drone Survey'!CT89-'Existing Levels Drone Survey'!CT89</f>
        <v>0</v>
      </c>
      <c r="CU89" s="191">
        <f>'Functional Levels Drone Survey'!CU89-'Existing Levels Drone Survey'!CU89</f>
        <v>0</v>
      </c>
      <c r="CV89" s="191">
        <f>'Functional Levels Drone Survey'!CV89-'Existing Levels Drone Survey'!CV89</f>
        <v>0</v>
      </c>
      <c r="CW89" s="191">
        <f>'Functional Levels Drone Survey'!CW89-'Existing Levels Drone Survey'!CW89</f>
        <v>0</v>
      </c>
      <c r="CX89" s="191">
        <f>'Functional Levels Drone Survey'!CX89-'Existing Levels Drone Survey'!CX89</f>
        <v>0</v>
      </c>
      <c r="CY89" s="191">
        <f>'Functional Levels Drone Survey'!CY89-'Existing Levels Drone Survey'!CY89</f>
        <v>0</v>
      </c>
      <c r="CZ89" s="191">
        <f>'Functional Levels Drone Survey'!CZ89-'Existing Levels Drone Survey'!CZ89</f>
        <v>0</v>
      </c>
      <c r="DA89" s="191">
        <f>'Functional Levels Drone Survey'!DA89-'Existing Levels Drone Survey'!DA89</f>
        <v>0</v>
      </c>
      <c r="DB89" s="191">
        <f>'Functional Levels Drone Survey'!DB89-'Existing Levels Drone Survey'!DB89</f>
        <v>0</v>
      </c>
      <c r="DC89" s="191">
        <f>'Functional Levels Drone Survey'!DC89-'Existing Levels Drone Survey'!DC89</f>
        <v>0</v>
      </c>
      <c r="DD89" s="191">
        <f>'Functional Levels Drone Survey'!DD89-'Existing Levels Drone Survey'!DD89</f>
        <v>0</v>
      </c>
      <c r="DE89" s="191">
        <f>'Functional Levels Drone Survey'!DE89-'Existing Levels Drone Survey'!DE89</f>
        <v>0</v>
      </c>
      <c r="DF89" s="191">
        <f>'Functional Levels Drone Survey'!DF89-'Existing Levels Drone Survey'!DF89</f>
        <v>0</v>
      </c>
      <c r="DG89" s="191">
        <f>'Functional Levels Drone Survey'!DG89-'Existing Levels Drone Survey'!DG89</f>
        <v>0</v>
      </c>
      <c r="DH89" s="191">
        <f>'Functional Levels Drone Survey'!DH89-'Existing Levels Drone Survey'!DH89</f>
        <v>0</v>
      </c>
      <c r="DI89" s="191">
        <f>'Functional Levels Drone Survey'!DI89-'Existing Levels Drone Survey'!DI89</f>
        <v>0</v>
      </c>
      <c r="DJ89" s="191">
        <f>'Functional Levels Drone Survey'!DJ89-'Existing Levels Drone Survey'!DJ89</f>
        <v>0</v>
      </c>
      <c r="DK89" s="191">
        <f>'Functional Levels Drone Survey'!DK89-'Existing Levels Drone Survey'!DK89</f>
        <v>0</v>
      </c>
      <c r="DL89" s="191">
        <f>'Functional Levels Drone Survey'!DL89-'Existing Levels Drone Survey'!DL89</f>
        <v>0</v>
      </c>
      <c r="DM89" s="191">
        <f>'Functional Levels Drone Survey'!DM89-'Existing Levels Drone Survey'!DM89</f>
        <v>0</v>
      </c>
      <c r="DN89" s="191">
        <f>'Functional Levels Drone Survey'!DN89-'Existing Levels Drone Survey'!DN89</f>
        <v>0</v>
      </c>
      <c r="DO89" s="191">
        <f>'Functional Levels Drone Survey'!DO89-'Existing Levels Drone Survey'!DO89</f>
        <v>0</v>
      </c>
      <c r="DP89" s="191">
        <f>'Functional Levels Drone Survey'!DP89-'Existing Levels Drone Survey'!DP89</f>
        <v>0</v>
      </c>
      <c r="DQ89" s="191">
        <f>'Functional Levels Drone Survey'!DQ89-'Existing Levels Drone Survey'!DQ89</f>
        <v>0</v>
      </c>
      <c r="DR89" s="191">
        <f>'Functional Levels Drone Survey'!DR89-'Existing Levels Drone Survey'!DR89</f>
        <v>0</v>
      </c>
      <c r="DS89" s="191">
        <f>'Functional Levels Drone Survey'!DS89-'Existing Levels Drone Survey'!DS89</f>
        <v>0</v>
      </c>
      <c r="DT89" s="191">
        <f>'Functional Levels Drone Survey'!DT89-'Existing Levels Drone Survey'!DT89</f>
        <v>0</v>
      </c>
      <c r="DU89" s="191">
        <f>'Functional Levels Drone Survey'!DU89-'Existing Levels Drone Survey'!DU89</f>
        <v>0</v>
      </c>
      <c r="DV89" s="191">
        <f>'Functional Levels Drone Survey'!DV89-'Existing Levels Drone Survey'!DV89</f>
        <v>0</v>
      </c>
      <c r="DW89" s="191">
        <f>'Functional Levels Drone Survey'!DW89-'Existing Levels Drone Survey'!DW89</f>
        <v>0</v>
      </c>
      <c r="DX89" s="191">
        <f>'Functional Levels Drone Survey'!DX89-'Existing Levels Drone Survey'!DX89</f>
        <v>0</v>
      </c>
      <c r="DY89" s="191">
        <f>'Functional Levels Drone Survey'!DY89-'Existing Levels Drone Survey'!DY89</f>
        <v>0</v>
      </c>
      <c r="DZ89" s="191">
        <f>'Functional Levels Drone Survey'!DZ89-'Existing Levels Drone Survey'!DZ89</f>
        <v>0</v>
      </c>
      <c r="EA89" s="191">
        <f>'Functional Levels Drone Survey'!EA89-'Existing Levels Drone Survey'!EA89</f>
        <v>0</v>
      </c>
      <c r="EB89" s="191">
        <f>'Functional Levels Drone Survey'!EB89-'Existing Levels Drone Survey'!EB89</f>
        <v>0</v>
      </c>
      <c r="EC89" s="191">
        <f>'Functional Levels Drone Survey'!EC89-'Existing Levels Drone Survey'!EC89</f>
        <v>0</v>
      </c>
      <c r="ED89" s="191">
        <f>'Functional Levels Drone Survey'!ED89-'Existing Levels Drone Survey'!ED89</f>
        <v>0</v>
      </c>
      <c r="EE89" s="191">
        <f>'Functional Levels Drone Survey'!EE89-'Existing Levels Drone Survey'!EE89</f>
        <v>0</v>
      </c>
      <c r="EF89" s="191">
        <f>'Functional Levels Drone Survey'!EF89-'Existing Levels Drone Survey'!EF89</f>
        <v>0</v>
      </c>
      <c r="EG89" s="191">
        <f>'Functional Levels Drone Survey'!EG89-'Existing Levels Drone Survey'!EG89</f>
        <v>0</v>
      </c>
      <c r="EH89" s="191">
        <f>'Functional Levels Drone Survey'!EH89-'Existing Levels Drone Survey'!EH89</f>
        <v>0</v>
      </c>
      <c r="EI89" s="191">
        <f>'Functional Levels Drone Survey'!EI89-'Existing Levels Drone Survey'!EI89</f>
        <v>0</v>
      </c>
      <c r="EJ89" s="191">
        <f>'Functional Levels Drone Survey'!EJ89-'Existing Levels Drone Survey'!EJ89</f>
        <v>0</v>
      </c>
      <c r="EK89" s="191">
        <f>'Functional Levels Drone Survey'!EK89-'Existing Levels Drone Survey'!EK89</f>
        <v>0</v>
      </c>
      <c r="EL89" s="191">
        <f>'Functional Levels Drone Survey'!EL89-'Existing Levels Drone Survey'!EL89</f>
        <v>0</v>
      </c>
      <c r="EM89" s="191">
        <f>'Functional Levels Drone Survey'!EM89-'Existing Levels Drone Survey'!EM89</f>
        <v>0</v>
      </c>
      <c r="EN89" s="191">
        <f>'Functional Levels Drone Survey'!EN89-'Existing Levels Drone Survey'!EN89</f>
        <v>0</v>
      </c>
      <c r="EO89" s="191">
        <f>'Functional Levels Drone Survey'!EO89-'Existing Levels Drone Survey'!EO89</f>
        <v>0</v>
      </c>
      <c r="EP89" s="191">
        <f>'Functional Levels Drone Survey'!EP89-'Existing Levels Drone Survey'!EP89</f>
        <v>0</v>
      </c>
      <c r="EQ89" s="191">
        <f>'Functional Levels Drone Survey'!EQ89-'Existing Levels Drone Survey'!EQ89</f>
        <v>0</v>
      </c>
      <c r="ER89" s="191">
        <f>'Functional Levels Drone Survey'!ER89-'Existing Levels Drone Survey'!ER89</f>
        <v>0</v>
      </c>
      <c r="ES89" s="191">
        <f>'Functional Levels Drone Survey'!ES89-'Existing Levels Drone Survey'!ES89</f>
        <v>0</v>
      </c>
      <c r="ET89" s="191">
        <f>'Functional Levels Drone Survey'!ET89-'Existing Levels Drone Survey'!ET89</f>
        <v>0</v>
      </c>
      <c r="EU89" s="191">
        <f>'Functional Levels Drone Survey'!EU89-'Existing Levels Drone Survey'!EU89</f>
        <v>0</v>
      </c>
      <c r="EV89" s="191">
        <f>'Functional Levels Drone Survey'!EV89-'Existing Levels Drone Survey'!EV89</f>
        <v>0</v>
      </c>
      <c r="EW89" s="191">
        <f>'Functional Levels Drone Survey'!EW89-'Existing Levels Drone Survey'!EW89</f>
        <v>0</v>
      </c>
      <c r="EX89" s="191">
        <f>'Functional Levels Drone Survey'!EX89-'Existing Levels Drone Survey'!EX89</f>
        <v>0</v>
      </c>
      <c r="EY89" s="191">
        <f>'Functional Levels Drone Survey'!EY89-'Existing Levels Drone Survey'!EY89</f>
        <v>0</v>
      </c>
    </row>
    <row r="90" spans="1:159" ht="45" customHeight="1" x14ac:dyDescent="0.45">
      <c r="A90" s="277">
        <v>445</v>
      </c>
      <c r="B90" s="191">
        <f>'Functional Levels Drone Survey'!B90-'Existing Levels Drone Survey'!B90</f>
        <v>0</v>
      </c>
      <c r="C90" s="191">
        <f>'Functional Levels Drone Survey'!C90-'Existing Levels Drone Survey'!C90</f>
        <v>0</v>
      </c>
      <c r="D90" s="191">
        <f>'Functional Levels Drone Survey'!D90-'Existing Levels Drone Survey'!D90</f>
        <v>0</v>
      </c>
      <c r="E90" s="191">
        <f>'Functional Levels Drone Survey'!E90-'Existing Levels Drone Survey'!E90</f>
        <v>0</v>
      </c>
      <c r="F90" s="191">
        <f>'Functional Levels Drone Survey'!F90-'Existing Levels Drone Survey'!F90</f>
        <v>0</v>
      </c>
      <c r="G90" s="191">
        <f>'Functional Levels Drone Survey'!G90-'Existing Levels Drone Survey'!G90</f>
        <v>0</v>
      </c>
      <c r="H90" s="191">
        <f>'Functional Levels Drone Survey'!H90-'Existing Levels Drone Survey'!H90</f>
        <v>0</v>
      </c>
      <c r="I90" s="191">
        <f>'Functional Levels Drone Survey'!I90-'Existing Levels Drone Survey'!I90</f>
        <v>0</v>
      </c>
      <c r="J90" s="191">
        <f>'Functional Levels Drone Survey'!J90-'Existing Levels Drone Survey'!J90</f>
        <v>0</v>
      </c>
      <c r="K90" s="191">
        <f>'Functional Levels Drone Survey'!K90-'Existing Levels Drone Survey'!K90</f>
        <v>0</v>
      </c>
      <c r="L90" s="191">
        <f>'Functional Levels Drone Survey'!L90-'Existing Levels Drone Survey'!L90</f>
        <v>0</v>
      </c>
      <c r="M90" s="191">
        <f>'Functional Levels Drone Survey'!M90-'Existing Levels Drone Survey'!M90</f>
        <v>0</v>
      </c>
      <c r="N90" s="191">
        <f>'Functional Levels Drone Survey'!N90-'Existing Levels Drone Survey'!N90</f>
        <v>0</v>
      </c>
      <c r="O90" s="191">
        <f>'Functional Levels Drone Survey'!O90-'Existing Levels Drone Survey'!O90</f>
        <v>0</v>
      </c>
      <c r="P90" s="191">
        <f>'Functional Levels Drone Survey'!P90-'Existing Levels Drone Survey'!P90</f>
        <v>0</v>
      </c>
      <c r="Q90" s="191">
        <f>'Functional Levels Drone Survey'!Q90-'Existing Levels Drone Survey'!Q90</f>
        <v>0</v>
      </c>
      <c r="R90" s="191">
        <f>'Functional Levels Drone Survey'!R90-'Existing Levels Drone Survey'!R90</f>
        <v>0</v>
      </c>
      <c r="S90" s="191">
        <f>'Functional Levels Drone Survey'!S90-'Existing Levels Drone Survey'!S90</f>
        <v>0</v>
      </c>
      <c r="T90" s="191">
        <f>'Functional Levels Drone Survey'!T90-'Existing Levels Drone Survey'!T90</f>
        <v>0</v>
      </c>
      <c r="U90" s="191">
        <f>'Functional Levels Drone Survey'!U90-'Existing Levels Drone Survey'!U90</f>
        <v>0</v>
      </c>
      <c r="V90" s="191">
        <f>'Functional Levels Drone Survey'!V90-'Existing Levels Drone Survey'!V90</f>
        <v>0</v>
      </c>
      <c r="W90" s="191">
        <f>'Functional Levels Drone Survey'!W90-'Existing Levels Drone Survey'!W90</f>
        <v>0</v>
      </c>
      <c r="X90" s="191">
        <f>'Functional Levels Drone Survey'!X90-'Existing Levels Drone Survey'!X90</f>
        <v>0</v>
      </c>
      <c r="Y90" s="191">
        <f>'Functional Levels Drone Survey'!Y90-'Existing Levels Drone Survey'!Y90</f>
        <v>0</v>
      </c>
      <c r="Z90" s="191">
        <f>'Functional Levels Drone Survey'!Z90-'Existing Levels Drone Survey'!Z90</f>
        <v>0</v>
      </c>
      <c r="AA90" s="191">
        <f>'Functional Levels Drone Survey'!AA90-'Existing Levels Drone Survey'!AA90</f>
        <v>0</v>
      </c>
      <c r="AB90" s="191">
        <f>'Functional Levels Drone Survey'!AB90-'Existing Levels Drone Survey'!AB90</f>
        <v>0</v>
      </c>
      <c r="AC90" s="191">
        <f>'Functional Levels Drone Survey'!AC90-'Existing Levels Drone Survey'!AC90</f>
        <v>0</v>
      </c>
      <c r="AD90" s="191">
        <f>'Functional Levels Drone Survey'!AD90-'Existing Levels Drone Survey'!AD90</f>
        <v>0</v>
      </c>
      <c r="AE90" s="191">
        <f>'Functional Levels Drone Survey'!AE90-'Existing Levels Drone Survey'!AE90</f>
        <v>0</v>
      </c>
      <c r="AF90" s="191">
        <f>'Functional Levels Drone Survey'!AF90-'Existing Levels Drone Survey'!AF90</f>
        <v>0</v>
      </c>
      <c r="AG90" s="191">
        <f>'Functional Levels Drone Survey'!AG90-'Existing Levels Drone Survey'!AG90</f>
        <v>0</v>
      </c>
      <c r="AH90" s="191">
        <f>'Functional Levels Drone Survey'!AH90-'Existing Levels Drone Survey'!AH90</f>
        <v>0</v>
      </c>
      <c r="AI90" s="191">
        <f>'Functional Levels Drone Survey'!AI90-'Existing Levels Drone Survey'!AI90</f>
        <v>0</v>
      </c>
      <c r="AJ90" s="191">
        <f>'Functional Levels Drone Survey'!AJ90-'Existing Levels Drone Survey'!AJ90</f>
        <v>0</v>
      </c>
      <c r="AK90" s="191">
        <f>'Functional Levels Drone Survey'!AK90-'Existing Levels Drone Survey'!AK90</f>
        <v>0</v>
      </c>
      <c r="AL90" s="191">
        <f>'Functional Levels Drone Survey'!AL90-'Existing Levels Drone Survey'!AL90</f>
        <v>0</v>
      </c>
      <c r="AM90" s="191">
        <f>'Functional Levels Drone Survey'!AM90-'Existing Levels Drone Survey'!AM90</f>
        <v>0</v>
      </c>
      <c r="AN90" s="191">
        <f>'Functional Levels Drone Survey'!AN90-'Existing Levels Drone Survey'!AN90</f>
        <v>0</v>
      </c>
      <c r="AO90" s="191">
        <f>'Functional Levels Drone Survey'!AO90-'Existing Levels Drone Survey'!AO90</f>
        <v>0</v>
      </c>
      <c r="AP90" s="191">
        <f>'Functional Levels Drone Survey'!AP90-'Existing Levels Drone Survey'!AP90</f>
        <v>0</v>
      </c>
      <c r="AQ90" s="191">
        <f>'Functional Levels Drone Survey'!AQ90-'Existing Levels Drone Survey'!AQ90</f>
        <v>0</v>
      </c>
      <c r="AR90" s="191">
        <f>'Functional Levels Drone Survey'!AR90-'Existing Levels Drone Survey'!AR90</f>
        <v>0</v>
      </c>
      <c r="AS90" s="191">
        <f>'Functional Levels Drone Survey'!AS90-'Existing Levels Drone Survey'!AS90</f>
        <v>0</v>
      </c>
      <c r="AT90" s="191">
        <f>'Functional Levels Drone Survey'!AT90-'Existing Levels Drone Survey'!AT90</f>
        <v>0</v>
      </c>
      <c r="AU90" s="191">
        <f>'Functional Levels Drone Survey'!AU90-'Existing Levels Drone Survey'!AU90</f>
        <v>0</v>
      </c>
      <c r="AV90" s="191">
        <f>'Functional Levels Drone Survey'!AV90-'Existing Levels Drone Survey'!AV90</f>
        <v>0</v>
      </c>
      <c r="AW90" s="191">
        <f>'Functional Levels Drone Survey'!AW90-'Existing Levels Drone Survey'!AW90</f>
        <v>0</v>
      </c>
      <c r="AX90" s="191">
        <f>'Functional Levels Drone Survey'!AX90-'Existing Levels Drone Survey'!AX90</f>
        <v>0</v>
      </c>
      <c r="AY90" s="191">
        <f>'Functional Levels Drone Survey'!AY90-'Existing Levels Drone Survey'!AY90</f>
        <v>0</v>
      </c>
      <c r="AZ90" s="191">
        <f>'Functional Levels Drone Survey'!AZ90-'Existing Levels Drone Survey'!AZ90</f>
        <v>0</v>
      </c>
      <c r="BA90" s="191">
        <f>'Functional Levels Drone Survey'!BA90-'Existing Levels Drone Survey'!BA90</f>
        <v>0</v>
      </c>
      <c r="BB90" s="191">
        <f>'Functional Levels Drone Survey'!BB90-'Existing Levels Drone Survey'!BB90</f>
        <v>0</v>
      </c>
      <c r="BC90" s="191">
        <f>'Functional Levels Drone Survey'!BC90-'Existing Levels Drone Survey'!BC90</f>
        <v>0</v>
      </c>
      <c r="BD90" s="191">
        <f>'Functional Levels Drone Survey'!BD90-'Existing Levels Drone Survey'!BD90</f>
        <v>0</v>
      </c>
      <c r="BE90" s="191">
        <f>'Functional Levels Drone Survey'!BE90-'Existing Levels Drone Survey'!BE90</f>
        <v>0</v>
      </c>
      <c r="BF90" s="191">
        <f>'Functional Levels Drone Survey'!BF90-'Existing Levels Drone Survey'!BF90</f>
        <v>0</v>
      </c>
      <c r="BG90" s="191">
        <f>'Functional Levels Drone Survey'!BG90-'Existing Levels Drone Survey'!BG90</f>
        <v>0</v>
      </c>
      <c r="BH90" s="191">
        <f>'Functional Levels Drone Survey'!BH90-'Existing Levels Drone Survey'!BH90</f>
        <v>0</v>
      </c>
      <c r="BI90" s="191">
        <f>'Functional Levels Drone Survey'!BI90-'Existing Levels Drone Survey'!BI90</f>
        <v>0</v>
      </c>
      <c r="BJ90" s="191">
        <f>'Functional Levels Drone Survey'!BJ90-'Existing Levels Drone Survey'!BJ90</f>
        <v>0</v>
      </c>
      <c r="BK90" s="191">
        <f>'Functional Levels Drone Survey'!BK90-'Existing Levels Drone Survey'!BK90</f>
        <v>0</v>
      </c>
      <c r="BL90" s="191">
        <f>'Functional Levels Drone Survey'!BL90-'Existing Levels Drone Survey'!BL90</f>
        <v>0</v>
      </c>
      <c r="BM90" s="191">
        <f>'Functional Levels Drone Survey'!BM90-'Existing Levels Drone Survey'!BM90</f>
        <v>0</v>
      </c>
      <c r="BN90" s="191">
        <f>'Functional Levels Drone Survey'!BN90-'Existing Levels Drone Survey'!BN90</f>
        <v>0</v>
      </c>
      <c r="BO90" s="191">
        <f>'Functional Levels Drone Survey'!BO90-'Existing Levels Drone Survey'!BO90</f>
        <v>0</v>
      </c>
      <c r="BP90" s="191">
        <f>'Functional Levels Drone Survey'!BP90-'Existing Levels Drone Survey'!BP90</f>
        <v>0</v>
      </c>
      <c r="BQ90" s="191">
        <f>'Functional Levels Drone Survey'!BQ90-'Existing Levels Drone Survey'!BQ90</f>
        <v>0</v>
      </c>
      <c r="BR90" s="191">
        <f>'Functional Levels Drone Survey'!BR90-'Existing Levels Drone Survey'!BR90</f>
        <v>0</v>
      </c>
      <c r="BS90" s="191">
        <f>'Functional Levels Drone Survey'!BS90-'Existing Levels Drone Survey'!BS90</f>
        <v>0</v>
      </c>
      <c r="BT90" s="191">
        <f>'Functional Levels Drone Survey'!BT90-'Existing Levels Drone Survey'!BT90</f>
        <v>0</v>
      </c>
      <c r="BU90" s="191">
        <f>'Functional Levels Drone Survey'!BU90-'Existing Levels Drone Survey'!BU90</f>
        <v>0</v>
      </c>
      <c r="BV90" s="191">
        <f>'Functional Levels Drone Survey'!BV90-'Existing Levels Drone Survey'!BV90</f>
        <v>0</v>
      </c>
      <c r="BW90" s="191">
        <f>'Functional Levels Drone Survey'!BW90-'Existing Levels Drone Survey'!BW90</f>
        <v>0</v>
      </c>
      <c r="BX90" s="191">
        <f>'Functional Levels Drone Survey'!BX90-'Existing Levels Drone Survey'!BX90</f>
        <v>0</v>
      </c>
      <c r="BY90" s="191">
        <f>'Functional Levels Drone Survey'!BY90-'Existing Levels Drone Survey'!BY90</f>
        <v>0</v>
      </c>
      <c r="BZ90" s="191">
        <f>'Functional Levels Drone Survey'!BZ90-'Existing Levels Drone Survey'!BZ90</f>
        <v>0</v>
      </c>
      <c r="CA90" s="191">
        <f>'Functional Levels Drone Survey'!CA90-'Existing Levels Drone Survey'!CA90</f>
        <v>0</v>
      </c>
      <c r="CB90" s="191">
        <f>'Functional Levels Drone Survey'!CB90-'Existing Levels Drone Survey'!CB90</f>
        <v>0</v>
      </c>
      <c r="CC90" s="191">
        <f>'Functional Levels Drone Survey'!CC90-'Existing Levels Drone Survey'!CC90</f>
        <v>0</v>
      </c>
      <c r="CD90" s="191">
        <f>'Functional Levels Drone Survey'!CD90-'Existing Levels Drone Survey'!CD90</f>
        <v>0</v>
      </c>
      <c r="CE90" s="191">
        <f>'Functional Levels Drone Survey'!CE90-'Existing Levels Drone Survey'!CE90</f>
        <v>0</v>
      </c>
      <c r="CF90" s="191">
        <f>'Functional Levels Drone Survey'!CF90-'Existing Levels Drone Survey'!CF90</f>
        <v>0</v>
      </c>
      <c r="CG90" s="191">
        <f>'Functional Levels Drone Survey'!CG90-'Existing Levels Drone Survey'!CG90</f>
        <v>0</v>
      </c>
      <c r="CH90" s="191">
        <f>'Functional Levels Drone Survey'!CH90-'Existing Levels Drone Survey'!CH90</f>
        <v>0</v>
      </c>
      <c r="CI90" s="191">
        <f>'Functional Levels Drone Survey'!CI90-'Existing Levels Drone Survey'!CI90</f>
        <v>0</v>
      </c>
      <c r="CJ90" s="191">
        <f>'Functional Levels Drone Survey'!CJ90-'Existing Levels Drone Survey'!CJ90</f>
        <v>0</v>
      </c>
      <c r="CK90" s="191">
        <f>'Functional Levels Drone Survey'!CK90-'Existing Levels Drone Survey'!CK90</f>
        <v>0</v>
      </c>
      <c r="CL90" s="191">
        <f>'Functional Levels Drone Survey'!CL90-'Existing Levels Drone Survey'!CL90</f>
        <v>0</v>
      </c>
      <c r="CM90" s="191">
        <f>'Functional Levels Drone Survey'!CM90-'Existing Levels Drone Survey'!CM90</f>
        <v>0</v>
      </c>
      <c r="CN90" s="191">
        <f>'Functional Levels Drone Survey'!CN90-'Existing Levels Drone Survey'!CN90</f>
        <v>0</v>
      </c>
      <c r="CO90" s="191">
        <f>'Functional Levels Drone Survey'!CO90-'Existing Levels Drone Survey'!CO90</f>
        <v>0</v>
      </c>
      <c r="CP90" s="191">
        <f>'Functional Levels Drone Survey'!CP90-'Existing Levels Drone Survey'!CP90</f>
        <v>0</v>
      </c>
      <c r="CQ90" s="191">
        <f>'Functional Levels Drone Survey'!CQ90-'Existing Levels Drone Survey'!CQ90</f>
        <v>0</v>
      </c>
      <c r="CR90" s="191">
        <f>'Functional Levels Drone Survey'!CR90-'Existing Levels Drone Survey'!CR90</f>
        <v>0</v>
      </c>
      <c r="CS90" s="191">
        <f>'Functional Levels Drone Survey'!CS90-'Existing Levels Drone Survey'!CS90</f>
        <v>0</v>
      </c>
      <c r="CT90" s="191">
        <f>'Functional Levels Drone Survey'!CT90-'Existing Levels Drone Survey'!CT90</f>
        <v>0</v>
      </c>
      <c r="CU90" s="191">
        <f>'Functional Levels Drone Survey'!CU90-'Existing Levels Drone Survey'!CU90</f>
        <v>0</v>
      </c>
      <c r="CV90" s="191">
        <f>'Functional Levels Drone Survey'!CV90-'Existing Levels Drone Survey'!CV90</f>
        <v>0</v>
      </c>
      <c r="CW90" s="191">
        <f>'Functional Levels Drone Survey'!CW90-'Existing Levels Drone Survey'!CW90</f>
        <v>0</v>
      </c>
      <c r="CX90" s="191">
        <f>'Functional Levels Drone Survey'!CX90-'Existing Levels Drone Survey'!CX90</f>
        <v>0</v>
      </c>
      <c r="CY90" s="191">
        <f>'Functional Levels Drone Survey'!CY90-'Existing Levels Drone Survey'!CY90</f>
        <v>0</v>
      </c>
      <c r="CZ90" s="191">
        <f>'Functional Levels Drone Survey'!CZ90-'Existing Levels Drone Survey'!CZ90</f>
        <v>0</v>
      </c>
      <c r="DA90" s="191">
        <f>'Functional Levels Drone Survey'!DA90-'Existing Levels Drone Survey'!DA90</f>
        <v>0</v>
      </c>
      <c r="DB90" s="191">
        <f>'Functional Levels Drone Survey'!DB90-'Existing Levels Drone Survey'!DB90</f>
        <v>0</v>
      </c>
      <c r="DC90" s="191">
        <f>'Functional Levels Drone Survey'!DC90-'Existing Levels Drone Survey'!DC90</f>
        <v>0</v>
      </c>
      <c r="DD90" s="191">
        <f>'Functional Levels Drone Survey'!DD90-'Existing Levels Drone Survey'!DD90</f>
        <v>0</v>
      </c>
      <c r="DE90" s="191">
        <f>'Functional Levels Drone Survey'!DE90-'Existing Levels Drone Survey'!DE90</f>
        <v>0</v>
      </c>
      <c r="DF90" s="191">
        <f>'Functional Levels Drone Survey'!DF90-'Existing Levels Drone Survey'!DF90</f>
        <v>0</v>
      </c>
      <c r="DG90" s="191">
        <f>'Functional Levels Drone Survey'!DG90-'Existing Levels Drone Survey'!DG90</f>
        <v>0</v>
      </c>
      <c r="DH90" s="191">
        <f>'Functional Levels Drone Survey'!DH90-'Existing Levels Drone Survey'!DH90</f>
        <v>0</v>
      </c>
      <c r="DI90" s="191">
        <f>'Functional Levels Drone Survey'!DI90-'Existing Levels Drone Survey'!DI90</f>
        <v>0</v>
      </c>
      <c r="DJ90" s="191">
        <f>'Functional Levels Drone Survey'!DJ90-'Existing Levels Drone Survey'!DJ90</f>
        <v>0</v>
      </c>
      <c r="DK90" s="191">
        <f>'Functional Levels Drone Survey'!DK90-'Existing Levels Drone Survey'!DK90</f>
        <v>0</v>
      </c>
      <c r="DL90" s="191">
        <f>'Functional Levels Drone Survey'!DL90-'Existing Levels Drone Survey'!DL90</f>
        <v>0</v>
      </c>
      <c r="DM90" s="191">
        <f>'Functional Levels Drone Survey'!DM90-'Existing Levels Drone Survey'!DM90</f>
        <v>0</v>
      </c>
      <c r="DN90" s="191">
        <f>'Functional Levels Drone Survey'!DN90-'Existing Levels Drone Survey'!DN90</f>
        <v>0</v>
      </c>
      <c r="DO90" s="191">
        <f>'Functional Levels Drone Survey'!DO90-'Existing Levels Drone Survey'!DO90</f>
        <v>0</v>
      </c>
      <c r="DP90" s="191">
        <f>'Functional Levels Drone Survey'!DP90-'Existing Levels Drone Survey'!DP90</f>
        <v>0</v>
      </c>
      <c r="DQ90" s="191">
        <f>'Functional Levels Drone Survey'!DQ90-'Existing Levels Drone Survey'!DQ90</f>
        <v>0</v>
      </c>
      <c r="DR90" s="191">
        <f>'Functional Levels Drone Survey'!DR90-'Existing Levels Drone Survey'!DR90</f>
        <v>0</v>
      </c>
      <c r="DS90" s="191">
        <f>'Functional Levels Drone Survey'!DS90-'Existing Levels Drone Survey'!DS90</f>
        <v>0</v>
      </c>
      <c r="DT90" s="191">
        <f>'Functional Levels Drone Survey'!DT90-'Existing Levels Drone Survey'!DT90</f>
        <v>0</v>
      </c>
      <c r="DU90" s="191">
        <f>'Functional Levels Drone Survey'!DU90-'Existing Levels Drone Survey'!DU90</f>
        <v>0</v>
      </c>
      <c r="DV90" s="191">
        <f>'Functional Levels Drone Survey'!DV90-'Existing Levels Drone Survey'!DV90</f>
        <v>0</v>
      </c>
      <c r="DW90" s="191">
        <f>'Functional Levels Drone Survey'!DW90-'Existing Levels Drone Survey'!DW90</f>
        <v>0</v>
      </c>
      <c r="DX90" s="191">
        <f>'Functional Levels Drone Survey'!DX90-'Existing Levels Drone Survey'!DX90</f>
        <v>0</v>
      </c>
      <c r="DY90" s="191">
        <f>'Functional Levels Drone Survey'!DY90-'Existing Levels Drone Survey'!DY90</f>
        <v>0</v>
      </c>
      <c r="DZ90" s="191">
        <f>'Functional Levels Drone Survey'!DZ90-'Existing Levels Drone Survey'!DZ90</f>
        <v>0</v>
      </c>
      <c r="EA90" s="191">
        <f>'Functional Levels Drone Survey'!EA90-'Existing Levels Drone Survey'!EA90</f>
        <v>0</v>
      </c>
      <c r="EB90" s="191">
        <f>'Functional Levels Drone Survey'!EB90-'Existing Levels Drone Survey'!EB90</f>
        <v>0</v>
      </c>
      <c r="EC90" s="191">
        <f>'Functional Levels Drone Survey'!EC90-'Existing Levels Drone Survey'!EC90</f>
        <v>0</v>
      </c>
      <c r="ED90" s="191">
        <f>'Functional Levels Drone Survey'!ED90-'Existing Levels Drone Survey'!ED90</f>
        <v>0</v>
      </c>
      <c r="EE90" s="191">
        <f>'Functional Levels Drone Survey'!EE90-'Existing Levels Drone Survey'!EE90</f>
        <v>0</v>
      </c>
      <c r="EF90" s="191">
        <f>'Functional Levels Drone Survey'!EF90-'Existing Levels Drone Survey'!EF90</f>
        <v>0</v>
      </c>
      <c r="EG90" s="191">
        <f>'Functional Levels Drone Survey'!EG90-'Existing Levels Drone Survey'!EG90</f>
        <v>0</v>
      </c>
      <c r="EH90" s="191">
        <f>'Functional Levels Drone Survey'!EH90-'Existing Levels Drone Survey'!EH90</f>
        <v>0</v>
      </c>
      <c r="EI90" s="191">
        <f>'Functional Levels Drone Survey'!EI90-'Existing Levels Drone Survey'!EI90</f>
        <v>0</v>
      </c>
      <c r="EJ90" s="191">
        <f>'Functional Levels Drone Survey'!EJ90-'Existing Levels Drone Survey'!EJ90</f>
        <v>0</v>
      </c>
      <c r="EK90" s="191">
        <f>'Functional Levels Drone Survey'!EK90-'Existing Levels Drone Survey'!EK90</f>
        <v>0</v>
      </c>
      <c r="EL90" s="191">
        <f>'Functional Levels Drone Survey'!EL90-'Existing Levels Drone Survey'!EL90</f>
        <v>0</v>
      </c>
      <c r="EM90" s="191">
        <f>'Functional Levels Drone Survey'!EM90-'Existing Levels Drone Survey'!EM90</f>
        <v>0</v>
      </c>
      <c r="EN90" s="191">
        <f>'Functional Levels Drone Survey'!EN90-'Existing Levels Drone Survey'!EN90</f>
        <v>0</v>
      </c>
      <c r="EO90" s="191">
        <f>'Functional Levels Drone Survey'!EO90-'Existing Levels Drone Survey'!EO90</f>
        <v>0</v>
      </c>
      <c r="EP90" s="191">
        <f>'Functional Levels Drone Survey'!EP90-'Existing Levels Drone Survey'!EP90</f>
        <v>0</v>
      </c>
      <c r="EQ90" s="191">
        <f>'Functional Levels Drone Survey'!EQ90-'Existing Levels Drone Survey'!EQ90</f>
        <v>0</v>
      </c>
      <c r="ER90" s="191">
        <f>'Functional Levels Drone Survey'!ER90-'Existing Levels Drone Survey'!ER90</f>
        <v>0</v>
      </c>
      <c r="ES90" s="191">
        <f>'Functional Levels Drone Survey'!ES90-'Existing Levels Drone Survey'!ES90</f>
        <v>0</v>
      </c>
      <c r="ET90" s="191">
        <f>'Functional Levels Drone Survey'!ET90-'Existing Levels Drone Survey'!ET90</f>
        <v>0</v>
      </c>
      <c r="EU90" s="191">
        <f>'Functional Levels Drone Survey'!EU90-'Existing Levels Drone Survey'!EU90</f>
        <v>0</v>
      </c>
      <c r="EV90" s="191">
        <f>'Functional Levels Drone Survey'!EV90-'Existing Levels Drone Survey'!EV90</f>
        <v>0</v>
      </c>
      <c r="EW90" s="191">
        <f>'Functional Levels Drone Survey'!EW90-'Existing Levels Drone Survey'!EW90</f>
        <v>0</v>
      </c>
      <c r="EX90" s="191">
        <f>'Functional Levels Drone Survey'!EX90-'Existing Levels Drone Survey'!EX90</f>
        <v>0</v>
      </c>
      <c r="EY90" s="191">
        <f>'Functional Levels Drone Survey'!EY90-'Existing Levels Drone Survey'!EY90</f>
        <v>0</v>
      </c>
    </row>
    <row r="91" spans="1:159" ht="45" customHeight="1" x14ac:dyDescent="0.45">
      <c r="A91" s="277">
        <v>450</v>
      </c>
      <c r="B91" s="191">
        <f>'Functional Levels Drone Survey'!B91-'Existing Levels Drone Survey'!B91</f>
        <v>0</v>
      </c>
      <c r="C91" s="191">
        <f>'Functional Levels Drone Survey'!C91-'Existing Levels Drone Survey'!C91</f>
        <v>0</v>
      </c>
      <c r="D91" s="191">
        <f>'Functional Levels Drone Survey'!D91-'Existing Levels Drone Survey'!D91</f>
        <v>0</v>
      </c>
      <c r="E91" s="191">
        <f>'Functional Levels Drone Survey'!E91-'Existing Levels Drone Survey'!E91</f>
        <v>0</v>
      </c>
      <c r="F91" s="191">
        <f>'Functional Levels Drone Survey'!F91-'Existing Levels Drone Survey'!F91</f>
        <v>0</v>
      </c>
      <c r="G91" s="191">
        <f>'Functional Levels Drone Survey'!G91-'Existing Levels Drone Survey'!G91</f>
        <v>0</v>
      </c>
      <c r="H91" s="191">
        <f>'Functional Levels Drone Survey'!H91-'Existing Levels Drone Survey'!H91</f>
        <v>0</v>
      </c>
      <c r="I91" s="191">
        <f>'Functional Levels Drone Survey'!I91-'Existing Levels Drone Survey'!I91</f>
        <v>0</v>
      </c>
      <c r="J91" s="191">
        <f>'Functional Levels Drone Survey'!J91-'Existing Levels Drone Survey'!J91</f>
        <v>0</v>
      </c>
      <c r="K91" s="191">
        <f>'Functional Levels Drone Survey'!K91-'Existing Levels Drone Survey'!K91</f>
        <v>0</v>
      </c>
      <c r="L91" s="191">
        <f>'Functional Levels Drone Survey'!L91-'Existing Levels Drone Survey'!L91</f>
        <v>0</v>
      </c>
      <c r="M91" s="191">
        <f>'Functional Levels Drone Survey'!M91-'Existing Levels Drone Survey'!M91</f>
        <v>0</v>
      </c>
      <c r="N91" s="191">
        <f>'Functional Levels Drone Survey'!N91-'Existing Levels Drone Survey'!N91</f>
        <v>0</v>
      </c>
      <c r="O91" s="191">
        <f>'Functional Levels Drone Survey'!O91-'Existing Levels Drone Survey'!O91</f>
        <v>0</v>
      </c>
      <c r="P91" s="191">
        <f>'Functional Levels Drone Survey'!P91-'Existing Levels Drone Survey'!P91</f>
        <v>0</v>
      </c>
      <c r="Q91" s="191">
        <f>'Functional Levels Drone Survey'!Q91-'Existing Levels Drone Survey'!Q91</f>
        <v>0</v>
      </c>
      <c r="R91" s="191">
        <f>'Functional Levels Drone Survey'!R91-'Existing Levels Drone Survey'!R91</f>
        <v>0</v>
      </c>
      <c r="S91" s="191">
        <f>'Functional Levels Drone Survey'!S91-'Existing Levels Drone Survey'!S91</f>
        <v>0</v>
      </c>
      <c r="T91" s="191">
        <f>'Functional Levels Drone Survey'!T91-'Existing Levels Drone Survey'!T91</f>
        <v>0</v>
      </c>
      <c r="U91" s="191">
        <f>'Functional Levels Drone Survey'!U91-'Existing Levels Drone Survey'!U91</f>
        <v>0</v>
      </c>
      <c r="V91" s="191">
        <f>'Functional Levels Drone Survey'!V91-'Existing Levels Drone Survey'!V91</f>
        <v>0</v>
      </c>
      <c r="W91" s="191">
        <f>'Functional Levels Drone Survey'!W91-'Existing Levels Drone Survey'!W91</f>
        <v>0</v>
      </c>
      <c r="X91" s="191">
        <f>'Functional Levels Drone Survey'!X91-'Existing Levels Drone Survey'!X91</f>
        <v>0</v>
      </c>
      <c r="Y91" s="191">
        <f>'Functional Levels Drone Survey'!Y91-'Existing Levels Drone Survey'!Y91</f>
        <v>0</v>
      </c>
      <c r="Z91" s="191">
        <f>'Functional Levels Drone Survey'!Z91-'Existing Levels Drone Survey'!Z91</f>
        <v>0</v>
      </c>
      <c r="AA91" s="191">
        <f>'Functional Levels Drone Survey'!AA91-'Existing Levels Drone Survey'!AA91</f>
        <v>0</v>
      </c>
      <c r="AB91" s="191">
        <f>'Functional Levels Drone Survey'!AB91-'Existing Levels Drone Survey'!AB91</f>
        <v>0</v>
      </c>
      <c r="AC91" s="191">
        <f>'Functional Levels Drone Survey'!AC91-'Existing Levels Drone Survey'!AC91</f>
        <v>0</v>
      </c>
      <c r="AD91" s="191">
        <f>'Functional Levels Drone Survey'!AD91-'Existing Levels Drone Survey'!AD91</f>
        <v>0</v>
      </c>
      <c r="AE91" s="191">
        <f>'Functional Levels Drone Survey'!AE91-'Existing Levels Drone Survey'!AE91</f>
        <v>0</v>
      </c>
      <c r="AF91" s="191">
        <f>'Functional Levels Drone Survey'!AF91-'Existing Levels Drone Survey'!AF91</f>
        <v>0</v>
      </c>
      <c r="AG91" s="191">
        <f>'Functional Levels Drone Survey'!AG91-'Existing Levels Drone Survey'!AG91</f>
        <v>0</v>
      </c>
      <c r="AH91" s="191">
        <f>'Functional Levels Drone Survey'!AH91-'Existing Levels Drone Survey'!AH91</f>
        <v>0</v>
      </c>
      <c r="AI91" s="191">
        <f>'Functional Levels Drone Survey'!AI91-'Existing Levels Drone Survey'!AI91</f>
        <v>0</v>
      </c>
      <c r="AJ91" s="191">
        <f>'Functional Levels Drone Survey'!AJ91-'Existing Levels Drone Survey'!AJ91</f>
        <v>0</v>
      </c>
      <c r="AK91" s="191">
        <f>'Functional Levels Drone Survey'!AK91-'Existing Levels Drone Survey'!AK91</f>
        <v>0</v>
      </c>
      <c r="AL91" s="191">
        <f>'Functional Levels Drone Survey'!AL91-'Existing Levels Drone Survey'!AL91</f>
        <v>0</v>
      </c>
      <c r="AM91" s="191">
        <f>'Functional Levels Drone Survey'!AM91-'Existing Levels Drone Survey'!AM91</f>
        <v>0</v>
      </c>
      <c r="AN91" s="191">
        <f>'Functional Levels Drone Survey'!AN91-'Existing Levels Drone Survey'!AN91</f>
        <v>0</v>
      </c>
      <c r="AO91" s="191">
        <f>'Functional Levels Drone Survey'!AO91-'Existing Levels Drone Survey'!AO91</f>
        <v>0</v>
      </c>
      <c r="AP91" s="191">
        <f>'Functional Levels Drone Survey'!AP91-'Existing Levels Drone Survey'!AP91</f>
        <v>0</v>
      </c>
      <c r="AQ91" s="191">
        <f>'Functional Levels Drone Survey'!AQ91-'Existing Levels Drone Survey'!AQ91</f>
        <v>0</v>
      </c>
      <c r="AR91" s="191">
        <f>'Functional Levels Drone Survey'!AR91-'Existing Levels Drone Survey'!AR91</f>
        <v>0</v>
      </c>
      <c r="AS91" s="191">
        <f>'Functional Levels Drone Survey'!AS91-'Existing Levels Drone Survey'!AS91</f>
        <v>0</v>
      </c>
      <c r="AT91" s="191">
        <f>'Functional Levels Drone Survey'!AT91-'Existing Levels Drone Survey'!AT91</f>
        <v>0</v>
      </c>
      <c r="AU91" s="191">
        <f>'Functional Levels Drone Survey'!AU91-'Existing Levels Drone Survey'!AU91</f>
        <v>0</v>
      </c>
      <c r="AV91" s="191">
        <f>'Functional Levels Drone Survey'!AV91-'Existing Levels Drone Survey'!AV91</f>
        <v>0</v>
      </c>
      <c r="AW91" s="191">
        <f>'Functional Levels Drone Survey'!AW91-'Existing Levels Drone Survey'!AW91</f>
        <v>0</v>
      </c>
      <c r="AX91" s="191">
        <f>'Functional Levels Drone Survey'!AX91-'Existing Levels Drone Survey'!AX91</f>
        <v>0</v>
      </c>
      <c r="AY91" s="191">
        <f>'Functional Levels Drone Survey'!AY91-'Existing Levels Drone Survey'!AY91</f>
        <v>0</v>
      </c>
      <c r="AZ91" s="191">
        <f>'Functional Levels Drone Survey'!AZ91-'Existing Levels Drone Survey'!AZ91</f>
        <v>0</v>
      </c>
      <c r="BA91" s="191">
        <f>'Functional Levels Drone Survey'!BA91-'Existing Levels Drone Survey'!BA91</f>
        <v>0</v>
      </c>
      <c r="BB91" s="191">
        <f>'Functional Levels Drone Survey'!BB91-'Existing Levels Drone Survey'!BB91</f>
        <v>0</v>
      </c>
      <c r="BC91" s="191">
        <f>'Functional Levels Drone Survey'!BC91-'Existing Levels Drone Survey'!BC91</f>
        <v>0</v>
      </c>
      <c r="BD91" s="191">
        <f>'Functional Levels Drone Survey'!BD91-'Existing Levels Drone Survey'!BD91</f>
        <v>0</v>
      </c>
      <c r="BE91" s="191">
        <f>'Functional Levels Drone Survey'!BE91-'Existing Levels Drone Survey'!BE91</f>
        <v>0</v>
      </c>
      <c r="BF91" s="191">
        <f>'Functional Levels Drone Survey'!BF91-'Existing Levels Drone Survey'!BF91</f>
        <v>0</v>
      </c>
      <c r="BG91" s="191">
        <f>'Functional Levels Drone Survey'!BG91-'Existing Levels Drone Survey'!BG91</f>
        <v>0</v>
      </c>
      <c r="BH91" s="191">
        <f>'Functional Levels Drone Survey'!BH91-'Existing Levels Drone Survey'!BH91</f>
        <v>0</v>
      </c>
      <c r="BI91" s="191">
        <f>'Functional Levels Drone Survey'!BI91-'Existing Levels Drone Survey'!BI91</f>
        <v>0</v>
      </c>
      <c r="BJ91" s="191">
        <f>'Functional Levels Drone Survey'!BJ91-'Existing Levels Drone Survey'!BJ91</f>
        <v>0</v>
      </c>
      <c r="BK91" s="191">
        <f>'Functional Levels Drone Survey'!BK91-'Existing Levels Drone Survey'!BK91</f>
        <v>0</v>
      </c>
      <c r="BL91" s="191">
        <f>'Functional Levels Drone Survey'!BL91-'Existing Levels Drone Survey'!BL91</f>
        <v>0</v>
      </c>
      <c r="BM91" s="191">
        <f>'Functional Levels Drone Survey'!BM91-'Existing Levels Drone Survey'!BM91</f>
        <v>0</v>
      </c>
      <c r="BN91" s="191">
        <f>'Functional Levels Drone Survey'!BN91-'Existing Levels Drone Survey'!BN91</f>
        <v>0</v>
      </c>
      <c r="BO91" s="191">
        <f>'Functional Levels Drone Survey'!BO91-'Existing Levels Drone Survey'!BO91</f>
        <v>0</v>
      </c>
      <c r="BP91" s="191">
        <f>'Functional Levels Drone Survey'!BP91-'Existing Levels Drone Survey'!BP91</f>
        <v>0</v>
      </c>
      <c r="BQ91" s="191">
        <f>'Functional Levels Drone Survey'!BQ91-'Existing Levels Drone Survey'!BQ91</f>
        <v>0</v>
      </c>
      <c r="BR91" s="191">
        <f>'Functional Levels Drone Survey'!BR91-'Existing Levels Drone Survey'!BR91</f>
        <v>0</v>
      </c>
      <c r="BS91" s="191">
        <f>'Functional Levels Drone Survey'!BS91-'Existing Levels Drone Survey'!BS91</f>
        <v>0</v>
      </c>
      <c r="BT91" s="191">
        <f>'Functional Levels Drone Survey'!BT91-'Existing Levels Drone Survey'!BT91</f>
        <v>0</v>
      </c>
      <c r="BU91" s="191">
        <f>'Functional Levels Drone Survey'!BU91-'Existing Levels Drone Survey'!BU91</f>
        <v>0</v>
      </c>
      <c r="BV91" s="191">
        <f>'Functional Levels Drone Survey'!BV91-'Existing Levels Drone Survey'!BV91</f>
        <v>0</v>
      </c>
      <c r="BW91" s="191">
        <f>'Functional Levels Drone Survey'!BW91-'Existing Levels Drone Survey'!BW91</f>
        <v>0</v>
      </c>
      <c r="BX91" s="191">
        <f>'Functional Levels Drone Survey'!BX91-'Existing Levels Drone Survey'!BX91</f>
        <v>0</v>
      </c>
      <c r="BY91" s="191">
        <f>'Functional Levels Drone Survey'!BY91-'Existing Levels Drone Survey'!BY91</f>
        <v>0</v>
      </c>
      <c r="BZ91" s="191">
        <f>'Functional Levels Drone Survey'!BZ91-'Existing Levels Drone Survey'!BZ91</f>
        <v>0</v>
      </c>
      <c r="CA91" s="191">
        <f>'Functional Levels Drone Survey'!CA91-'Existing Levels Drone Survey'!CA91</f>
        <v>0</v>
      </c>
      <c r="CB91" s="191">
        <f>'Functional Levels Drone Survey'!CB91-'Existing Levels Drone Survey'!CB91</f>
        <v>0</v>
      </c>
      <c r="CC91" s="191">
        <f>'Functional Levels Drone Survey'!CC91-'Existing Levels Drone Survey'!CC91</f>
        <v>0</v>
      </c>
      <c r="CD91" s="191">
        <f>'Functional Levels Drone Survey'!CD91-'Existing Levels Drone Survey'!CD91</f>
        <v>0</v>
      </c>
      <c r="CE91" s="191">
        <f>'Functional Levels Drone Survey'!CE91-'Existing Levels Drone Survey'!CE91</f>
        <v>0</v>
      </c>
      <c r="CF91" s="191">
        <f>'Functional Levels Drone Survey'!CF91-'Existing Levels Drone Survey'!CF91</f>
        <v>0</v>
      </c>
      <c r="CG91" s="191">
        <f>'Functional Levels Drone Survey'!CG91-'Existing Levels Drone Survey'!CG91</f>
        <v>0</v>
      </c>
      <c r="CH91" s="191">
        <f>'Functional Levels Drone Survey'!CH91-'Existing Levels Drone Survey'!CH91</f>
        <v>0</v>
      </c>
      <c r="CI91" s="191">
        <f>'Functional Levels Drone Survey'!CI91-'Existing Levels Drone Survey'!CI91</f>
        <v>0</v>
      </c>
      <c r="CJ91" s="191">
        <f>'Functional Levels Drone Survey'!CJ91-'Existing Levels Drone Survey'!CJ91</f>
        <v>0</v>
      </c>
      <c r="CK91" s="191">
        <f>'Functional Levels Drone Survey'!CK91-'Existing Levels Drone Survey'!CK91</f>
        <v>0</v>
      </c>
      <c r="CL91" s="191">
        <f>'Functional Levels Drone Survey'!CL91-'Existing Levels Drone Survey'!CL91</f>
        <v>0</v>
      </c>
      <c r="CM91" s="191">
        <f>'Functional Levels Drone Survey'!CM91-'Existing Levels Drone Survey'!CM91</f>
        <v>0</v>
      </c>
      <c r="CN91" s="191">
        <f>'Functional Levels Drone Survey'!CN91-'Existing Levels Drone Survey'!CN91</f>
        <v>0</v>
      </c>
      <c r="CO91" s="191">
        <f>'Functional Levels Drone Survey'!CO91-'Existing Levels Drone Survey'!CO91</f>
        <v>0</v>
      </c>
      <c r="CP91" s="191">
        <f>'Functional Levels Drone Survey'!CP91-'Existing Levels Drone Survey'!CP91</f>
        <v>0</v>
      </c>
      <c r="CQ91" s="191">
        <f>'Functional Levels Drone Survey'!CQ91-'Existing Levels Drone Survey'!CQ91</f>
        <v>0</v>
      </c>
      <c r="CR91" s="191">
        <f>'Functional Levels Drone Survey'!CR91-'Existing Levels Drone Survey'!CR91</f>
        <v>0</v>
      </c>
      <c r="CS91" s="191">
        <f>'Functional Levels Drone Survey'!CS91-'Existing Levels Drone Survey'!CS91</f>
        <v>0</v>
      </c>
      <c r="CT91" s="191">
        <f>'Functional Levels Drone Survey'!CT91-'Existing Levels Drone Survey'!CT91</f>
        <v>0</v>
      </c>
      <c r="CU91" s="191">
        <f>'Functional Levels Drone Survey'!CU91-'Existing Levels Drone Survey'!CU91</f>
        <v>0</v>
      </c>
      <c r="CV91" s="191">
        <f>'Functional Levels Drone Survey'!CV91-'Existing Levels Drone Survey'!CV91</f>
        <v>0</v>
      </c>
      <c r="CW91" s="191">
        <f>'Functional Levels Drone Survey'!CW91-'Existing Levels Drone Survey'!CW91</f>
        <v>0</v>
      </c>
      <c r="CX91" s="191">
        <f>'Functional Levels Drone Survey'!CX91-'Existing Levels Drone Survey'!CX91</f>
        <v>0</v>
      </c>
      <c r="CY91" s="191">
        <f>'Functional Levels Drone Survey'!CY91-'Existing Levels Drone Survey'!CY91</f>
        <v>0</v>
      </c>
      <c r="CZ91" s="191">
        <f>'Functional Levels Drone Survey'!CZ91-'Existing Levels Drone Survey'!CZ91</f>
        <v>0</v>
      </c>
      <c r="DA91" s="191">
        <f>'Functional Levels Drone Survey'!DA91-'Existing Levels Drone Survey'!DA91</f>
        <v>0</v>
      </c>
      <c r="DB91" s="191">
        <f>'Functional Levels Drone Survey'!DB91-'Existing Levels Drone Survey'!DB91</f>
        <v>0</v>
      </c>
      <c r="DC91" s="191">
        <f>'Functional Levels Drone Survey'!DC91-'Existing Levels Drone Survey'!DC91</f>
        <v>0</v>
      </c>
      <c r="DD91" s="191">
        <f>'Functional Levels Drone Survey'!DD91-'Existing Levels Drone Survey'!DD91</f>
        <v>0</v>
      </c>
      <c r="DE91" s="191">
        <f>'Functional Levels Drone Survey'!DE91-'Existing Levels Drone Survey'!DE91</f>
        <v>0</v>
      </c>
      <c r="DF91" s="191">
        <f>'Functional Levels Drone Survey'!DF91-'Existing Levels Drone Survey'!DF91</f>
        <v>0</v>
      </c>
      <c r="DG91" s="191">
        <f>'Functional Levels Drone Survey'!DG91-'Existing Levels Drone Survey'!DG91</f>
        <v>0</v>
      </c>
      <c r="DH91" s="191">
        <f>'Functional Levels Drone Survey'!DH91-'Existing Levels Drone Survey'!DH91</f>
        <v>0</v>
      </c>
      <c r="DI91" s="191">
        <f>'Functional Levels Drone Survey'!DI91-'Existing Levels Drone Survey'!DI91</f>
        <v>0</v>
      </c>
      <c r="DJ91" s="191">
        <f>'Functional Levels Drone Survey'!DJ91-'Existing Levels Drone Survey'!DJ91</f>
        <v>0</v>
      </c>
      <c r="DK91" s="191">
        <f>'Functional Levels Drone Survey'!DK91-'Existing Levels Drone Survey'!DK91</f>
        <v>0</v>
      </c>
      <c r="DL91" s="191">
        <f>'Functional Levels Drone Survey'!DL91-'Existing Levels Drone Survey'!DL91</f>
        <v>0</v>
      </c>
      <c r="DM91" s="191">
        <f>'Functional Levels Drone Survey'!DM91-'Existing Levels Drone Survey'!DM91</f>
        <v>0</v>
      </c>
      <c r="DN91" s="191">
        <f>'Functional Levels Drone Survey'!DN91-'Existing Levels Drone Survey'!DN91</f>
        <v>0</v>
      </c>
      <c r="DO91" s="191">
        <f>'Functional Levels Drone Survey'!DO91-'Existing Levels Drone Survey'!DO91</f>
        <v>0</v>
      </c>
      <c r="DP91" s="191">
        <f>'Functional Levels Drone Survey'!DP91-'Existing Levels Drone Survey'!DP91</f>
        <v>0</v>
      </c>
      <c r="DQ91" s="191">
        <f>'Functional Levels Drone Survey'!DQ91-'Existing Levels Drone Survey'!DQ91</f>
        <v>0</v>
      </c>
      <c r="DR91" s="191">
        <f>'Functional Levels Drone Survey'!DR91-'Existing Levels Drone Survey'!DR91</f>
        <v>0</v>
      </c>
      <c r="DS91" s="191">
        <f>'Functional Levels Drone Survey'!DS91-'Existing Levels Drone Survey'!DS91</f>
        <v>0</v>
      </c>
      <c r="DT91" s="191">
        <f>'Functional Levels Drone Survey'!DT91-'Existing Levels Drone Survey'!DT91</f>
        <v>0</v>
      </c>
      <c r="DU91" s="191">
        <f>'Functional Levels Drone Survey'!DU91-'Existing Levels Drone Survey'!DU91</f>
        <v>0</v>
      </c>
      <c r="DV91" s="191">
        <f>'Functional Levels Drone Survey'!DV91-'Existing Levels Drone Survey'!DV91</f>
        <v>0</v>
      </c>
      <c r="DW91" s="191">
        <f>'Functional Levels Drone Survey'!DW91-'Existing Levels Drone Survey'!DW91</f>
        <v>0</v>
      </c>
      <c r="DX91" s="191">
        <f>'Functional Levels Drone Survey'!DX91-'Existing Levels Drone Survey'!DX91</f>
        <v>0</v>
      </c>
      <c r="DY91" s="191">
        <f>'Functional Levels Drone Survey'!DY91-'Existing Levels Drone Survey'!DY91</f>
        <v>0</v>
      </c>
      <c r="DZ91" s="191">
        <f>'Functional Levels Drone Survey'!DZ91-'Existing Levels Drone Survey'!DZ91</f>
        <v>0</v>
      </c>
      <c r="EA91" s="191">
        <f>'Functional Levels Drone Survey'!EA91-'Existing Levels Drone Survey'!EA91</f>
        <v>0</v>
      </c>
      <c r="EB91" s="191">
        <f>'Functional Levels Drone Survey'!EB91-'Existing Levels Drone Survey'!EB91</f>
        <v>0</v>
      </c>
      <c r="EC91" s="191">
        <f>'Functional Levels Drone Survey'!EC91-'Existing Levels Drone Survey'!EC91</f>
        <v>0</v>
      </c>
      <c r="ED91" s="191">
        <f>'Functional Levels Drone Survey'!ED91-'Existing Levels Drone Survey'!ED91</f>
        <v>0</v>
      </c>
      <c r="EE91" s="191">
        <f>'Functional Levels Drone Survey'!EE91-'Existing Levels Drone Survey'!EE91</f>
        <v>0</v>
      </c>
      <c r="EF91" s="191">
        <f>'Functional Levels Drone Survey'!EF91-'Existing Levels Drone Survey'!EF91</f>
        <v>0</v>
      </c>
      <c r="EG91" s="191">
        <f>'Functional Levels Drone Survey'!EG91-'Existing Levels Drone Survey'!EG91</f>
        <v>0</v>
      </c>
      <c r="EH91" s="191">
        <f>'Functional Levels Drone Survey'!EH91-'Existing Levels Drone Survey'!EH91</f>
        <v>0</v>
      </c>
      <c r="EI91" s="191">
        <f>'Functional Levels Drone Survey'!EI91-'Existing Levels Drone Survey'!EI91</f>
        <v>0</v>
      </c>
      <c r="EJ91" s="191">
        <f>'Functional Levels Drone Survey'!EJ91-'Existing Levels Drone Survey'!EJ91</f>
        <v>0</v>
      </c>
      <c r="EK91" s="191">
        <f>'Functional Levels Drone Survey'!EK91-'Existing Levels Drone Survey'!EK91</f>
        <v>0</v>
      </c>
      <c r="EL91" s="191">
        <f>'Functional Levels Drone Survey'!EL91-'Existing Levels Drone Survey'!EL91</f>
        <v>0</v>
      </c>
      <c r="EM91" s="191">
        <f>'Functional Levels Drone Survey'!EM91-'Existing Levels Drone Survey'!EM91</f>
        <v>0</v>
      </c>
      <c r="EN91" s="191">
        <f>'Functional Levels Drone Survey'!EN91-'Existing Levels Drone Survey'!EN91</f>
        <v>0</v>
      </c>
      <c r="EO91" s="191">
        <f>'Functional Levels Drone Survey'!EO91-'Existing Levels Drone Survey'!EO91</f>
        <v>0</v>
      </c>
      <c r="EP91" s="191">
        <f>'Functional Levels Drone Survey'!EP91-'Existing Levels Drone Survey'!EP91</f>
        <v>0</v>
      </c>
      <c r="EQ91" s="191">
        <f>'Functional Levels Drone Survey'!EQ91-'Existing Levels Drone Survey'!EQ91</f>
        <v>0</v>
      </c>
      <c r="ER91" s="191">
        <f>'Functional Levels Drone Survey'!ER91-'Existing Levels Drone Survey'!ER91</f>
        <v>0</v>
      </c>
      <c r="ES91" s="191">
        <f>'Functional Levels Drone Survey'!ES91-'Existing Levels Drone Survey'!ES91</f>
        <v>0</v>
      </c>
      <c r="ET91" s="191">
        <f>'Functional Levels Drone Survey'!ET91-'Existing Levels Drone Survey'!ET91</f>
        <v>0</v>
      </c>
      <c r="EU91" s="191">
        <f>'Functional Levels Drone Survey'!EU91-'Existing Levels Drone Survey'!EU91</f>
        <v>0</v>
      </c>
      <c r="EV91" s="191">
        <f>'Functional Levels Drone Survey'!EV91-'Existing Levels Drone Survey'!EV91</f>
        <v>0</v>
      </c>
      <c r="EW91" s="191">
        <f>'Functional Levels Drone Survey'!EW91-'Existing Levels Drone Survey'!EW91</f>
        <v>0</v>
      </c>
      <c r="EX91" s="191">
        <f>'Functional Levels Drone Survey'!EX91-'Existing Levels Drone Survey'!EX91</f>
        <v>0</v>
      </c>
      <c r="EY91" s="191">
        <f>'Functional Levels Drone Survey'!EY91-'Existing Levels Drone Survey'!EY91</f>
        <v>0</v>
      </c>
    </row>
    <row r="92" spans="1:159" ht="45" customHeight="1" x14ac:dyDescent="0.45">
      <c r="A92" s="277">
        <v>455</v>
      </c>
      <c r="B92" s="191">
        <f>'Functional Levels Drone Survey'!B92-'Existing Levels Drone Survey'!B92</f>
        <v>0</v>
      </c>
      <c r="C92" s="191">
        <f>'Functional Levels Drone Survey'!C92-'Existing Levels Drone Survey'!C92</f>
        <v>0</v>
      </c>
      <c r="D92" s="191">
        <f>'Functional Levels Drone Survey'!D92-'Existing Levels Drone Survey'!D92</f>
        <v>0</v>
      </c>
      <c r="E92" s="191">
        <f>'Functional Levels Drone Survey'!E92-'Existing Levels Drone Survey'!E92</f>
        <v>0</v>
      </c>
      <c r="F92" s="191">
        <f>'Functional Levels Drone Survey'!F92-'Existing Levels Drone Survey'!F92</f>
        <v>0</v>
      </c>
      <c r="G92" s="191">
        <f>'Functional Levels Drone Survey'!G92-'Existing Levels Drone Survey'!G92</f>
        <v>0</v>
      </c>
      <c r="H92" s="191">
        <f>'Functional Levels Drone Survey'!H92-'Existing Levels Drone Survey'!H92</f>
        <v>0</v>
      </c>
      <c r="I92" s="191">
        <f>'Functional Levels Drone Survey'!I92-'Existing Levels Drone Survey'!I92</f>
        <v>0</v>
      </c>
      <c r="J92" s="191">
        <f>'Functional Levels Drone Survey'!J92-'Existing Levels Drone Survey'!J92</f>
        <v>0</v>
      </c>
      <c r="K92" s="191">
        <f>'Functional Levels Drone Survey'!K92-'Existing Levels Drone Survey'!K92</f>
        <v>0</v>
      </c>
      <c r="L92" s="191">
        <f>'Functional Levels Drone Survey'!L92-'Existing Levels Drone Survey'!L92</f>
        <v>0</v>
      </c>
      <c r="M92" s="191">
        <f>'Functional Levels Drone Survey'!M92-'Existing Levels Drone Survey'!M92</f>
        <v>0</v>
      </c>
      <c r="N92" s="191">
        <f>'Functional Levels Drone Survey'!N92-'Existing Levels Drone Survey'!N92</f>
        <v>0</v>
      </c>
      <c r="O92" s="191">
        <f>'Functional Levels Drone Survey'!O92-'Existing Levels Drone Survey'!O92</f>
        <v>0</v>
      </c>
      <c r="P92" s="191">
        <f>'Functional Levels Drone Survey'!P92-'Existing Levels Drone Survey'!P92</f>
        <v>0</v>
      </c>
      <c r="Q92" s="191">
        <f>'Functional Levels Drone Survey'!Q92-'Existing Levels Drone Survey'!Q92</f>
        <v>0</v>
      </c>
      <c r="R92" s="191">
        <f>'Functional Levels Drone Survey'!R92-'Existing Levels Drone Survey'!R92</f>
        <v>0</v>
      </c>
      <c r="S92" s="191">
        <f>'Functional Levels Drone Survey'!S92-'Existing Levels Drone Survey'!S92</f>
        <v>0</v>
      </c>
      <c r="T92" s="191">
        <f>'Functional Levels Drone Survey'!T92-'Existing Levels Drone Survey'!T92</f>
        <v>0</v>
      </c>
      <c r="U92" s="191">
        <f>'Functional Levels Drone Survey'!U92-'Existing Levels Drone Survey'!U92</f>
        <v>0</v>
      </c>
      <c r="V92" s="191">
        <f>'Functional Levels Drone Survey'!V92-'Existing Levels Drone Survey'!V92</f>
        <v>0</v>
      </c>
      <c r="W92" s="191">
        <f>'Functional Levels Drone Survey'!W92-'Existing Levels Drone Survey'!W92</f>
        <v>0</v>
      </c>
      <c r="X92" s="191">
        <f>'Functional Levels Drone Survey'!X92-'Existing Levels Drone Survey'!X92</f>
        <v>0</v>
      </c>
      <c r="Y92" s="191">
        <f>'Functional Levels Drone Survey'!Y92-'Existing Levels Drone Survey'!Y92</f>
        <v>0</v>
      </c>
      <c r="Z92" s="191">
        <f>'Functional Levels Drone Survey'!Z92-'Existing Levels Drone Survey'!Z92</f>
        <v>0</v>
      </c>
      <c r="AA92" s="191">
        <f>'Functional Levels Drone Survey'!AA92-'Existing Levels Drone Survey'!AA92</f>
        <v>0</v>
      </c>
      <c r="AB92" s="191">
        <f>'Functional Levels Drone Survey'!AB92-'Existing Levels Drone Survey'!AB92</f>
        <v>0</v>
      </c>
      <c r="AC92" s="191">
        <f>'Functional Levels Drone Survey'!AC92-'Existing Levels Drone Survey'!AC92</f>
        <v>0</v>
      </c>
      <c r="AD92" s="191">
        <f>'Functional Levels Drone Survey'!AD92-'Existing Levels Drone Survey'!AD92</f>
        <v>0</v>
      </c>
      <c r="AE92" s="191">
        <f>'Functional Levels Drone Survey'!AE92-'Existing Levels Drone Survey'!AE92</f>
        <v>0</v>
      </c>
      <c r="AF92" s="191">
        <f>'Functional Levels Drone Survey'!AF92-'Existing Levels Drone Survey'!AF92</f>
        <v>0</v>
      </c>
      <c r="AG92" s="191">
        <f>'Functional Levels Drone Survey'!AG92-'Existing Levels Drone Survey'!AG92</f>
        <v>0</v>
      </c>
      <c r="AH92" s="191">
        <f>'Functional Levels Drone Survey'!AH92-'Existing Levels Drone Survey'!AH92</f>
        <v>0</v>
      </c>
      <c r="AI92" s="191">
        <f>'Functional Levels Drone Survey'!AI92-'Existing Levels Drone Survey'!AI92</f>
        <v>0</v>
      </c>
      <c r="AJ92" s="191">
        <f>'Functional Levels Drone Survey'!AJ92-'Existing Levels Drone Survey'!AJ92</f>
        <v>0</v>
      </c>
      <c r="AK92" s="191">
        <f>'Functional Levels Drone Survey'!AK92-'Existing Levels Drone Survey'!AK92</f>
        <v>0</v>
      </c>
      <c r="AL92" s="191">
        <f>'Functional Levels Drone Survey'!AL92-'Existing Levels Drone Survey'!AL92</f>
        <v>0</v>
      </c>
      <c r="AM92" s="191">
        <f>'Functional Levels Drone Survey'!AM92-'Existing Levels Drone Survey'!AM92</f>
        <v>0</v>
      </c>
      <c r="AN92" s="191">
        <f>'Functional Levels Drone Survey'!AN92-'Existing Levels Drone Survey'!AN92</f>
        <v>0</v>
      </c>
      <c r="AO92" s="191">
        <f>'Functional Levels Drone Survey'!AO92-'Existing Levels Drone Survey'!AO92</f>
        <v>0</v>
      </c>
      <c r="AP92" s="191">
        <f>'Functional Levels Drone Survey'!AP92-'Existing Levels Drone Survey'!AP92</f>
        <v>0</v>
      </c>
      <c r="AQ92" s="191">
        <f>'Functional Levels Drone Survey'!AQ92-'Existing Levels Drone Survey'!AQ92</f>
        <v>0</v>
      </c>
      <c r="AR92" s="191">
        <f>'Functional Levels Drone Survey'!AR92-'Existing Levels Drone Survey'!AR92</f>
        <v>0</v>
      </c>
      <c r="AS92" s="191">
        <f>'Functional Levels Drone Survey'!AS92-'Existing Levels Drone Survey'!AS92</f>
        <v>0</v>
      </c>
      <c r="AT92" s="191">
        <f>'Functional Levels Drone Survey'!AT92-'Existing Levels Drone Survey'!AT92</f>
        <v>0</v>
      </c>
      <c r="AU92" s="191">
        <f>'Functional Levels Drone Survey'!AU92-'Existing Levels Drone Survey'!AU92</f>
        <v>0</v>
      </c>
      <c r="AV92" s="191">
        <f>'Functional Levels Drone Survey'!AV92-'Existing Levels Drone Survey'!AV92</f>
        <v>0</v>
      </c>
      <c r="AW92" s="191">
        <f>'Functional Levels Drone Survey'!AW92-'Existing Levels Drone Survey'!AW92</f>
        <v>0</v>
      </c>
      <c r="AX92" s="191">
        <f>'Functional Levels Drone Survey'!AX92-'Existing Levels Drone Survey'!AX92</f>
        <v>0</v>
      </c>
      <c r="AY92" s="191">
        <f>'Functional Levels Drone Survey'!AY92-'Existing Levels Drone Survey'!AY92</f>
        <v>0</v>
      </c>
      <c r="AZ92" s="191">
        <f>'Functional Levels Drone Survey'!AZ92-'Existing Levels Drone Survey'!AZ92</f>
        <v>0</v>
      </c>
      <c r="BA92" s="191">
        <f>'Functional Levels Drone Survey'!BA92-'Existing Levels Drone Survey'!BA92</f>
        <v>0</v>
      </c>
      <c r="BB92" s="191">
        <f>'Functional Levels Drone Survey'!BB92-'Existing Levels Drone Survey'!BB92</f>
        <v>0</v>
      </c>
      <c r="BC92" s="191">
        <f>'Functional Levels Drone Survey'!BC92-'Existing Levels Drone Survey'!BC92</f>
        <v>0</v>
      </c>
      <c r="BD92" s="191">
        <f>'Functional Levels Drone Survey'!BD92-'Existing Levels Drone Survey'!BD92</f>
        <v>0</v>
      </c>
      <c r="BE92" s="191">
        <f>'Functional Levels Drone Survey'!BE92-'Existing Levels Drone Survey'!BE92</f>
        <v>0</v>
      </c>
      <c r="BF92" s="191">
        <f>'Functional Levels Drone Survey'!BF92-'Existing Levels Drone Survey'!BF92</f>
        <v>0</v>
      </c>
      <c r="BG92" s="191">
        <f>'Functional Levels Drone Survey'!BG92-'Existing Levels Drone Survey'!BG92</f>
        <v>0</v>
      </c>
      <c r="BH92" s="191">
        <f>'Functional Levels Drone Survey'!BH92-'Existing Levels Drone Survey'!BH92</f>
        <v>0</v>
      </c>
      <c r="BI92" s="191">
        <f>'Functional Levels Drone Survey'!BI92-'Existing Levels Drone Survey'!BI92</f>
        <v>0</v>
      </c>
      <c r="BJ92" s="191">
        <f>'Functional Levels Drone Survey'!BJ92-'Existing Levels Drone Survey'!BJ92</f>
        <v>0</v>
      </c>
      <c r="BK92" s="191">
        <f>'Functional Levels Drone Survey'!BK92-'Existing Levels Drone Survey'!BK92</f>
        <v>0</v>
      </c>
      <c r="BL92" s="191">
        <f>'Functional Levels Drone Survey'!BL92-'Existing Levels Drone Survey'!BL92</f>
        <v>0</v>
      </c>
      <c r="BM92" s="191">
        <f>'Functional Levels Drone Survey'!BM92-'Existing Levels Drone Survey'!BM92</f>
        <v>0</v>
      </c>
      <c r="BN92" s="191">
        <f>'Functional Levels Drone Survey'!BN92-'Existing Levels Drone Survey'!BN92</f>
        <v>0</v>
      </c>
      <c r="BO92" s="191">
        <f>'Functional Levels Drone Survey'!BO92-'Existing Levels Drone Survey'!BO92</f>
        <v>0</v>
      </c>
      <c r="BP92" s="191">
        <f>'Functional Levels Drone Survey'!BP92-'Existing Levels Drone Survey'!BP92</f>
        <v>0</v>
      </c>
      <c r="BQ92" s="191">
        <f>'Functional Levels Drone Survey'!BQ92-'Existing Levels Drone Survey'!BQ92</f>
        <v>0</v>
      </c>
      <c r="BR92" s="191">
        <f>'Functional Levels Drone Survey'!BR92-'Existing Levels Drone Survey'!BR92</f>
        <v>0</v>
      </c>
      <c r="BS92" s="191">
        <f>'Functional Levels Drone Survey'!BS92-'Existing Levels Drone Survey'!BS92</f>
        <v>0</v>
      </c>
      <c r="BT92" s="191">
        <f>'Functional Levels Drone Survey'!BT92-'Existing Levels Drone Survey'!BT92</f>
        <v>0</v>
      </c>
      <c r="BU92" s="191">
        <f>'Functional Levels Drone Survey'!BU92-'Existing Levels Drone Survey'!BU92</f>
        <v>0</v>
      </c>
      <c r="BV92" s="191">
        <f>'Functional Levels Drone Survey'!BV92-'Existing Levels Drone Survey'!BV92</f>
        <v>0</v>
      </c>
      <c r="BW92" s="191">
        <f>'Functional Levels Drone Survey'!BW92-'Existing Levels Drone Survey'!BW92</f>
        <v>0</v>
      </c>
      <c r="BX92" s="191">
        <f>'Functional Levels Drone Survey'!BX92-'Existing Levels Drone Survey'!BX92</f>
        <v>0</v>
      </c>
      <c r="BY92" s="191">
        <f>'Functional Levels Drone Survey'!BY92-'Existing Levels Drone Survey'!BY92</f>
        <v>0</v>
      </c>
      <c r="BZ92" s="191">
        <f>'Functional Levels Drone Survey'!BZ92-'Existing Levels Drone Survey'!BZ92</f>
        <v>0</v>
      </c>
      <c r="CA92" s="191">
        <f>'Functional Levels Drone Survey'!CA92-'Existing Levels Drone Survey'!CA92</f>
        <v>0</v>
      </c>
      <c r="CB92" s="191">
        <f>'Functional Levels Drone Survey'!CB92-'Existing Levels Drone Survey'!CB92</f>
        <v>0</v>
      </c>
      <c r="CC92" s="191">
        <f>'Functional Levels Drone Survey'!CC92-'Existing Levels Drone Survey'!CC92</f>
        <v>0</v>
      </c>
      <c r="CD92" s="191">
        <f>'Functional Levels Drone Survey'!CD92-'Existing Levels Drone Survey'!CD92</f>
        <v>0</v>
      </c>
      <c r="CE92" s="191">
        <f>'Functional Levels Drone Survey'!CE92-'Existing Levels Drone Survey'!CE92</f>
        <v>0</v>
      </c>
      <c r="CF92" s="191">
        <f>'Functional Levels Drone Survey'!CF92-'Existing Levels Drone Survey'!CF92</f>
        <v>0</v>
      </c>
      <c r="CG92" s="191">
        <f>'Functional Levels Drone Survey'!CG92-'Existing Levels Drone Survey'!CG92</f>
        <v>0</v>
      </c>
      <c r="CH92" s="191">
        <f>'Functional Levels Drone Survey'!CH92-'Existing Levels Drone Survey'!CH92</f>
        <v>0</v>
      </c>
      <c r="CI92" s="191">
        <f>'Functional Levels Drone Survey'!CI92-'Existing Levels Drone Survey'!CI92</f>
        <v>0</v>
      </c>
      <c r="CJ92" s="191">
        <f>'Functional Levels Drone Survey'!CJ92-'Existing Levels Drone Survey'!CJ92</f>
        <v>0</v>
      </c>
      <c r="CK92" s="191">
        <f>'Functional Levels Drone Survey'!CK92-'Existing Levels Drone Survey'!CK92</f>
        <v>0</v>
      </c>
      <c r="CL92" s="191">
        <f>'Functional Levels Drone Survey'!CL92-'Existing Levels Drone Survey'!CL92</f>
        <v>0</v>
      </c>
      <c r="CM92" s="191">
        <f>'Functional Levels Drone Survey'!CM92-'Existing Levels Drone Survey'!CM92</f>
        <v>0</v>
      </c>
      <c r="CN92" s="191">
        <f>'Functional Levels Drone Survey'!CN92-'Existing Levels Drone Survey'!CN92</f>
        <v>0</v>
      </c>
      <c r="CO92" s="191">
        <f>'Functional Levels Drone Survey'!CO92-'Existing Levels Drone Survey'!CO92</f>
        <v>0</v>
      </c>
      <c r="CP92" s="191">
        <f>'Functional Levels Drone Survey'!CP92-'Existing Levels Drone Survey'!CP92</f>
        <v>0</v>
      </c>
      <c r="CQ92" s="191">
        <f>'Functional Levels Drone Survey'!CQ92-'Existing Levels Drone Survey'!CQ92</f>
        <v>0</v>
      </c>
      <c r="CR92" s="191">
        <f>'Functional Levels Drone Survey'!CR92-'Existing Levels Drone Survey'!CR92</f>
        <v>0</v>
      </c>
      <c r="CS92" s="191">
        <f>'Functional Levels Drone Survey'!CS92-'Existing Levels Drone Survey'!CS92</f>
        <v>0</v>
      </c>
      <c r="CT92" s="191">
        <f>'Functional Levels Drone Survey'!CT92-'Existing Levels Drone Survey'!CT92</f>
        <v>0</v>
      </c>
      <c r="CU92" s="191">
        <f>'Functional Levels Drone Survey'!CU92-'Existing Levels Drone Survey'!CU92</f>
        <v>0</v>
      </c>
      <c r="CV92" s="191">
        <f>'Functional Levels Drone Survey'!CV92-'Existing Levels Drone Survey'!CV92</f>
        <v>0</v>
      </c>
      <c r="CW92" s="191">
        <f>'Functional Levels Drone Survey'!CW92-'Existing Levels Drone Survey'!CW92</f>
        <v>0</v>
      </c>
      <c r="CX92" s="191">
        <f>'Functional Levels Drone Survey'!CX92-'Existing Levels Drone Survey'!CX92</f>
        <v>0</v>
      </c>
      <c r="CY92" s="191">
        <f>'Functional Levels Drone Survey'!CY92-'Existing Levels Drone Survey'!CY92</f>
        <v>0</v>
      </c>
      <c r="CZ92" s="191">
        <f>'Functional Levels Drone Survey'!CZ92-'Existing Levels Drone Survey'!CZ92</f>
        <v>0</v>
      </c>
      <c r="DA92" s="191">
        <f>'Functional Levels Drone Survey'!DA92-'Existing Levels Drone Survey'!DA92</f>
        <v>0</v>
      </c>
      <c r="DB92" s="191">
        <f>'Functional Levels Drone Survey'!DB92-'Existing Levels Drone Survey'!DB92</f>
        <v>0</v>
      </c>
      <c r="DC92" s="191">
        <f>'Functional Levels Drone Survey'!DC92-'Existing Levels Drone Survey'!DC92</f>
        <v>0</v>
      </c>
      <c r="DD92" s="191">
        <f>'Functional Levels Drone Survey'!DD92-'Existing Levels Drone Survey'!DD92</f>
        <v>0</v>
      </c>
      <c r="DE92" s="191">
        <f>'Functional Levels Drone Survey'!DE92-'Existing Levels Drone Survey'!DE92</f>
        <v>0</v>
      </c>
      <c r="DF92" s="191">
        <f>'Functional Levels Drone Survey'!DF92-'Existing Levels Drone Survey'!DF92</f>
        <v>0</v>
      </c>
      <c r="DG92" s="191">
        <f>'Functional Levels Drone Survey'!DG92-'Existing Levels Drone Survey'!DG92</f>
        <v>0</v>
      </c>
      <c r="DH92" s="191">
        <f>'Functional Levels Drone Survey'!DH92-'Existing Levels Drone Survey'!DH92</f>
        <v>0</v>
      </c>
      <c r="DI92" s="191">
        <f>'Functional Levels Drone Survey'!DI92-'Existing Levels Drone Survey'!DI92</f>
        <v>0</v>
      </c>
      <c r="DJ92" s="191">
        <f>'Functional Levels Drone Survey'!DJ92-'Existing Levels Drone Survey'!DJ92</f>
        <v>0</v>
      </c>
      <c r="DK92" s="191">
        <f>'Functional Levels Drone Survey'!DK92-'Existing Levels Drone Survey'!DK92</f>
        <v>0</v>
      </c>
      <c r="DL92" s="191">
        <f>'Functional Levels Drone Survey'!DL92-'Existing Levels Drone Survey'!DL92</f>
        <v>0</v>
      </c>
      <c r="DM92" s="191">
        <f>'Functional Levels Drone Survey'!DM92-'Existing Levels Drone Survey'!DM92</f>
        <v>0</v>
      </c>
      <c r="DN92" s="191">
        <f>'Functional Levels Drone Survey'!DN92-'Existing Levels Drone Survey'!DN92</f>
        <v>0</v>
      </c>
      <c r="DO92" s="191">
        <f>'Functional Levels Drone Survey'!DO92-'Existing Levels Drone Survey'!DO92</f>
        <v>0</v>
      </c>
      <c r="DP92" s="191">
        <f>'Functional Levels Drone Survey'!DP92-'Existing Levels Drone Survey'!DP92</f>
        <v>0</v>
      </c>
      <c r="DQ92" s="191">
        <f>'Functional Levels Drone Survey'!DQ92-'Existing Levels Drone Survey'!DQ92</f>
        <v>0</v>
      </c>
      <c r="DR92" s="191">
        <f>'Functional Levels Drone Survey'!DR92-'Existing Levels Drone Survey'!DR92</f>
        <v>0</v>
      </c>
      <c r="DS92" s="191">
        <f>'Functional Levels Drone Survey'!DS92-'Existing Levels Drone Survey'!DS92</f>
        <v>0</v>
      </c>
      <c r="DT92" s="191">
        <f>'Functional Levels Drone Survey'!DT92-'Existing Levels Drone Survey'!DT92</f>
        <v>0</v>
      </c>
      <c r="DU92" s="191">
        <f>'Functional Levels Drone Survey'!DU92-'Existing Levels Drone Survey'!DU92</f>
        <v>0</v>
      </c>
      <c r="DV92" s="191">
        <f>'Functional Levels Drone Survey'!DV92-'Existing Levels Drone Survey'!DV92</f>
        <v>0</v>
      </c>
      <c r="DW92" s="191">
        <f>'Functional Levels Drone Survey'!DW92-'Existing Levels Drone Survey'!DW92</f>
        <v>0</v>
      </c>
      <c r="DX92" s="191">
        <f>'Functional Levels Drone Survey'!DX92-'Existing Levels Drone Survey'!DX92</f>
        <v>0</v>
      </c>
      <c r="DY92" s="191">
        <f>'Functional Levels Drone Survey'!DY92-'Existing Levels Drone Survey'!DY92</f>
        <v>0</v>
      </c>
      <c r="DZ92" s="191">
        <f>'Functional Levels Drone Survey'!DZ92-'Existing Levels Drone Survey'!DZ92</f>
        <v>0</v>
      </c>
      <c r="EA92" s="191">
        <f>'Functional Levels Drone Survey'!EA92-'Existing Levels Drone Survey'!EA92</f>
        <v>0</v>
      </c>
      <c r="EB92" s="191">
        <f>'Functional Levels Drone Survey'!EB92-'Existing Levels Drone Survey'!EB92</f>
        <v>0</v>
      </c>
      <c r="EC92" s="191">
        <f>'Functional Levels Drone Survey'!EC92-'Existing Levels Drone Survey'!EC92</f>
        <v>0</v>
      </c>
      <c r="ED92" s="191">
        <f>'Functional Levels Drone Survey'!ED92-'Existing Levels Drone Survey'!ED92</f>
        <v>0</v>
      </c>
      <c r="EE92" s="191">
        <f>'Functional Levels Drone Survey'!EE92-'Existing Levels Drone Survey'!EE92</f>
        <v>0</v>
      </c>
      <c r="EF92" s="191">
        <f>'Functional Levels Drone Survey'!EF92-'Existing Levels Drone Survey'!EF92</f>
        <v>0</v>
      </c>
      <c r="EG92" s="191">
        <f>'Functional Levels Drone Survey'!EG92-'Existing Levels Drone Survey'!EG92</f>
        <v>0</v>
      </c>
      <c r="EH92" s="191">
        <f>'Functional Levels Drone Survey'!EH92-'Existing Levels Drone Survey'!EH92</f>
        <v>0</v>
      </c>
      <c r="EI92" s="191">
        <f>'Functional Levels Drone Survey'!EI92-'Existing Levels Drone Survey'!EI92</f>
        <v>0</v>
      </c>
      <c r="EJ92" s="191">
        <f>'Functional Levels Drone Survey'!EJ92-'Existing Levels Drone Survey'!EJ92</f>
        <v>0</v>
      </c>
      <c r="EK92" s="191">
        <f>'Functional Levels Drone Survey'!EK92-'Existing Levels Drone Survey'!EK92</f>
        <v>0</v>
      </c>
      <c r="EL92" s="191">
        <f>'Functional Levels Drone Survey'!EL92-'Existing Levels Drone Survey'!EL92</f>
        <v>0</v>
      </c>
      <c r="EM92" s="191">
        <f>'Functional Levels Drone Survey'!EM92-'Existing Levels Drone Survey'!EM92</f>
        <v>0</v>
      </c>
      <c r="EN92" s="191">
        <f>'Functional Levels Drone Survey'!EN92-'Existing Levels Drone Survey'!EN92</f>
        <v>0</v>
      </c>
      <c r="EO92" s="191">
        <f>'Functional Levels Drone Survey'!EO92-'Existing Levels Drone Survey'!EO92</f>
        <v>0</v>
      </c>
      <c r="EP92" s="191">
        <f>'Functional Levels Drone Survey'!EP92-'Existing Levels Drone Survey'!EP92</f>
        <v>0</v>
      </c>
      <c r="EQ92" s="191">
        <f>'Functional Levels Drone Survey'!EQ92-'Existing Levels Drone Survey'!EQ92</f>
        <v>0</v>
      </c>
      <c r="ER92" s="191">
        <f>'Functional Levels Drone Survey'!ER92-'Existing Levels Drone Survey'!ER92</f>
        <v>0</v>
      </c>
      <c r="ES92" s="191">
        <f>'Functional Levels Drone Survey'!ES92-'Existing Levels Drone Survey'!ES92</f>
        <v>0</v>
      </c>
      <c r="ET92" s="191">
        <f>'Functional Levels Drone Survey'!ET92-'Existing Levels Drone Survey'!ET92</f>
        <v>0</v>
      </c>
      <c r="EU92" s="191">
        <f>'Functional Levels Drone Survey'!EU92-'Existing Levels Drone Survey'!EU92</f>
        <v>0</v>
      </c>
      <c r="EV92" s="191">
        <f>'Functional Levels Drone Survey'!EV92-'Existing Levels Drone Survey'!EV92</f>
        <v>0</v>
      </c>
      <c r="EW92" s="191">
        <f>'Functional Levels Drone Survey'!EW92-'Existing Levels Drone Survey'!EW92</f>
        <v>0</v>
      </c>
      <c r="EX92" s="191">
        <f>'Functional Levels Drone Survey'!EX92-'Existing Levels Drone Survey'!EX92</f>
        <v>0</v>
      </c>
      <c r="EY92" s="191">
        <f>'Functional Levels Drone Survey'!EY92-'Existing Levels Drone Survey'!EY92</f>
        <v>0</v>
      </c>
      <c r="FB92" s="472">
        <f>SUMIFS(B2:EY92,B2:EY92,"&lt;=2",B2:EY92,"&gt;=-2")</f>
        <v>121.03223279674501</v>
      </c>
      <c r="FC92" s="472">
        <f>FB92*5*5</f>
        <v>3025.8058199186253</v>
      </c>
    </row>
    <row r="93" spans="1:159" ht="45.4" customHeight="1" x14ac:dyDescent="0.45">
      <c r="FB93" s="79">
        <f>SUMIFS(B2:EY92,B2:EY92,"&lt;0",B2:EY92,"&gt;=-2")</f>
        <v>-878.62855364991083</v>
      </c>
      <c r="FC93" s="79">
        <f>FB93*5*5</f>
        <v>-21965.713841247773</v>
      </c>
    </row>
    <row r="94" spans="1:159" ht="45.4" customHeight="1" x14ac:dyDescent="0.45">
      <c r="FB94" s="79">
        <f>SUMIFS(B2:EY92,B2:EY92,"&lt;=2",B2:EY92,"&gt;0")</f>
        <v>999.66078644665527</v>
      </c>
      <c r="FC94" s="79">
        <f>FB94*5*5</f>
        <v>24991.519661166381</v>
      </c>
    </row>
  </sheetData>
  <pageMargins left="0.23622047244094491" right="0.23622047244094491" top="0.74803149606299213" bottom="0.74803149606299213" header="0.31496062992125984" footer="0.31496062992125984"/>
  <pageSetup paperSize="8" scale="16" orientation="landscape"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95AC8-F76B-4F2A-AD9D-2C89B2E6F0C1}">
  <sheetPr>
    <tabColor rgb="FF002060"/>
  </sheetPr>
  <dimension ref="A1:J56"/>
  <sheetViews>
    <sheetView topLeftCell="A33" workbookViewId="0">
      <selection activeCell="I21" sqref="I21"/>
    </sheetView>
  </sheetViews>
  <sheetFormatPr defaultColWidth="9" defaultRowHeight="14.25" x14ac:dyDescent="0.45"/>
  <cols>
    <col min="1" max="1" width="6.265625" style="1" bestFit="1" customWidth="1"/>
    <col min="2" max="2" width="14.86328125" style="1" bestFit="1" customWidth="1"/>
    <col min="3" max="3" width="54.1328125" style="1" bestFit="1" customWidth="1"/>
    <col min="4" max="4" width="3.73046875" style="1" bestFit="1" customWidth="1"/>
    <col min="5" max="5" width="6" style="1" bestFit="1" customWidth="1"/>
    <col min="6" max="6" width="14.265625" style="1" bestFit="1" customWidth="1"/>
    <col min="7" max="16384" width="9" style="1"/>
  </cols>
  <sheetData>
    <row r="1" spans="1:6" x14ac:dyDescent="0.45">
      <c r="A1" s="333" t="s">
        <v>84</v>
      </c>
      <c r="B1" s="333" t="s">
        <v>1081</v>
      </c>
      <c r="C1" s="333" t="s">
        <v>1082</v>
      </c>
      <c r="D1" s="333" t="s">
        <v>105</v>
      </c>
      <c r="E1" s="333" t="s">
        <v>1083</v>
      </c>
    </row>
    <row r="2" spans="1:6" x14ac:dyDescent="0.45">
      <c r="A2" s="79">
        <v>1</v>
      </c>
      <c r="B2" s="79" t="s">
        <v>1084</v>
      </c>
      <c r="C2" s="334" t="s">
        <v>1085</v>
      </c>
      <c r="E2" s="1" t="s">
        <v>1086</v>
      </c>
      <c r="F2" s="1" t="s">
        <v>322</v>
      </c>
    </row>
    <row r="3" spans="1:6" x14ac:dyDescent="0.45">
      <c r="A3" s="79">
        <v>2</v>
      </c>
      <c r="B3" s="79" t="s">
        <v>361</v>
      </c>
      <c r="C3" s="334" t="s">
        <v>1087</v>
      </c>
      <c r="E3" s="1" t="s">
        <v>1086</v>
      </c>
      <c r="F3" s="1" t="s">
        <v>322</v>
      </c>
    </row>
    <row r="4" spans="1:6" x14ac:dyDescent="0.45">
      <c r="A4" s="598">
        <v>3</v>
      </c>
      <c r="B4" s="598" t="s">
        <v>1088</v>
      </c>
      <c r="C4" s="334" t="s">
        <v>1089</v>
      </c>
      <c r="E4" s="1" t="s">
        <v>1086</v>
      </c>
      <c r="F4" s="1" t="s">
        <v>322</v>
      </c>
    </row>
    <row r="5" spans="1:6" x14ac:dyDescent="0.45">
      <c r="A5" s="598"/>
      <c r="B5" s="598"/>
      <c r="C5" s="334" t="s">
        <v>1090</v>
      </c>
      <c r="E5" s="1" t="s">
        <v>1086</v>
      </c>
      <c r="F5" s="1" t="s">
        <v>1091</v>
      </c>
    </row>
    <row r="6" spans="1:6" x14ac:dyDescent="0.45">
      <c r="A6" s="598">
        <v>4</v>
      </c>
      <c r="B6" s="598" t="s">
        <v>1092</v>
      </c>
      <c r="C6" s="334" t="s">
        <v>1093</v>
      </c>
      <c r="E6" s="1" t="s">
        <v>1086</v>
      </c>
      <c r="F6" s="1" t="s">
        <v>322</v>
      </c>
    </row>
    <row r="7" spans="1:6" x14ac:dyDescent="0.45">
      <c r="A7" s="598"/>
      <c r="B7" s="598"/>
      <c r="C7" s="334" t="s">
        <v>1094</v>
      </c>
      <c r="E7" s="1" t="s">
        <v>1086</v>
      </c>
    </row>
    <row r="8" spans="1:6" x14ac:dyDescent="0.45">
      <c r="A8" s="598"/>
      <c r="B8" s="598"/>
      <c r="C8" s="334" t="s">
        <v>1095</v>
      </c>
    </row>
    <row r="9" spans="1:6" x14ac:dyDescent="0.45">
      <c r="A9" s="598">
        <v>5</v>
      </c>
      <c r="B9" s="598" t="s">
        <v>1096</v>
      </c>
      <c r="C9" s="334" t="s">
        <v>1097</v>
      </c>
    </row>
    <row r="10" spans="1:6" x14ac:dyDescent="0.45">
      <c r="A10" s="598"/>
      <c r="B10" s="598"/>
      <c r="C10" s="334" t="s">
        <v>1098</v>
      </c>
    </row>
    <row r="11" spans="1:6" x14ac:dyDescent="0.45">
      <c r="A11" s="598"/>
      <c r="B11" s="598"/>
      <c r="C11" s="334" t="s">
        <v>1095</v>
      </c>
    </row>
    <row r="12" spans="1:6" x14ac:dyDescent="0.45">
      <c r="A12" s="598"/>
      <c r="B12" s="598"/>
      <c r="C12" s="334" t="s">
        <v>1099</v>
      </c>
    </row>
    <row r="13" spans="1:6" x14ac:dyDescent="0.45">
      <c r="A13" s="598"/>
      <c r="B13" s="598"/>
      <c r="C13" s="334" t="s">
        <v>1100</v>
      </c>
    </row>
    <row r="14" spans="1:6" x14ac:dyDescent="0.45">
      <c r="A14" s="598">
        <v>6</v>
      </c>
      <c r="B14" s="598" t="s">
        <v>1101</v>
      </c>
      <c r="C14" s="334" t="s">
        <v>1102</v>
      </c>
      <c r="F14" s="1" t="s">
        <v>322</v>
      </c>
    </row>
    <row r="15" spans="1:6" x14ac:dyDescent="0.45">
      <c r="A15" s="598"/>
      <c r="B15" s="598"/>
      <c r="C15" s="334" t="s">
        <v>1103</v>
      </c>
    </row>
    <row r="16" spans="1:6" x14ac:dyDescent="0.45">
      <c r="A16" s="598">
        <v>7</v>
      </c>
      <c r="B16" s="598" t="s">
        <v>73</v>
      </c>
      <c r="C16" s="334" t="s">
        <v>1102</v>
      </c>
      <c r="F16" s="1" t="s">
        <v>322</v>
      </c>
    </row>
    <row r="17" spans="1:10" x14ac:dyDescent="0.45">
      <c r="A17" s="598"/>
      <c r="B17" s="598"/>
      <c r="C17" s="334" t="s">
        <v>1104</v>
      </c>
    </row>
    <row r="18" spans="1:10" x14ac:dyDescent="0.45">
      <c r="A18" s="598">
        <v>8</v>
      </c>
      <c r="B18" s="598" t="s">
        <v>1105</v>
      </c>
      <c r="C18" s="334" t="s">
        <v>1102</v>
      </c>
      <c r="F18" s="1" t="s">
        <v>322</v>
      </c>
    </row>
    <row r="19" spans="1:10" x14ac:dyDescent="0.45">
      <c r="A19" s="598"/>
      <c r="B19" s="598"/>
      <c r="C19" s="334" t="s">
        <v>1106</v>
      </c>
    </row>
    <row r="20" spans="1:10" x14ac:dyDescent="0.45">
      <c r="A20" s="598">
        <v>9</v>
      </c>
      <c r="B20" s="598" t="s">
        <v>1107</v>
      </c>
      <c r="C20" s="334" t="s">
        <v>1108</v>
      </c>
      <c r="F20" s="1" t="s">
        <v>322</v>
      </c>
      <c r="I20" s="1">
        <f>31/23.75</f>
        <v>1.3052631578947369</v>
      </c>
    </row>
    <row r="21" spans="1:10" x14ac:dyDescent="0.45">
      <c r="A21" s="598"/>
      <c r="B21" s="598"/>
      <c r="C21" s="334" t="s">
        <v>1109</v>
      </c>
      <c r="F21" s="1" t="s">
        <v>322</v>
      </c>
    </row>
    <row r="22" spans="1:10" x14ac:dyDescent="0.45">
      <c r="A22" s="598"/>
      <c r="B22" s="598"/>
      <c r="C22" s="334" t="s">
        <v>1110</v>
      </c>
      <c r="I22" s="1">
        <f>33.5/27.92</f>
        <v>1.1998567335243553</v>
      </c>
      <c r="J22" s="1" t="s">
        <v>1111</v>
      </c>
    </row>
    <row r="23" spans="1:10" x14ac:dyDescent="0.45">
      <c r="A23" s="598"/>
      <c r="B23" s="598"/>
      <c r="C23" s="334" t="s">
        <v>1112</v>
      </c>
      <c r="F23" s="1" t="s">
        <v>322</v>
      </c>
    </row>
    <row r="24" spans="1:10" x14ac:dyDescent="0.45">
      <c r="A24" s="598"/>
      <c r="B24" s="598"/>
      <c r="C24" s="334" t="s">
        <v>1113</v>
      </c>
    </row>
    <row r="25" spans="1:10" x14ac:dyDescent="0.45">
      <c r="A25" s="598"/>
      <c r="B25" s="598"/>
      <c r="C25" s="334" t="s">
        <v>1114</v>
      </c>
    </row>
    <row r="26" spans="1:10" x14ac:dyDescent="0.45">
      <c r="A26" s="598"/>
      <c r="B26" s="598"/>
      <c r="C26" s="334" t="s">
        <v>1115</v>
      </c>
      <c r="F26" s="1" t="s">
        <v>322</v>
      </c>
    </row>
    <row r="27" spans="1:10" x14ac:dyDescent="0.45">
      <c r="A27" s="598">
        <v>10</v>
      </c>
      <c r="B27" s="598" t="s">
        <v>1116</v>
      </c>
      <c r="C27" s="334" t="s">
        <v>1117</v>
      </c>
      <c r="F27" s="1" t="s">
        <v>322</v>
      </c>
    </row>
    <row r="28" spans="1:10" x14ac:dyDescent="0.45">
      <c r="A28" s="598"/>
      <c r="B28" s="598"/>
      <c r="C28" s="334" t="s">
        <v>1118</v>
      </c>
    </row>
    <row r="29" spans="1:10" x14ac:dyDescent="0.45">
      <c r="A29" s="598"/>
      <c r="B29" s="598"/>
      <c r="C29" s="334" t="s">
        <v>1119</v>
      </c>
    </row>
    <row r="30" spans="1:10" x14ac:dyDescent="0.45">
      <c r="A30" s="598">
        <v>11</v>
      </c>
      <c r="B30" s="598" t="s">
        <v>447</v>
      </c>
      <c r="C30" s="334" t="s">
        <v>1120</v>
      </c>
    </row>
    <row r="31" spans="1:10" x14ac:dyDescent="0.45">
      <c r="A31" s="598"/>
      <c r="B31" s="598"/>
      <c r="C31" s="334" t="s">
        <v>1121</v>
      </c>
    </row>
    <row r="32" spans="1:10" x14ac:dyDescent="0.45">
      <c r="A32" s="598"/>
      <c r="B32" s="598"/>
      <c r="C32" s="334" t="s">
        <v>1122</v>
      </c>
    </row>
    <row r="33" spans="1:6" x14ac:dyDescent="0.45">
      <c r="A33" s="598"/>
      <c r="B33" s="598"/>
      <c r="C33" s="334" t="s">
        <v>1123</v>
      </c>
    </row>
    <row r="34" spans="1:6" x14ac:dyDescent="0.45">
      <c r="A34" s="598"/>
      <c r="B34" s="598"/>
      <c r="C34" s="334" t="s">
        <v>1124</v>
      </c>
      <c r="F34" s="1" t="s">
        <v>322</v>
      </c>
    </row>
    <row r="35" spans="1:6" x14ac:dyDescent="0.45">
      <c r="A35" s="598"/>
      <c r="B35" s="598"/>
      <c r="C35" s="334" t="s">
        <v>1125</v>
      </c>
    </row>
    <row r="36" spans="1:6" x14ac:dyDescent="0.45">
      <c r="A36" s="598"/>
      <c r="B36" s="598"/>
      <c r="C36" s="334" t="s">
        <v>1126</v>
      </c>
    </row>
    <row r="37" spans="1:6" x14ac:dyDescent="0.45">
      <c r="A37" s="598"/>
      <c r="B37" s="598"/>
      <c r="C37" s="334" t="s">
        <v>1127</v>
      </c>
    </row>
    <row r="38" spans="1:6" x14ac:dyDescent="0.45">
      <c r="A38" s="598"/>
      <c r="B38" s="598"/>
      <c r="C38" s="334" t="s">
        <v>1128</v>
      </c>
    </row>
    <row r="39" spans="1:6" x14ac:dyDescent="0.45">
      <c r="A39" s="598"/>
      <c r="B39" s="598"/>
      <c r="C39" s="334" t="s">
        <v>1129</v>
      </c>
    </row>
    <row r="40" spans="1:6" x14ac:dyDescent="0.45">
      <c r="A40" s="598"/>
      <c r="B40" s="598"/>
      <c r="C40" s="334" t="s">
        <v>1130</v>
      </c>
    </row>
    <row r="41" spans="1:6" x14ac:dyDescent="0.45">
      <c r="A41" s="598">
        <v>12</v>
      </c>
      <c r="B41" s="598" t="s">
        <v>1131</v>
      </c>
      <c r="C41" s="334" t="s">
        <v>1132</v>
      </c>
      <c r="F41" s="1" t="s">
        <v>322</v>
      </c>
    </row>
    <row r="42" spans="1:6" x14ac:dyDescent="0.45">
      <c r="A42" s="598"/>
      <c r="B42" s="598"/>
      <c r="C42" s="334" t="s">
        <v>1133</v>
      </c>
    </row>
    <row r="43" spans="1:6" x14ac:dyDescent="0.45">
      <c r="A43" s="598"/>
      <c r="B43" s="598"/>
      <c r="C43" s="334" t="s">
        <v>1134</v>
      </c>
      <c r="F43" s="1" t="s">
        <v>322</v>
      </c>
    </row>
    <row r="44" spans="1:6" x14ac:dyDescent="0.45">
      <c r="A44" s="598"/>
      <c r="B44" s="598"/>
      <c r="C44" s="334" t="s">
        <v>1135</v>
      </c>
      <c r="F44" s="1" t="s">
        <v>322</v>
      </c>
    </row>
    <row r="45" spans="1:6" x14ac:dyDescent="0.45">
      <c r="A45" s="598"/>
      <c r="B45" s="598"/>
      <c r="C45" s="334" t="s">
        <v>1136</v>
      </c>
      <c r="F45" s="1" t="s">
        <v>322</v>
      </c>
    </row>
    <row r="46" spans="1:6" x14ac:dyDescent="0.45">
      <c r="A46" s="598"/>
      <c r="B46" s="598"/>
      <c r="C46" s="334" t="s">
        <v>1137</v>
      </c>
      <c r="F46" s="1" t="s">
        <v>322</v>
      </c>
    </row>
    <row r="47" spans="1:6" x14ac:dyDescent="0.45">
      <c r="A47" s="598"/>
      <c r="B47" s="598"/>
      <c r="C47" s="334" t="s">
        <v>1138</v>
      </c>
      <c r="F47" s="1" t="s">
        <v>322</v>
      </c>
    </row>
    <row r="48" spans="1:6" x14ac:dyDescent="0.45">
      <c r="A48" s="598"/>
      <c r="B48" s="598"/>
      <c r="C48" s="334" t="s">
        <v>1139</v>
      </c>
      <c r="F48" s="1" t="s">
        <v>322</v>
      </c>
    </row>
    <row r="49" spans="1:6" x14ac:dyDescent="0.45">
      <c r="A49" s="598"/>
      <c r="B49" s="598"/>
      <c r="C49" s="334" t="s">
        <v>1140</v>
      </c>
    </row>
    <row r="50" spans="1:6" x14ac:dyDescent="0.45">
      <c r="A50" s="79">
        <v>13</v>
      </c>
      <c r="B50" s="79" t="s">
        <v>1141</v>
      </c>
      <c r="C50" s="334" t="s">
        <v>1142</v>
      </c>
    </row>
    <row r="51" spans="1:6" x14ac:dyDescent="0.45">
      <c r="A51" s="598">
        <v>14</v>
      </c>
      <c r="B51" s="598" t="s">
        <v>1143</v>
      </c>
      <c r="C51" s="334" t="s">
        <v>1144</v>
      </c>
      <c r="F51" s="1" t="s">
        <v>322</v>
      </c>
    </row>
    <row r="52" spans="1:6" x14ac:dyDescent="0.45">
      <c r="A52" s="598"/>
      <c r="B52" s="598"/>
      <c r="C52" s="334" t="s">
        <v>1145</v>
      </c>
      <c r="F52" s="1" t="s">
        <v>322</v>
      </c>
    </row>
    <row r="53" spans="1:6" x14ac:dyDescent="0.45">
      <c r="A53" s="79">
        <v>15</v>
      </c>
      <c r="B53" s="79" t="s">
        <v>1146</v>
      </c>
      <c r="C53" s="334" t="s">
        <v>1147</v>
      </c>
    </row>
    <row r="54" spans="1:6" x14ac:dyDescent="0.45">
      <c r="A54" s="79">
        <v>16</v>
      </c>
      <c r="B54" s="79" t="s">
        <v>1148</v>
      </c>
      <c r="C54" s="334" t="s">
        <v>1149</v>
      </c>
    </row>
    <row r="55" spans="1:6" x14ac:dyDescent="0.45">
      <c r="A55" s="79">
        <v>17</v>
      </c>
      <c r="B55" s="79" t="s">
        <v>1150</v>
      </c>
      <c r="C55" s="334" t="s">
        <v>1151</v>
      </c>
    </row>
    <row r="56" spans="1:6" x14ac:dyDescent="0.45">
      <c r="A56" s="79">
        <v>18</v>
      </c>
      <c r="B56" s="79" t="s">
        <v>348</v>
      </c>
      <c r="C56" s="334" t="s">
        <v>1152</v>
      </c>
    </row>
  </sheetData>
  <mergeCells count="22">
    <mergeCell ref="A4:A5"/>
    <mergeCell ref="B4:B5"/>
    <mergeCell ref="B6:B8"/>
    <mergeCell ref="A6:A8"/>
    <mergeCell ref="A9:A13"/>
    <mergeCell ref="B9:B13"/>
    <mergeCell ref="B14:B15"/>
    <mergeCell ref="A14:A15"/>
    <mergeCell ref="A16:A17"/>
    <mergeCell ref="A18:A19"/>
    <mergeCell ref="A20:A26"/>
    <mergeCell ref="A30:A40"/>
    <mergeCell ref="A41:A49"/>
    <mergeCell ref="A51:A52"/>
    <mergeCell ref="B16:B17"/>
    <mergeCell ref="B18:B19"/>
    <mergeCell ref="B20:B26"/>
    <mergeCell ref="B27:B29"/>
    <mergeCell ref="B30:B40"/>
    <mergeCell ref="B41:B49"/>
    <mergeCell ref="B51:B52"/>
    <mergeCell ref="A27:A29"/>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BE4A2-F6D9-4C4C-AD6B-9E88D1F1CEF2}">
  <sheetPr>
    <tabColor theme="8" tint="0.79998168889431442"/>
    <pageSetUpPr fitToPage="1"/>
  </sheetPr>
  <dimension ref="A9:F197"/>
  <sheetViews>
    <sheetView topLeftCell="E19" zoomScale="90" workbookViewId="0">
      <selection activeCell="E20" sqref="E20"/>
    </sheetView>
  </sheetViews>
  <sheetFormatPr defaultRowHeight="14.25" x14ac:dyDescent="0.45"/>
  <cols>
    <col min="2" max="2" width="11.59765625" bestFit="1" customWidth="1"/>
    <col min="3" max="3" width="15.1328125" bestFit="1" customWidth="1"/>
    <col min="4" max="4" width="11.86328125" bestFit="1" customWidth="1"/>
    <col min="5" max="5" width="25.1328125" bestFit="1" customWidth="1"/>
    <col min="6" max="6" width="38.86328125" bestFit="1" customWidth="1"/>
  </cols>
  <sheetData>
    <row r="9" spans="1:6" ht="15.75" x14ac:dyDescent="0.45">
      <c r="B9" s="351" t="s">
        <v>1153</v>
      </c>
      <c r="C9" s="351" t="s">
        <v>1154</v>
      </c>
      <c r="D9" s="351" t="s">
        <v>1155</v>
      </c>
      <c r="E9" s="351" t="s">
        <v>1156</v>
      </c>
      <c r="F9" s="351" t="s">
        <v>1157</v>
      </c>
    </row>
    <row r="10" spans="1:6" x14ac:dyDescent="0.45">
      <c r="A10" s="604">
        <v>1</v>
      </c>
      <c r="B10" s="352" t="s">
        <v>12</v>
      </c>
      <c r="C10" s="605" t="s">
        <v>1079</v>
      </c>
      <c r="D10" s="490">
        <v>1025</v>
      </c>
      <c r="E10" s="605" t="s">
        <v>1158</v>
      </c>
      <c r="F10" s="605" t="s">
        <v>1159</v>
      </c>
    </row>
    <row r="11" spans="1:6" x14ac:dyDescent="0.45">
      <c r="A11" s="604"/>
      <c r="B11" s="352">
        <v>51</v>
      </c>
      <c r="C11" s="606"/>
      <c r="D11" s="490">
        <v>283</v>
      </c>
      <c r="E11" s="606"/>
      <c r="F11" s="606"/>
    </row>
    <row r="12" spans="1:6" x14ac:dyDescent="0.45">
      <c r="A12" s="604"/>
      <c r="B12" s="352">
        <v>52</v>
      </c>
      <c r="C12" s="606"/>
      <c r="D12" s="490">
        <v>255</v>
      </c>
      <c r="E12" s="606"/>
      <c r="F12" s="606"/>
    </row>
    <row r="13" spans="1:6" x14ac:dyDescent="0.45">
      <c r="A13" s="604"/>
      <c r="B13" s="352">
        <v>53</v>
      </c>
      <c r="C13" s="606"/>
      <c r="D13" s="490">
        <v>155</v>
      </c>
      <c r="E13" s="606"/>
      <c r="F13" s="606"/>
    </row>
    <row r="14" spans="1:6" x14ac:dyDescent="0.45">
      <c r="A14" s="604"/>
      <c r="B14" s="352">
        <v>54</v>
      </c>
      <c r="C14" s="606"/>
      <c r="D14" s="490">
        <v>240</v>
      </c>
      <c r="E14" s="606"/>
      <c r="F14" s="606"/>
    </row>
    <row r="15" spans="1:6" x14ac:dyDescent="0.45">
      <c r="A15" s="604"/>
      <c r="B15" s="352">
        <v>55</v>
      </c>
      <c r="C15" s="606"/>
      <c r="D15" s="490">
        <v>361</v>
      </c>
      <c r="E15" s="606"/>
      <c r="F15" s="606"/>
    </row>
    <row r="16" spans="1:6" x14ac:dyDescent="0.45">
      <c r="A16" s="604"/>
      <c r="B16" s="352">
        <v>56</v>
      </c>
      <c r="C16" s="607"/>
      <c r="D16" s="490">
        <v>888</v>
      </c>
      <c r="E16" s="607"/>
      <c r="F16" s="607"/>
    </row>
    <row r="17" spans="2:6" x14ac:dyDescent="0.45">
      <c r="B17" s="352"/>
      <c r="C17" s="490" t="s">
        <v>1160</v>
      </c>
      <c r="D17" s="490">
        <f>SUM(D10:D16)+273</f>
        <v>3480</v>
      </c>
      <c r="E17" s="490"/>
      <c r="F17" s="490"/>
    </row>
    <row r="18" spans="2:6" x14ac:dyDescent="0.45">
      <c r="B18" s="352"/>
      <c r="C18" s="490" t="s">
        <v>1161</v>
      </c>
      <c r="D18" s="490">
        <v>3544</v>
      </c>
      <c r="E18" s="490"/>
      <c r="F18" s="490"/>
    </row>
    <row r="19" spans="2:6" x14ac:dyDescent="0.45">
      <c r="B19" s="352"/>
      <c r="C19" s="490" t="s">
        <v>1162</v>
      </c>
      <c r="D19" s="353">
        <f>D17-D18</f>
        <v>-64</v>
      </c>
      <c r="E19" s="490"/>
      <c r="F19" s="490"/>
    </row>
    <row r="37" spans="1:6" ht="15.75" x14ac:dyDescent="0.45">
      <c r="B37" s="351" t="s">
        <v>1153</v>
      </c>
      <c r="C37" s="351" t="s">
        <v>1154</v>
      </c>
      <c r="D37" s="351" t="s">
        <v>1155</v>
      </c>
      <c r="E37" s="351" t="s">
        <v>1156</v>
      </c>
      <c r="F37" s="351" t="s">
        <v>1157</v>
      </c>
    </row>
    <row r="38" spans="1:6" x14ac:dyDescent="0.45">
      <c r="A38" s="604">
        <v>2</v>
      </c>
      <c r="B38" s="352">
        <v>41</v>
      </c>
      <c r="C38" s="605" t="s">
        <v>1079</v>
      </c>
      <c r="D38" s="490">
        <v>32</v>
      </c>
      <c r="E38" s="605" t="s">
        <v>1158</v>
      </c>
      <c r="F38" s="605" t="s">
        <v>1163</v>
      </c>
    </row>
    <row r="39" spans="1:6" x14ac:dyDescent="0.45">
      <c r="A39" s="604"/>
      <c r="B39" s="352">
        <v>43</v>
      </c>
      <c r="C39" s="606"/>
      <c r="D39" s="490">
        <v>38</v>
      </c>
      <c r="E39" s="606"/>
      <c r="F39" s="606"/>
    </row>
    <row r="40" spans="1:6" x14ac:dyDescent="0.45">
      <c r="A40" s="604"/>
      <c r="B40" s="352">
        <v>45</v>
      </c>
      <c r="C40" s="607"/>
      <c r="D40" s="490">
        <v>200</v>
      </c>
      <c r="E40" s="607"/>
      <c r="F40" s="607"/>
    </row>
    <row r="41" spans="1:6" x14ac:dyDescent="0.45">
      <c r="B41" s="352"/>
      <c r="C41" s="490" t="s">
        <v>1160</v>
      </c>
      <c r="D41" s="490">
        <f>SUM(D38:D40)</f>
        <v>270</v>
      </c>
      <c r="E41" s="490"/>
      <c r="F41" s="490"/>
    </row>
    <row r="42" spans="1:6" x14ac:dyDescent="0.45">
      <c r="B42" s="352"/>
      <c r="C42" s="490" t="s">
        <v>1161</v>
      </c>
      <c r="D42" s="490">
        <v>217</v>
      </c>
      <c r="E42" s="490"/>
      <c r="F42" s="490"/>
    </row>
    <row r="43" spans="1:6" x14ac:dyDescent="0.45">
      <c r="B43" s="352"/>
      <c r="C43" s="490" t="s">
        <v>1162</v>
      </c>
      <c r="D43" s="355">
        <f>D41-D42</f>
        <v>53</v>
      </c>
      <c r="E43" s="490"/>
      <c r="F43" s="490"/>
    </row>
    <row r="60" spans="1:6" ht="15.75" x14ac:dyDescent="0.45">
      <c r="B60" s="351" t="s">
        <v>1153</v>
      </c>
      <c r="C60" s="351" t="s">
        <v>1154</v>
      </c>
      <c r="D60" s="351" t="s">
        <v>1155</v>
      </c>
      <c r="E60" s="351" t="s">
        <v>1156</v>
      </c>
      <c r="F60" s="351" t="s">
        <v>1157</v>
      </c>
    </row>
    <row r="61" spans="1:6" x14ac:dyDescent="0.45">
      <c r="A61" s="604">
        <v>3</v>
      </c>
      <c r="B61" s="352">
        <v>36</v>
      </c>
      <c r="C61" s="605" t="s">
        <v>1079</v>
      </c>
      <c r="D61" s="490">
        <v>220</v>
      </c>
      <c r="E61" s="605" t="s">
        <v>1158</v>
      </c>
      <c r="F61" s="605" t="s">
        <v>1164</v>
      </c>
    </row>
    <row r="62" spans="1:6" x14ac:dyDescent="0.45">
      <c r="A62" s="604"/>
      <c r="B62" s="352">
        <v>37</v>
      </c>
      <c r="C62" s="606"/>
      <c r="D62" s="490">
        <v>162</v>
      </c>
      <c r="E62" s="606"/>
      <c r="F62" s="606"/>
    </row>
    <row r="63" spans="1:6" x14ac:dyDescent="0.45">
      <c r="A63" s="604"/>
      <c r="B63" s="352">
        <v>38</v>
      </c>
      <c r="C63" s="606"/>
      <c r="D63" s="490">
        <v>104</v>
      </c>
      <c r="E63" s="606"/>
      <c r="F63" s="606"/>
    </row>
    <row r="64" spans="1:6" x14ac:dyDescent="0.45">
      <c r="A64" s="604"/>
      <c r="B64" s="352">
        <v>39</v>
      </c>
      <c r="C64" s="606"/>
      <c r="D64" s="490">
        <v>47</v>
      </c>
      <c r="E64" s="606"/>
      <c r="F64" s="606"/>
    </row>
    <row r="65" spans="1:6" x14ac:dyDescent="0.45">
      <c r="A65" s="604"/>
      <c r="B65" s="352">
        <v>57</v>
      </c>
      <c r="C65" s="606"/>
      <c r="D65" s="490">
        <v>1461</v>
      </c>
      <c r="E65" s="606"/>
      <c r="F65" s="606"/>
    </row>
    <row r="66" spans="1:6" x14ac:dyDescent="0.45">
      <c r="A66" s="604"/>
      <c r="B66" s="352">
        <v>58</v>
      </c>
      <c r="C66" s="606"/>
      <c r="D66" s="490">
        <v>240</v>
      </c>
      <c r="E66" s="606"/>
      <c r="F66" s="606"/>
    </row>
    <row r="67" spans="1:6" x14ac:dyDescent="0.45">
      <c r="A67" s="604"/>
      <c r="B67" s="352">
        <v>59</v>
      </c>
      <c r="C67" s="607"/>
      <c r="D67" s="490">
        <v>2331</v>
      </c>
      <c r="E67" s="607"/>
      <c r="F67" s="607"/>
    </row>
    <row r="68" spans="1:6" x14ac:dyDescent="0.45">
      <c r="B68" s="67"/>
      <c r="C68" s="490" t="s">
        <v>44</v>
      </c>
      <c r="D68" s="490">
        <f>SUM(D61:D67)</f>
        <v>4565</v>
      </c>
      <c r="E68" s="67"/>
      <c r="F68" s="67"/>
    </row>
    <row r="69" spans="1:6" x14ac:dyDescent="0.45">
      <c r="B69" s="352"/>
      <c r="C69" s="490" t="s">
        <v>1161</v>
      </c>
      <c r="D69" s="490">
        <f>4221+606</f>
        <v>4827</v>
      </c>
      <c r="E69" s="490"/>
      <c r="F69" s="490"/>
    </row>
    <row r="70" spans="1:6" x14ac:dyDescent="0.45">
      <c r="B70" s="352"/>
      <c r="C70" s="490" t="s">
        <v>1162</v>
      </c>
      <c r="D70" s="353">
        <f>D68-D69</f>
        <v>-262</v>
      </c>
      <c r="E70" s="490"/>
      <c r="F70" s="490"/>
    </row>
    <row r="83" spans="1:6" ht="15.75" x14ac:dyDescent="0.45">
      <c r="B83" s="351" t="s">
        <v>1153</v>
      </c>
      <c r="C83" s="351" t="s">
        <v>1154</v>
      </c>
      <c r="D83" s="351" t="s">
        <v>1155</v>
      </c>
      <c r="E83" s="351" t="s">
        <v>1156</v>
      </c>
      <c r="F83" s="351" t="s">
        <v>1157</v>
      </c>
    </row>
    <row r="84" spans="1:6" x14ac:dyDescent="0.45">
      <c r="A84" s="604">
        <v>4</v>
      </c>
      <c r="B84" s="352" t="s">
        <v>22</v>
      </c>
      <c r="C84" s="605" t="s">
        <v>1079</v>
      </c>
      <c r="D84" s="490">
        <v>552</v>
      </c>
      <c r="E84" s="605" t="s">
        <v>1158</v>
      </c>
      <c r="F84" s="605" t="s">
        <v>1165</v>
      </c>
    </row>
    <row r="85" spans="1:6" x14ac:dyDescent="0.45">
      <c r="A85" s="604"/>
      <c r="B85" s="352" t="s">
        <v>24</v>
      </c>
      <c r="C85" s="606"/>
      <c r="D85" s="490">
        <v>1577</v>
      </c>
      <c r="E85" s="606"/>
      <c r="F85" s="606"/>
    </row>
    <row r="86" spans="1:6" x14ac:dyDescent="0.45">
      <c r="A86" s="604"/>
      <c r="B86" s="352">
        <v>30</v>
      </c>
      <c r="C86" s="606"/>
      <c r="D86" s="490">
        <v>172</v>
      </c>
      <c r="E86" s="606"/>
      <c r="F86" s="606"/>
    </row>
    <row r="87" spans="1:6" x14ac:dyDescent="0.45">
      <c r="A87" s="604"/>
      <c r="B87" s="352">
        <v>31</v>
      </c>
      <c r="C87" s="606"/>
      <c r="D87" s="490">
        <v>314</v>
      </c>
      <c r="E87" s="606"/>
      <c r="F87" s="606"/>
    </row>
    <row r="88" spans="1:6" x14ac:dyDescent="0.45">
      <c r="A88" s="604"/>
      <c r="B88" s="352">
        <v>32</v>
      </c>
      <c r="C88" s="606"/>
      <c r="D88" s="490">
        <v>55</v>
      </c>
      <c r="E88" s="606"/>
      <c r="F88" s="606"/>
    </row>
    <row r="89" spans="1:6" x14ac:dyDescent="0.45">
      <c r="A89" s="604"/>
      <c r="B89" s="352">
        <v>33</v>
      </c>
      <c r="C89" s="606"/>
      <c r="D89" s="490">
        <v>149</v>
      </c>
      <c r="E89" s="606"/>
      <c r="F89" s="606"/>
    </row>
    <row r="90" spans="1:6" x14ac:dyDescent="0.45">
      <c r="A90" s="604"/>
      <c r="B90" s="352">
        <v>34</v>
      </c>
      <c r="C90" s="606"/>
      <c r="D90" s="490">
        <v>168</v>
      </c>
      <c r="E90" s="606"/>
      <c r="F90" s="606"/>
    </row>
    <row r="91" spans="1:6" x14ac:dyDescent="0.45">
      <c r="A91" s="604"/>
      <c r="B91" s="352">
        <v>60</v>
      </c>
      <c r="C91" s="606"/>
      <c r="D91" s="490">
        <v>310</v>
      </c>
      <c r="E91" s="606"/>
      <c r="F91" s="606"/>
    </row>
    <row r="92" spans="1:6" x14ac:dyDescent="0.45">
      <c r="A92" s="604"/>
      <c r="B92" s="352">
        <v>61</v>
      </c>
      <c r="C92" s="607"/>
      <c r="D92" s="490">
        <v>770</v>
      </c>
      <c r="E92" s="607"/>
      <c r="F92" s="607"/>
    </row>
    <row r="93" spans="1:6" x14ac:dyDescent="0.45">
      <c r="B93" s="67"/>
      <c r="C93" s="490" t="s">
        <v>44</v>
      </c>
      <c r="D93" s="490">
        <f>SUM(D84:D92)</f>
        <v>4067</v>
      </c>
      <c r="E93" s="67"/>
      <c r="F93" s="67"/>
    </row>
    <row r="94" spans="1:6" x14ac:dyDescent="0.45">
      <c r="B94" s="352"/>
      <c r="C94" s="490" t="s">
        <v>1161</v>
      </c>
      <c r="D94" s="490">
        <v>4031</v>
      </c>
      <c r="E94" s="490"/>
      <c r="F94" s="490"/>
    </row>
    <row r="95" spans="1:6" x14ac:dyDescent="0.45">
      <c r="B95" s="352"/>
      <c r="C95" s="490" t="s">
        <v>1162</v>
      </c>
      <c r="D95" s="355">
        <f>D93-D94</f>
        <v>36</v>
      </c>
      <c r="E95" s="490"/>
      <c r="F95" s="490"/>
    </row>
    <row r="113" spans="1:6" ht="15.75" x14ac:dyDescent="0.45">
      <c r="B113" s="351" t="s">
        <v>1153</v>
      </c>
      <c r="C113" s="351" t="s">
        <v>1154</v>
      </c>
      <c r="D113" s="351" t="s">
        <v>1155</v>
      </c>
      <c r="E113" s="351" t="s">
        <v>1156</v>
      </c>
      <c r="F113" s="351" t="s">
        <v>1157</v>
      </c>
    </row>
    <row r="114" spans="1:6" x14ac:dyDescent="0.45">
      <c r="A114" s="604">
        <v>5</v>
      </c>
      <c r="B114" s="352">
        <v>1</v>
      </c>
      <c r="C114" s="605" t="s">
        <v>1079</v>
      </c>
      <c r="D114" s="490">
        <v>539</v>
      </c>
      <c r="E114" s="605" t="s">
        <v>1158</v>
      </c>
      <c r="F114" s="605" t="s">
        <v>1166</v>
      </c>
    </row>
    <row r="115" spans="1:6" x14ac:dyDescent="0.45">
      <c r="A115" s="604"/>
      <c r="B115" s="352">
        <v>2</v>
      </c>
      <c r="C115" s="606"/>
      <c r="D115" s="490">
        <v>89</v>
      </c>
      <c r="E115" s="606"/>
      <c r="F115" s="606"/>
    </row>
    <row r="116" spans="1:6" x14ac:dyDescent="0.45">
      <c r="A116" s="604"/>
      <c r="B116" s="352">
        <v>3</v>
      </c>
      <c r="C116" s="606"/>
      <c r="D116" s="490">
        <v>164</v>
      </c>
      <c r="E116" s="606"/>
      <c r="F116" s="606"/>
    </row>
    <row r="117" spans="1:6" x14ac:dyDescent="0.45">
      <c r="A117" s="604"/>
      <c r="B117" s="352">
        <v>7</v>
      </c>
      <c r="C117" s="606"/>
      <c r="D117" s="490">
        <v>124</v>
      </c>
      <c r="E117" s="606"/>
      <c r="F117" s="606"/>
    </row>
    <row r="118" spans="1:6" x14ac:dyDescent="0.45">
      <c r="A118" s="604"/>
      <c r="B118" s="352" t="s">
        <v>1167</v>
      </c>
      <c r="C118" s="606"/>
      <c r="D118" s="490">
        <f>30</f>
        <v>30</v>
      </c>
      <c r="E118" s="606"/>
      <c r="F118" s="606"/>
    </row>
    <row r="119" spans="1:6" x14ac:dyDescent="0.45">
      <c r="A119" s="604"/>
      <c r="B119" s="352" t="s">
        <v>1168</v>
      </c>
      <c r="C119" s="606"/>
      <c r="D119" s="490">
        <v>552</v>
      </c>
      <c r="E119" s="606"/>
      <c r="F119" s="606"/>
    </row>
    <row r="120" spans="1:6" x14ac:dyDescent="0.45">
      <c r="A120" s="604"/>
      <c r="B120" s="352">
        <v>10</v>
      </c>
      <c r="C120" s="607"/>
      <c r="D120" s="490">
        <v>280</v>
      </c>
      <c r="E120" s="607"/>
      <c r="F120" s="607"/>
    </row>
    <row r="121" spans="1:6" x14ac:dyDescent="0.45">
      <c r="B121" s="352"/>
      <c r="C121" s="490" t="s">
        <v>44</v>
      </c>
      <c r="D121" s="490">
        <f>SUM(D114:D120)</f>
        <v>1778</v>
      </c>
      <c r="E121" s="490"/>
      <c r="F121" s="490"/>
    </row>
    <row r="122" spans="1:6" x14ac:dyDescent="0.45">
      <c r="B122" s="352"/>
      <c r="C122" s="490" t="s">
        <v>1161</v>
      </c>
      <c r="D122" s="490">
        <v>1579</v>
      </c>
      <c r="E122" s="490"/>
      <c r="F122" s="490"/>
    </row>
    <row r="123" spans="1:6" x14ac:dyDescent="0.45">
      <c r="B123" s="352"/>
      <c r="C123" s="490" t="s">
        <v>1162</v>
      </c>
      <c r="D123" s="355">
        <f>D121-D122</f>
        <v>199</v>
      </c>
      <c r="E123" s="490"/>
      <c r="F123" s="490"/>
    </row>
    <row r="136" spans="1:6" ht="15.75" x14ac:dyDescent="0.45">
      <c r="B136" s="351" t="s">
        <v>1153</v>
      </c>
      <c r="C136" s="351" t="s">
        <v>1154</v>
      </c>
      <c r="D136" s="351" t="s">
        <v>1155</v>
      </c>
      <c r="E136" s="351" t="s">
        <v>1156</v>
      </c>
      <c r="F136" s="351" t="s">
        <v>1157</v>
      </c>
    </row>
    <row r="137" spans="1:6" x14ac:dyDescent="0.45">
      <c r="A137" s="604">
        <v>6</v>
      </c>
      <c r="B137" s="352">
        <v>4</v>
      </c>
      <c r="C137" s="605" t="s">
        <v>1079</v>
      </c>
      <c r="D137" s="490">
        <v>127</v>
      </c>
      <c r="E137" s="605" t="s">
        <v>1158</v>
      </c>
      <c r="F137" s="605" t="s">
        <v>1169</v>
      </c>
    </row>
    <row r="138" spans="1:6" x14ac:dyDescent="0.45">
      <c r="A138" s="604"/>
      <c r="B138" s="352">
        <v>5</v>
      </c>
      <c r="C138" s="606"/>
      <c r="D138" s="490">
        <v>300</v>
      </c>
      <c r="E138" s="606"/>
      <c r="F138" s="606"/>
    </row>
    <row r="139" spans="1:6" x14ac:dyDescent="0.45">
      <c r="A139" s="604"/>
      <c r="B139" s="352">
        <v>6</v>
      </c>
      <c r="C139" s="607"/>
      <c r="D139" s="490">
        <v>190</v>
      </c>
      <c r="E139" s="607"/>
      <c r="F139" s="607"/>
    </row>
    <row r="140" spans="1:6" x14ac:dyDescent="0.45">
      <c r="B140" s="352"/>
      <c r="C140" s="490" t="s">
        <v>44</v>
      </c>
      <c r="D140" s="490">
        <f>SUM(D137:D139)</f>
        <v>617</v>
      </c>
      <c r="E140" s="490"/>
      <c r="F140" s="490"/>
    </row>
    <row r="141" spans="1:6" x14ac:dyDescent="0.45">
      <c r="B141" s="352"/>
      <c r="C141" s="490" t="s">
        <v>1161</v>
      </c>
      <c r="D141" s="490">
        <v>520</v>
      </c>
      <c r="E141" s="490"/>
      <c r="F141" s="490"/>
    </row>
    <row r="142" spans="1:6" x14ac:dyDescent="0.45">
      <c r="B142" s="352"/>
      <c r="C142" s="490" t="s">
        <v>1162</v>
      </c>
      <c r="D142" s="355">
        <f>D140-D141</f>
        <v>97</v>
      </c>
      <c r="E142" s="490"/>
      <c r="F142" s="490"/>
    </row>
    <row r="154" spans="1:6" ht="15.75" x14ac:dyDescent="0.45">
      <c r="B154" s="351" t="s">
        <v>1153</v>
      </c>
      <c r="C154" s="351" t="s">
        <v>1154</v>
      </c>
      <c r="D154" s="351" t="s">
        <v>1155</v>
      </c>
      <c r="E154" s="351" t="s">
        <v>1156</v>
      </c>
      <c r="F154" s="351" t="s">
        <v>1157</v>
      </c>
    </row>
    <row r="155" spans="1:6" x14ac:dyDescent="0.45">
      <c r="A155" s="604">
        <v>7</v>
      </c>
      <c r="B155" s="352">
        <v>12</v>
      </c>
      <c r="C155" s="605" t="s">
        <v>1079</v>
      </c>
      <c r="D155" s="490">
        <v>609</v>
      </c>
      <c r="E155" s="605" t="s">
        <v>1158</v>
      </c>
      <c r="F155" s="605" t="s">
        <v>1170</v>
      </c>
    </row>
    <row r="156" spans="1:6" x14ac:dyDescent="0.45">
      <c r="A156" s="604"/>
      <c r="B156" s="352">
        <v>14</v>
      </c>
      <c r="C156" s="606"/>
      <c r="D156" s="490">
        <v>134</v>
      </c>
      <c r="E156" s="606"/>
      <c r="F156" s="606"/>
    </row>
    <row r="157" spans="1:6" x14ac:dyDescent="0.45">
      <c r="A157" s="604"/>
      <c r="B157" s="352">
        <v>15</v>
      </c>
      <c r="C157" s="606"/>
      <c r="D157" s="490">
        <v>51</v>
      </c>
      <c r="E157" s="606"/>
      <c r="F157" s="606"/>
    </row>
    <row r="158" spans="1:6" x14ac:dyDescent="0.45">
      <c r="A158" s="604"/>
      <c r="B158" s="352">
        <v>28</v>
      </c>
      <c r="C158" s="606"/>
      <c r="D158" s="490">
        <v>44</v>
      </c>
      <c r="E158" s="606"/>
      <c r="F158" s="606"/>
    </row>
    <row r="159" spans="1:6" x14ac:dyDescent="0.45">
      <c r="A159" s="604"/>
      <c r="B159" s="352">
        <v>29</v>
      </c>
      <c r="C159" s="607"/>
      <c r="D159" s="490">
        <v>372</v>
      </c>
      <c r="E159" s="607"/>
      <c r="F159" s="607"/>
    </row>
    <row r="160" spans="1:6" x14ac:dyDescent="0.45">
      <c r="B160" s="352"/>
      <c r="C160" s="490" t="s">
        <v>44</v>
      </c>
      <c r="D160" s="490">
        <f>SUM(D155:D159)</f>
        <v>1210</v>
      </c>
      <c r="E160" s="490"/>
      <c r="F160" s="490"/>
    </row>
    <row r="161" spans="1:6" x14ac:dyDescent="0.45">
      <c r="B161" s="352"/>
      <c r="C161" s="490" t="s">
        <v>1161</v>
      </c>
      <c r="D161" s="490">
        <v>1117</v>
      </c>
      <c r="E161" s="490"/>
      <c r="F161" s="490"/>
    </row>
    <row r="162" spans="1:6" x14ac:dyDescent="0.45">
      <c r="B162" s="352"/>
      <c r="C162" s="490" t="s">
        <v>1162</v>
      </c>
      <c r="D162" s="355">
        <f>D160-D161</f>
        <v>93</v>
      </c>
      <c r="E162" s="490"/>
      <c r="F162" s="490"/>
    </row>
    <row r="171" spans="1:6" ht="15.75" x14ac:dyDescent="0.45">
      <c r="B171" s="351" t="s">
        <v>1153</v>
      </c>
      <c r="C171" s="351" t="s">
        <v>1154</v>
      </c>
      <c r="D171" s="351" t="s">
        <v>1155</v>
      </c>
      <c r="E171" s="351" t="s">
        <v>1156</v>
      </c>
      <c r="F171" s="351" t="s">
        <v>1157</v>
      </c>
    </row>
    <row r="172" spans="1:6" x14ac:dyDescent="0.45">
      <c r="A172" s="604">
        <v>8</v>
      </c>
      <c r="B172" s="352">
        <v>16</v>
      </c>
      <c r="C172" s="605" t="s">
        <v>1079</v>
      </c>
      <c r="D172" s="490">
        <v>217</v>
      </c>
      <c r="E172" s="605" t="s">
        <v>1158</v>
      </c>
      <c r="F172" s="605" t="s">
        <v>1171</v>
      </c>
    </row>
    <row r="173" spans="1:6" x14ac:dyDescent="0.45">
      <c r="A173" s="604"/>
      <c r="B173" s="352">
        <v>18</v>
      </c>
      <c r="C173" s="606"/>
      <c r="D173" s="490">
        <v>192</v>
      </c>
      <c r="E173" s="606"/>
      <c r="F173" s="606"/>
    </row>
    <row r="174" spans="1:6" x14ac:dyDescent="0.45">
      <c r="A174" s="604"/>
      <c r="B174" s="352">
        <v>20</v>
      </c>
      <c r="C174" s="606"/>
      <c r="D174" s="490">
        <v>95</v>
      </c>
      <c r="E174" s="606"/>
      <c r="F174" s="606"/>
    </row>
    <row r="175" spans="1:6" x14ac:dyDescent="0.45">
      <c r="A175" s="604"/>
      <c r="B175" s="352">
        <v>21</v>
      </c>
      <c r="C175" s="606"/>
      <c r="D175" s="490">
        <v>118</v>
      </c>
      <c r="E175" s="606"/>
      <c r="F175" s="606"/>
    </row>
    <row r="176" spans="1:6" x14ac:dyDescent="0.45">
      <c r="A176" s="604"/>
      <c r="B176" s="352">
        <v>24</v>
      </c>
      <c r="C176" s="606"/>
      <c r="D176" s="490">
        <v>82</v>
      </c>
      <c r="E176" s="606"/>
      <c r="F176" s="606"/>
    </row>
    <row r="177" spans="1:6" x14ac:dyDescent="0.45">
      <c r="A177" s="604"/>
      <c r="B177" s="352">
        <v>25</v>
      </c>
      <c r="C177" s="607"/>
      <c r="D177" s="490">
        <v>332</v>
      </c>
      <c r="E177" s="607"/>
      <c r="F177" s="607"/>
    </row>
    <row r="178" spans="1:6" x14ac:dyDescent="0.45">
      <c r="B178" s="67"/>
      <c r="C178" s="490" t="s">
        <v>44</v>
      </c>
      <c r="D178" s="490">
        <f>SUM(D172:D177)</f>
        <v>1036</v>
      </c>
      <c r="E178" s="67"/>
      <c r="F178" s="67"/>
    </row>
    <row r="179" spans="1:6" x14ac:dyDescent="0.45">
      <c r="B179" s="352"/>
      <c r="C179" s="490" t="s">
        <v>1161</v>
      </c>
      <c r="D179" s="490">
        <v>2643</v>
      </c>
      <c r="E179" s="490"/>
      <c r="F179" s="490"/>
    </row>
    <row r="180" spans="1:6" x14ac:dyDescent="0.45">
      <c r="B180" s="352"/>
      <c r="C180" s="490" t="s">
        <v>1162</v>
      </c>
      <c r="D180" s="353">
        <f>D178-D179</f>
        <v>-1607</v>
      </c>
      <c r="E180" s="490"/>
      <c r="F180" s="490"/>
    </row>
    <row r="190" spans="1:6" x14ac:dyDescent="0.45">
      <c r="B190" s="354"/>
      <c r="C190" s="79"/>
      <c r="D190" s="79"/>
      <c r="E190" s="79"/>
      <c r="F190" s="79"/>
    </row>
    <row r="191" spans="1:6" ht="15.75" x14ac:dyDescent="0.45">
      <c r="B191" s="351" t="s">
        <v>1153</v>
      </c>
      <c r="C191" s="351" t="s">
        <v>1154</v>
      </c>
      <c r="D191" s="351" t="s">
        <v>1155</v>
      </c>
      <c r="E191" s="351" t="s">
        <v>1156</v>
      </c>
      <c r="F191" s="351" t="s">
        <v>1157</v>
      </c>
    </row>
    <row r="192" spans="1:6" x14ac:dyDescent="0.45">
      <c r="A192" s="604">
        <v>9</v>
      </c>
      <c r="B192" s="352">
        <v>27</v>
      </c>
      <c r="C192" s="490" t="s">
        <v>1079</v>
      </c>
      <c r="D192" s="490">
        <v>1</v>
      </c>
      <c r="E192" s="490" t="s">
        <v>1158</v>
      </c>
      <c r="F192" s="605" t="s">
        <v>1172</v>
      </c>
    </row>
    <row r="193" spans="1:6" x14ac:dyDescent="0.45">
      <c r="A193" s="604"/>
      <c r="B193" s="352" t="s">
        <v>1173</v>
      </c>
      <c r="C193" s="490" t="s">
        <v>1079</v>
      </c>
      <c r="D193" s="490" t="s">
        <v>1174</v>
      </c>
      <c r="E193" s="490" t="s">
        <v>1158</v>
      </c>
      <c r="F193" s="606"/>
    </row>
    <row r="194" spans="1:6" x14ac:dyDescent="0.45">
      <c r="A194" s="604"/>
      <c r="B194" s="352" t="s">
        <v>1175</v>
      </c>
      <c r="C194" s="490" t="s">
        <v>1079</v>
      </c>
      <c r="D194" s="490" t="s">
        <v>1174</v>
      </c>
      <c r="E194" s="490" t="s">
        <v>1158</v>
      </c>
      <c r="F194" s="607"/>
    </row>
    <row r="195" spans="1:6" x14ac:dyDescent="0.45">
      <c r="B195" s="67"/>
      <c r="C195" s="490" t="s">
        <v>44</v>
      </c>
      <c r="D195" s="490">
        <v>1</v>
      </c>
      <c r="E195" s="67"/>
      <c r="F195" s="67"/>
    </row>
    <row r="196" spans="1:6" x14ac:dyDescent="0.45">
      <c r="B196" s="352"/>
      <c r="C196" s="490" t="s">
        <v>1161</v>
      </c>
      <c r="D196" s="490">
        <v>920</v>
      </c>
      <c r="E196" s="490"/>
      <c r="F196" s="490"/>
    </row>
    <row r="197" spans="1:6" x14ac:dyDescent="0.45">
      <c r="B197" s="352"/>
      <c r="C197" s="490" t="s">
        <v>1162</v>
      </c>
      <c r="D197" s="353">
        <f>D195-D196</f>
        <v>-919</v>
      </c>
      <c r="E197" s="490"/>
      <c r="F197" s="490"/>
    </row>
  </sheetData>
  <mergeCells count="34">
    <mergeCell ref="A10:A16"/>
    <mergeCell ref="C10:C16"/>
    <mergeCell ref="E10:E16"/>
    <mergeCell ref="F10:F16"/>
    <mergeCell ref="A38:A40"/>
    <mergeCell ref="C38:C40"/>
    <mergeCell ref="E38:E40"/>
    <mergeCell ref="F38:F40"/>
    <mergeCell ref="A61:A67"/>
    <mergeCell ref="C61:C67"/>
    <mergeCell ref="E61:E67"/>
    <mergeCell ref="F61:F67"/>
    <mergeCell ref="A84:A92"/>
    <mergeCell ref="C84:C92"/>
    <mergeCell ref="E84:E92"/>
    <mergeCell ref="F84:F92"/>
    <mergeCell ref="A114:A120"/>
    <mergeCell ref="C114:C120"/>
    <mergeCell ref="E114:E120"/>
    <mergeCell ref="F114:F120"/>
    <mergeCell ref="A137:A139"/>
    <mergeCell ref="C137:C139"/>
    <mergeCell ref="E137:E139"/>
    <mergeCell ref="F137:F139"/>
    <mergeCell ref="A192:A194"/>
    <mergeCell ref="F192:F194"/>
    <mergeCell ref="A155:A159"/>
    <mergeCell ref="C155:C159"/>
    <mergeCell ref="E155:E159"/>
    <mergeCell ref="F155:F159"/>
    <mergeCell ref="A172:A177"/>
    <mergeCell ref="C172:C177"/>
    <mergeCell ref="E172:E177"/>
    <mergeCell ref="F172:F177"/>
  </mergeCells>
  <pageMargins left="0.70866141732283472" right="0.70866141732283472" top="0.74803149606299213" bottom="0.74803149606299213" header="0.31496062992125984" footer="0.31496062992125984"/>
  <pageSetup paperSize="9" scale="67" fitToHeight="0" orientation="landscape" r:id="rId1"/>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CDC7E-43CE-4AA8-A586-1C0AFD72224D}">
  <dimension ref="A1:F70"/>
  <sheetViews>
    <sheetView zoomScale="87" workbookViewId="0">
      <selection activeCell="G59" sqref="G59"/>
    </sheetView>
  </sheetViews>
  <sheetFormatPr defaultColWidth="9" defaultRowHeight="14.25" x14ac:dyDescent="0.45"/>
  <cols>
    <col min="1" max="1" width="5.73046875" style="14" customWidth="1"/>
    <col min="2" max="2" width="23" style="102" bestFit="1" customWidth="1"/>
    <col min="3" max="3" width="26.86328125" style="106" customWidth="1"/>
    <col min="4" max="4" width="18" style="106" customWidth="1"/>
    <col min="5" max="5" width="26" style="106" bestFit="1" customWidth="1"/>
    <col min="6" max="6" width="7.265625" style="14" bestFit="1" customWidth="1"/>
    <col min="7" max="16384" width="9" style="106"/>
  </cols>
  <sheetData>
    <row r="1" spans="1:6" ht="28.5" x14ac:dyDescent="0.45">
      <c r="A1" s="370" t="s">
        <v>501</v>
      </c>
      <c r="B1" s="370" t="s">
        <v>1176</v>
      </c>
      <c r="C1" s="370" t="s">
        <v>1177</v>
      </c>
      <c r="D1" s="370" t="s">
        <v>1178</v>
      </c>
      <c r="E1" s="370" t="s">
        <v>357</v>
      </c>
      <c r="F1" s="370" t="s">
        <v>1179</v>
      </c>
    </row>
    <row r="2" spans="1:6" x14ac:dyDescent="0.45">
      <c r="A2" s="185">
        <v>1</v>
      </c>
      <c r="B2" s="185" t="s">
        <v>1180</v>
      </c>
      <c r="C2" s="185" t="s">
        <v>1181</v>
      </c>
      <c r="D2" s="185"/>
      <c r="E2" s="185"/>
      <c r="F2" s="185" t="s">
        <v>1182</v>
      </c>
    </row>
    <row r="3" spans="1:6" x14ac:dyDescent="0.45">
      <c r="A3" s="185">
        <v>2</v>
      </c>
      <c r="B3" s="185" t="s">
        <v>435</v>
      </c>
      <c r="C3" s="185" t="s">
        <v>1181</v>
      </c>
      <c r="D3" s="185" t="s">
        <v>1183</v>
      </c>
      <c r="E3" s="185"/>
      <c r="F3" s="185" t="s">
        <v>1182</v>
      </c>
    </row>
    <row r="4" spans="1:6" ht="99.75" x14ac:dyDescent="0.45">
      <c r="A4" s="185">
        <v>3</v>
      </c>
      <c r="B4" s="185" t="s">
        <v>1184</v>
      </c>
      <c r="C4" s="185" t="s">
        <v>1181</v>
      </c>
      <c r="D4" s="185" t="s">
        <v>1185</v>
      </c>
      <c r="E4" s="185"/>
      <c r="F4" s="185" t="s">
        <v>1182</v>
      </c>
    </row>
    <row r="5" spans="1:6" x14ac:dyDescent="0.45">
      <c r="A5" s="185">
        <v>4</v>
      </c>
      <c r="B5" s="185" t="s">
        <v>1186</v>
      </c>
      <c r="C5" s="185" t="s">
        <v>1182</v>
      </c>
      <c r="D5" s="185"/>
      <c r="E5" s="185"/>
      <c r="F5" s="185" t="s">
        <v>1182</v>
      </c>
    </row>
    <row r="6" spans="1:6" ht="57" x14ac:dyDescent="0.45">
      <c r="A6" s="185">
        <v>5</v>
      </c>
      <c r="B6" s="185" t="s">
        <v>1187</v>
      </c>
      <c r="C6" s="185" t="s">
        <v>1188</v>
      </c>
      <c r="D6" s="185"/>
      <c r="E6" s="185"/>
      <c r="F6" s="185" t="s">
        <v>1182</v>
      </c>
    </row>
    <row r="7" spans="1:6" x14ac:dyDescent="0.45">
      <c r="A7" s="185">
        <v>6</v>
      </c>
      <c r="B7" s="185" t="s">
        <v>1145</v>
      </c>
      <c r="C7" s="185" t="s">
        <v>1189</v>
      </c>
      <c r="D7" s="185"/>
      <c r="E7" s="185"/>
      <c r="F7" s="185" t="s">
        <v>1182</v>
      </c>
    </row>
    <row r="8" spans="1:6" ht="28.5" x14ac:dyDescent="0.45">
      <c r="A8" s="185">
        <v>7</v>
      </c>
      <c r="B8" s="185" t="s">
        <v>1190</v>
      </c>
      <c r="C8" s="185" t="s">
        <v>1191</v>
      </c>
      <c r="D8" s="185"/>
      <c r="E8" s="185"/>
      <c r="F8" s="185" t="s">
        <v>1182</v>
      </c>
    </row>
    <row r="9" spans="1:6" ht="28.5" x14ac:dyDescent="0.45">
      <c r="A9" s="185">
        <v>8</v>
      </c>
      <c r="B9" s="185" t="s">
        <v>1096</v>
      </c>
      <c r="C9" s="185" t="s">
        <v>1192</v>
      </c>
      <c r="D9" s="185"/>
      <c r="E9" s="185"/>
      <c r="F9" s="185" t="s">
        <v>1181</v>
      </c>
    </row>
    <row r="10" spans="1:6" ht="71.25" x14ac:dyDescent="0.45">
      <c r="A10" s="185">
        <v>9</v>
      </c>
      <c r="B10" s="185" t="s">
        <v>1193</v>
      </c>
      <c r="C10" s="185" t="s">
        <v>1194</v>
      </c>
      <c r="D10" s="185" t="s">
        <v>1195</v>
      </c>
      <c r="E10" s="185" t="s">
        <v>1196</v>
      </c>
      <c r="F10" s="185" t="s">
        <v>1181</v>
      </c>
    </row>
    <row r="11" spans="1:6" x14ac:dyDescent="0.45">
      <c r="A11" s="185">
        <v>10</v>
      </c>
      <c r="B11" s="185" t="s">
        <v>1197</v>
      </c>
      <c r="C11" s="185" t="s">
        <v>1198</v>
      </c>
      <c r="D11" s="185" t="s">
        <v>1199</v>
      </c>
      <c r="E11" s="185"/>
      <c r="F11" s="185"/>
    </row>
    <row r="12" spans="1:6" x14ac:dyDescent="0.45">
      <c r="A12" s="185">
        <v>11</v>
      </c>
      <c r="B12" s="185" t="s">
        <v>1200</v>
      </c>
      <c r="C12" s="185" t="s">
        <v>1201</v>
      </c>
      <c r="D12" s="185"/>
      <c r="E12" s="185"/>
      <c r="F12" s="185"/>
    </row>
    <row r="13" spans="1:6" x14ac:dyDescent="0.45">
      <c r="A13" s="185">
        <v>12</v>
      </c>
      <c r="B13" s="185" t="s">
        <v>1202</v>
      </c>
      <c r="C13" s="185" t="s">
        <v>1203</v>
      </c>
      <c r="D13" s="185" t="s">
        <v>1199</v>
      </c>
      <c r="E13" s="185"/>
      <c r="F13" s="185"/>
    </row>
    <row r="14" spans="1:6" ht="71.25" x14ac:dyDescent="0.45">
      <c r="A14" s="185">
        <v>13</v>
      </c>
      <c r="B14" s="185" t="s">
        <v>67</v>
      </c>
      <c r="C14" s="185" t="s">
        <v>1204</v>
      </c>
      <c r="D14" s="185"/>
      <c r="E14" s="185"/>
      <c r="F14" s="185"/>
    </row>
    <row r="15" spans="1:6" ht="42.75" x14ac:dyDescent="0.45">
      <c r="A15" s="185">
        <v>14</v>
      </c>
      <c r="B15" s="185" t="s">
        <v>1205</v>
      </c>
      <c r="C15" s="185" t="s">
        <v>1206</v>
      </c>
      <c r="D15" s="185"/>
      <c r="E15" s="185"/>
      <c r="F15" s="185"/>
    </row>
    <row r="16" spans="1:6" x14ac:dyDescent="0.45">
      <c r="A16" s="185">
        <v>15</v>
      </c>
      <c r="B16" s="185" t="s">
        <v>1207</v>
      </c>
      <c r="C16" s="185" t="s">
        <v>1208</v>
      </c>
      <c r="D16" s="185"/>
      <c r="E16" s="185"/>
      <c r="F16" s="185"/>
    </row>
    <row r="17" spans="1:6" x14ac:dyDescent="0.45">
      <c r="A17" s="185">
        <v>16</v>
      </c>
      <c r="B17" s="185" t="s">
        <v>1209</v>
      </c>
      <c r="C17" s="185" t="s">
        <v>1208</v>
      </c>
      <c r="D17" s="185"/>
      <c r="E17" s="185"/>
      <c r="F17" s="185"/>
    </row>
    <row r="18" spans="1:6" x14ac:dyDescent="0.45">
      <c r="A18" s="185">
        <v>17</v>
      </c>
      <c r="B18" s="185" t="s">
        <v>1210</v>
      </c>
      <c r="C18" s="185" t="s">
        <v>1208</v>
      </c>
      <c r="D18" s="185"/>
      <c r="E18" s="185"/>
      <c r="F18" s="185"/>
    </row>
    <row r="19" spans="1:6" ht="28.5" x14ac:dyDescent="0.45">
      <c r="A19" s="185">
        <v>18</v>
      </c>
      <c r="B19" s="185" t="s">
        <v>1211</v>
      </c>
      <c r="C19" s="185" t="s">
        <v>1181</v>
      </c>
      <c r="D19" s="185" t="s">
        <v>1212</v>
      </c>
      <c r="E19" s="185"/>
      <c r="F19" s="185" t="s">
        <v>1181</v>
      </c>
    </row>
    <row r="20" spans="1:6" x14ac:dyDescent="0.45">
      <c r="A20" s="185">
        <v>19</v>
      </c>
      <c r="B20" s="185" t="s">
        <v>1213</v>
      </c>
      <c r="C20" s="185" t="s">
        <v>1214</v>
      </c>
      <c r="D20" s="185"/>
      <c r="E20" s="185"/>
      <c r="F20" s="185"/>
    </row>
    <row r="21" spans="1:6" x14ac:dyDescent="0.45">
      <c r="A21" s="185">
        <v>20</v>
      </c>
      <c r="B21" s="185" t="s">
        <v>402</v>
      </c>
      <c r="C21" s="185" t="s">
        <v>1086</v>
      </c>
      <c r="D21" s="185" t="s">
        <v>1199</v>
      </c>
      <c r="E21" s="185"/>
      <c r="F21" s="185"/>
    </row>
    <row r="22" spans="1:6" x14ac:dyDescent="0.45">
      <c r="A22" s="185">
        <v>21</v>
      </c>
      <c r="B22" s="185" t="s">
        <v>1215</v>
      </c>
      <c r="C22" s="185" t="s">
        <v>1214</v>
      </c>
      <c r="D22" s="185"/>
      <c r="E22" s="185"/>
      <c r="F22" s="185"/>
    </row>
    <row r="23" spans="1:6" x14ac:dyDescent="0.45">
      <c r="A23" s="185">
        <v>22</v>
      </c>
      <c r="B23" s="185" t="s">
        <v>1216</v>
      </c>
      <c r="C23" s="185" t="s">
        <v>1217</v>
      </c>
      <c r="D23" s="185" t="s">
        <v>424</v>
      </c>
      <c r="E23" s="185"/>
      <c r="F23" s="185"/>
    </row>
    <row r="24" spans="1:6" x14ac:dyDescent="0.45">
      <c r="A24" s="185">
        <v>23</v>
      </c>
      <c r="B24" s="185" t="s">
        <v>1218</v>
      </c>
      <c r="C24" s="185" t="s">
        <v>1219</v>
      </c>
      <c r="D24" s="185"/>
      <c r="E24" s="185"/>
      <c r="F24" s="185"/>
    </row>
    <row r="25" spans="1:6" ht="28.5" x14ac:dyDescent="0.45">
      <c r="A25" s="185">
        <v>24</v>
      </c>
      <c r="B25" s="185" t="s">
        <v>1220</v>
      </c>
      <c r="C25" s="185" t="s">
        <v>1221</v>
      </c>
      <c r="D25" s="185" t="s">
        <v>1222</v>
      </c>
      <c r="E25" s="185"/>
      <c r="F25" s="185"/>
    </row>
    <row r="26" spans="1:6" x14ac:dyDescent="0.45">
      <c r="A26" s="185">
        <v>25</v>
      </c>
      <c r="B26" s="185" t="s">
        <v>1223</v>
      </c>
      <c r="C26" s="185" t="s">
        <v>1208</v>
      </c>
      <c r="D26" s="185"/>
      <c r="E26" s="185"/>
      <c r="F26" s="185"/>
    </row>
    <row r="27" spans="1:6" x14ac:dyDescent="0.45">
      <c r="A27" s="185">
        <v>26</v>
      </c>
      <c r="B27" s="185" t="s">
        <v>1224</v>
      </c>
      <c r="C27" s="185" t="s">
        <v>1203</v>
      </c>
      <c r="D27" s="185"/>
      <c r="E27" s="185"/>
      <c r="F27" s="185"/>
    </row>
    <row r="28" spans="1:6" x14ac:dyDescent="0.45">
      <c r="A28" s="185">
        <v>27</v>
      </c>
      <c r="B28" s="185" t="s">
        <v>1225</v>
      </c>
      <c r="C28" s="185" t="s">
        <v>1222</v>
      </c>
      <c r="D28" s="185"/>
      <c r="E28" s="185"/>
      <c r="F28" s="185"/>
    </row>
    <row r="29" spans="1:6" x14ac:dyDescent="0.45">
      <c r="A29" s="185">
        <v>28</v>
      </c>
      <c r="B29" s="185" t="s">
        <v>1226</v>
      </c>
      <c r="C29" s="185" t="s">
        <v>1208</v>
      </c>
      <c r="D29" s="185"/>
      <c r="E29" s="185"/>
      <c r="F29" s="185"/>
    </row>
    <row r="30" spans="1:6" x14ac:dyDescent="0.45">
      <c r="A30" s="185">
        <v>29</v>
      </c>
      <c r="B30" s="185" t="s">
        <v>1227</v>
      </c>
      <c r="C30" s="185" t="s">
        <v>1208</v>
      </c>
      <c r="D30" s="185"/>
      <c r="E30" s="185"/>
      <c r="F30" s="185"/>
    </row>
    <row r="31" spans="1:6" x14ac:dyDescent="0.45">
      <c r="A31" s="185">
        <v>30</v>
      </c>
      <c r="B31" s="185" t="s">
        <v>1228</v>
      </c>
      <c r="C31" s="185" t="s">
        <v>1208</v>
      </c>
      <c r="D31" s="185"/>
      <c r="E31" s="185"/>
      <c r="F31" s="185"/>
    </row>
    <row r="32" spans="1:6" x14ac:dyDescent="0.45">
      <c r="A32" s="185">
        <v>31</v>
      </c>
      <c r="B32" s="185" t="s">
        <v>1229</v>
      </c>
      <c r="C32" s="185" t="s">
        <v>1208</v>
      </c>
      <c r="D32" s="185"/>
      <c r="E32" s="185"/>
      <c r="F32" s="185"/>
    </row>
    <row r="33" spans="1:6" x14ac:dyDescent="0.45">
      <c r="A33" s="185">
        <v>32</v>
      </c>
      <c r="B33" s="185" t="s">
        <v>1230</v>
      </c>
      <c r="C33" s="185" t="s">
        <v>1208</v>
      </c>
      <c r="D33" s="185"/>
      <c r="E33" s="185"/>
      <c r="F33" s="185"/>
    </row>
    <row r="34" spans="1:6" x14ac:dyDescent="0.45">
      <c r="A34" s="185">
        <v>33</v>
      </c>
      <c r="B34" s="185" t="s">
        <v>1231</v>
      </c>
      <c r="C34" s="185" t="s">
        <v>1208</v>
      </c>
      <c r="D34" s="185"/>
      <c r="E34" s="185"/>
      <c r="F34" s="185"/>
    </row>
    <row r="35" spans="1:6" x14ac:dyDescent="0.45">
      <c r="A35" s="185">
        <v>34</v>
      </c>
      <c r="B35" s="185" t="s">
        <v>1232</v>
      </c>
      <c r="C35" s="185" t="s">
        <v>1208</v>
      </c>
      <c r="D35" s="185"/>
      <c r="E35" s="185"/>
      <c r="F35" s="185"/>
    </row>
    <row r="36" spans="1:6" ht="28.5" x14ac:dyDescent="0.45">
      <c r="A36" s="185">
        <v>35</v>
      </c>
      <c r="B36" s="185" t="s">
        <v>1233</v>
      </c>
      <c r="C36" s="185" t="s">
        <v>1208</v>
      </c>
      <c r="D36" s="185"/>
      <c r="E36" s="185"/>
      <c r="F36" s="185"/>
    </row>
    <row r="37" spans="1:6" x14ac:dyDescent="0.45">
      <c r="A37" s="185">
        <v>36</v>
      </c>
      <c r="B37" s="185" t="s">
        <v>1234</v>
      </c>
      <c r="C37" s="185" t="s">
        <v>1235</v>
      </c>
      <c r="D37" s="185" t="s">
        <v>1236</v>
      </c>
      <c r="E37" s="178"/>
      <c r="F37" s="185"/>
    </row>
    <row r="38" spans="1:6" x14ac:dyDescent="0.45">
      <c r="A38" s="185"/>
      <c r="B38" s="188"/>
      <c r="C38" s="178"/>
      <c r="D38" s="178"/>
      <c r="E38" s="178"/>
      <c r="F38" s="185"/>
    </row>
    <row r="39" spans="1:6" x14ac:dyDescent="0.45">
      <c r="A39" s="185"/>
      <c r="B39" s="188"/>
      <c r="C39" s="178"/>
      <c r="D39" s="178"/>
      <c r="E39" s="178"/>
      <c r="F39" s="185"/>
    </row>
    <row r="40" spans="1:6" x14ac:dyDescent="0.45">
      <c r="A40" s="608" t="s">
        <v>361</v>
      </c>
      <c r="B40" s="609"/>
      <c r="C40" s="609"/>
      <c r="D40" s="609"/>
      <c r="E40" s="610"/>
      <c r="F40" s="185"/>
    </row>
    <row r="41" spans="1:6" x14ac:dyDescent="0.45">
      <c r="A41" s="185"/>
      <c r="B41" s="188" t="s">
        <v>1237</v>
      </c>
      <c r="C41" s="178" t="s">
        <v>1238</v>
      </c>
      <c r="D41" s="178"/>
      <c r="E41" s="178"/>
      <c r="F41" s="185"/>
    </row>
    <row r="42" spans="1:6" x14ac:dyDescent="0.45">
      <c r="A42" s="185"/>
      <c r="B42" s="188" t="s">
        <v>727</v>
      </c>
      <c r="C42" s="178" t="s">
        <v>1239</v>
      </c>
      <c r="D42" s="178"/>
      <c r="E42" s="178"/>
      <c r="F42" s="185"/>
    </row>
    <row r="43" spans="1:6" x14ac:dyDescent="0.45">
      <c r="A43" s="185"/>
      <c r="B43" s="188" t="s">
        <v>1240</v>
      </c>
      <c r="C43" s="178" t="s">
        <v>1239</v>
      </c>
      <c r="D43" s="178"/>
      <c r="E43" s="178"/>
      <c r="F43" s="185"/>
    </row>
    <row r="44" spans="1:6" x14ac:dyDescent="0.45">
      <c r="A44" s="185"/>
      <c r="B44" s="188"/>
      <c r="C44" s="178"/>
      <c r="D44" s="178"/>
      <c r="E44" s="178"/>
      <c r="F44" s="185"/>
    </row>
    <row r="45" spans="1:6" x14ac:dyDescent="0.45">
      <c r="A45" s="185"/>
      <c r="B45" s="188"/>
      <c r="C45" s="178"/>
      <c r="D45" s="178"/>
      <c r="E45" s="178"/>
      <c r="F45" s="185"/>
    </row>
    <row r="46" spans="1:6" x14ac:dyDescent="0.45">
      <c r="A46" s="608" t="s">
        <v>447</v>
      </c>
      <c r="B46" s="609"/>
      <c r="C46" s="609"/>
      <c r="D46" s="609"/>
      <c r="E46" s="610"/>
      <c r="F46" s="185"/>
    </row>
    <row r="47" spans="1:6" x14ac:dyDescent="0.45">
      <c r="A47" s="185"/>
      <c r="B47" s="188" t="s">
        <v>1241</v>
      </c>
      <c r="C47" s="178" t="s">
        <v>1242</v>
      </c>
      <c r="D47" s="178"/>
      <c r="E47" s="178"/>
      <c r="F47" s="185"/>
    </row>
    <row r="48" spans="1:6" ht="128.25" x14ac:dyDescent="0.45">
      <c r="A48" s="185"/>
      <c r="B48" s="188" t="s">
        <v>1243</v>
      </c>
      <c r="C48" s="178" t="s">
        <v>1244</v>
      </c>
      <c r="D48" s="178" t="s">
        <v>1245</v>
      </c>
      <c r="E48" s="178"/>
      <c r="F48" s="185"/>
    </row>
    <row r="49" spans="1:5" ht="28.5" x14ac:dyDescent="0.45">
      <c r="A49" s="185"/>
      <c r="B49" s="188" t="s">
        <v>1246</v>
      </c>
      <c r="C49" s="178" t="s">
        <v>1247</v>
      </c>
      <c r="D49" s="178"/>
      <c r="E49" s="178"/>
    </row>
    <row r="50" spans="1:5" ht="42.75" x14ac:dyDescent="0.45">
      <c r="A50" s="185"/>
      <c r="B50" s="188" t="s">
        <v>56</v>
      </c>
      <c r="C50" s="178" t="s">
        <v>1248</v>
      </c>
      <c r="D50" s="178"/>
      <c r="E50" s="178"/>
    </row>
    <row r="51" spans="1:5" ht="28.5" x14ac:dyDescent="0.45">
      <c r="A51" s="185"/>
      <c r="B51" s="188" t="s">
        <v>1249</v>
      </c>
      <c r="C51" s="178" t="s">
        <v>1250</v>
      </c>
      <c r="D51" s="178"/>
      <c r="E51" s="178"/>
    </row>
    <row r="52" spans="1:5" x14ac:dyDescent="0.45">
      <c r="A52" s="185"/>
      <c r="B52" s="188" t="s">
        <v>514</v>
      </c>
      <c r="C52" s="178" t="s">
        <v>1251</v>
      </c>
      <c r="D52" s="178" t="s">
        <v>288</v>
      </c>
      <c r="E52" s="178"/>
    </row>
    <row r="53" spans="1:5" ht="28.5" x14ac:dyDescent="0.45">
      <c r="A53" s="185"/>
      <c r="B53" s="188" t="s">
        <v>1252</v>
      </c>
      <c r="C53" s="178" t="s">
        <v>1253</v>
      </c>
      <c r="D53" s="178"/>
      <c r="E53" s="178"/>
    </row>
    <row r="54" spans="1:5" ht="28.5" x14ac:dyDescent="0.45">
      <c r="A54" s="185"/>
      <c r="B54" s="188" t="s">
        <v>1254</v>
      </c>
      <c r="C54" s="178" t="s">
        <v>1247</v>
      </c>
      <c r="D54" s="178"/>
      <c r="E54" s="178"/>
    </row>
    <row r="55" spans="1:5" ht="142.5" x14ac:dyDescent="0.45">
      <c r="A55" s="185"/>
      <c r="B55" s="188" t="s">
        <v>1255</v>
      </c>
      <c r="C55" s="178" t="s">
        <v>1256</v>
      </c>
      <c r="D55" s="178" t="s">
        <v>1257</v>
      </c>
      <c r="E55" s="178" t="s">
        <v>1258</v>
      </c>
    </row>
    <row r="56" spans="1:5" ht="42.75" x14ac:dyDescent="0.45">
      <c r="A56" s="185"/>
      <c r="B56" s="188" t="s">
        <v>1259</v>
      </c>
      <c r="C56" s="178" t="s">
        <v>1208</v>
      </c>
      <c r="D56" s="178"/>
      <c r="E56" s="178"/>
    </row>
    <row r="57" spans="1:5" ht="28.5" x14ac:dyDescent="0.45">
      <c r="A57" s="185"/>
      <c r="B57" s="188" t="s">
        <v>1260</v>
      </c>
      <c r="C57" s="178" t="s">
        <v>1261</v>
      </c>
      <c r="D57" s="178"/>
      <c r="E57" s="178"/>
    </row>
    <row r="58" spans="1:5" ht="28.5" x14ac:dyDescent="0.45">
      <c r="B58" s="102" t="s">
        <v>1262</v>
      </c>
      <c r="C58" s="106" t="s">
        <v>1263</v>
      </c>
    </row>
    <row r="65" spans="2:5" ht="57" x14ac:dyDescent="0.45">
      <c r="B65" s="102" t="s">
        <v>1264</v>
      </c>
    </row>
    <row r="66" spans="2:5" ht="42.75" x14ac:dyDescent="0.45">
      <c r="B66" s="102" t="s">
        <v>1265</v>
      </c>
      <c r="C66" s="106" t="s">
        <v>1266</v>
      </c>
    </row>
    <row r="68" spans="2:5" ht="28.5" x14ac:dyDescent="0.45">
      <c r="B68" s="102" t="s">
        <v>1267</v>
      </c>
    </row>
    <row r="69" spans="2:5" ht="42.75" x14ac:dyDescent="0.45">
      <c r="B69" s="102" t="s">
        <v>1268</v>
      </c>
      <c r="C69" s="106" t="s">
        <v>1269</v>
      </c>
      <c r="D69" s="106" t="s">
        <v>1270</v>
      </c>
      <c r="E69" s="106" t="s">
        <v>1271</v>
      </c>
    </row>
    <row r="70" spans="2:5" x14ac:dyDescent="0.45">
      <c r="E70" s="106" t="s">
        <v>1272</v>
      </c>
    </row>
  </sheetData>
  <mergeCells count="2">
    <mergeCell ref="A40:E40"/>
    <mergeCell ref="A46:E46"/>
  </mergeCell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E2970-A823-4F24-A77D-AADB35B9DDFE}">
  <dimension ref="A2:J14"/>
  <sheetViews>
    <sheetView zoomScale="92" workbookViewId="0">
      <selection activeCell="H29" sqref="H29"/>
    </sheetView>
  </sheetViews>
  <sheetFormatPr defaultColWidth="9" defaultRowHeight="14.25" x14ac:dyDescent="0.45"/>
  <cols>
    <col min="1" max="1" width="6.59765625" style="79" bestFit="1" customWidth="1"/>
    <col min="2" max="2" width="6.73046875" style="79" bestFit="1" customWidth="1"/>
    <col min="3" max="3" width="12" style="79" bestFit="1" customWidth="1"/>
    <col min="4" max="4" width="11" style="79" bestFit="1" customWidth="1"/>
    <col min="5" max="5" width="6.1328125" style="79" bestFit="1" customWidth="1"/>
    <col min="6" max="6" width="52" style="79" bestFit="1" customWidth="1"/>
    <col min="7" max="7" width="4" style="79" bestFit="1" customWidth="1"/>
    <col min="8" max="8" width="31.73046875" style="79" bestFit="1" customWidth="1"/>
    <col min="9" max="9" width="46.86328125" style="79" bestFit="1" customWidth="1"/>
    <col min="10" max="10" width="43.3984375" style="79" bestFit="1" customWidth="1"/>
    <col min="11" max="16384" width="9" style="79"/>
  </cols>
  <sheetData>
    <row r="2" spans="1:10" x14ac:dyDescent="0.45">
      <c r="A2" s="489" t="s">
        <v>84</v>
      </c>
      <c r="B2" s="489" t="s">
        <v>1273</v>
      </c>
      <c r="C2" s="489" t="s">
        <v>1274</v>
      </c>
      <c r="D2" s="489" t="s">
        <v>745</v>
      </c>
      <c r="E2" s="489" t="s">
        <v>849</v>
      </c>
      <c r="F2" s="489" t="s">
        <v>503</v>
      </c>
      <c r="G2" s="489" t="s">
        <v>105</v>
      </c>
      <c r="H2" s="489" t="s">
        <v>988</v>
      </c>
      <c r="I2" s="489" t="s">
        <v>1275</v>
      </c>
      <c r="J2" s="489" t="s">
        <v>357</v>
      </c>
    </row>
    <row r="3" spans="1:10" ht="71.25" x14ac:dyDescent="0.45">
      <c r="A3" s="490">
        <v>1</v>
      </c>
      <c r="B3" s="490">
        <v>1</v>
      </c>
      <c r="C3" s="473" t="s">
        <v>1276</v>
      </c>
      <c r="D3" s="490" t="s">
        <v>1277</v>
      </c>
      <c r="E3" s="490" t="s">
        <v>1278</v>
      </c>
      <c r="F3" s="490" t="s">
        <v>1279</v>
      </c>
      <c r="G3" s="490">
        <v>10</v>
      </c>
      <c r="H3" s="490" t="s">
        <v>1280</v>
      </c>
      <c r="I3" s="371" t="s">
        <v>1281</v>
      </c>
      <c r="J3" s="490" t="s">
        <v>1282</v>
      </c>
    </row>
    <row r="4" spans="1:10" x14ac:dyDescent="0.45">
      <c r="A4" s="490">
        <v>2</v>
      </c>
      <c r="B4" s="490">
        <v>2</v>
      </c>
      <c r="C4" s="473" t="s">
        <v>1283</v>
      </c>
      <c r="D4" s="490" t="s">
        <v>1284</v>
      </c>
      <c r="E4" s="490" t="s">
        <v>1285</v>
      </c>
      <c r="F4" s="490" t="s">
        <v>1286</v>
      </c>
      <c r="G4" s="490">
        <v>1</v>
      </c>
      <c r="H4" s="490" t="s">
        <v>1287</v>
      </c>
      <c r="I4" s="372" t="s">
        <v>1288</v>
      </c>
      <c r="J4" s="490"/>
    </row>
    <row r="5" spans="1:10" x14ac:dyDescent="0.45">
      <c r="A5" s="490">
        <v>3</v>
      </c>
      <c r="B5" s="490">
        <v>2</v>
      </c>
      <c r="C5" s="473" t="s">
        <v>1283</v>
      </c>
      <c r="D5" s="490" t="s">
        <v>1284</v>
      </c>
      <c r="E5" s="490" t="s">
        <v>1285</v>
      </c>
      <c r="F5" s="490" t="s">
        <v>1289</v>
      </c>
      <c r="G5" s="490">
        <v>1</v>
      </c>
      <c r="H5" s="490" t="s">
        <v>1290</v>
      </c>
      <c r="I5" s="372" t="s">
        <v>1288</v>
      </c>
      <c r="J5" s="490"/>
    </row>
    <row r="6" spans="1:10" x14ac:dyDescent="0.45">
      <c r="A6" s="490">
        <v>4</v>
      </c>
      <c r="B6" s="490">
        <v>3</v>
      </c>
      <c r="C6" s="473" t="s">
        <v>1291</v>
      </c>
      <c r="D6" s="490" t="s">
        <v>1284</v>
      </c>
      <c r="E6" s="490" t="s">
        <v>1278</v>
      </c>
      <c r="F6" s="490" t="s">
        <v>1292</v>
      </c>
      <c r="G6" s="490">
        <v>1</v>
      </c>
      <c r="H6" s="490" t="s">
        <v>1293</v>
      </c>
      <c r="I6" s="372" t="s">
        <v>1294</v>
      </c>
      <c r="J6" s="490"/>
    </row>
    <row r="7" spans="1:10" x14ac:dyDescent="0.45">
      <c r="A7" s="490">
        <v>5</v>
      </c>
      <c r="B7" s="490">
        <v>3</v>
      </c>
      <c r="C7" s="473" t="s">
        <v>1291</v>
      </c>
      <c r="D7" s="490" t="s">
        <v>1284</v>
      </c>
      <c r="E7" s="490" t="s">
        <v>1278</v>
      </c>
      <c r="F7" s="490" t="s">
        <v>1295</v>
      </c>
      <c r="G7" s="490">
        <v>1</v>
      </c>
      <c r="H7" s="490" t="s">
        <v>1296</v>
      </c>
      <c r="I7" s="372" t="s">
        <v>1294</v>
      </c>
      <c r="J7" s="490"/>
    </row>
    <row r="8" spans="1:10" x14ac:dyDescent="0.45">
      <c r="A8" s="490">
        <v>6</v>
      </c>
      <c r="B8" s="490">
        <v>3</v>
      </c>
      <c r="C8" s="473" t="s">
        <v>1291</v>
      </c>
      <c r="D8" s="490" t="s">
        <v>1284</v>
      </c>
      <c r="E8" s="490" t="s">
        <v>1278</v>
      </c>
      <c r="F8" s="490" t="s">
        <v>1297</v>
      </c>
      <c r="G8" s="490">
        <v>1</v>
      </c>
      <c r="H8" s="490" t="s">
        <v>1298</v>
      </c>
      <c r="I8" s="372" t="s">
        <v>1294</v>
      </c>
      <c r="J8" s="490"/>
    </row>
    <row r="9" spans="1:10" x14ac:dyDescent="0.45">
      <c r="A9" s="490">
        <v>7</v>
      </c>
      <c r="B9" s="490">
        <v>4</v>
      </c>
      <c r="C9" s="473" t="s">
        <v>1299</v>
      </c>
      <c r="D9" s="490" t="s">
        <v>1284</v>
      </c>
      <c r="E9" s="490" t="s">
        <v>1300</v>
      </c>
      <c r="F9" s="490" t="s">
        <v>1301</v>
      </c>
      <c r="G9" s="490">
        <v>2</v>
      </c>
      <c r="H9" s="490" t="s">
        <v>1302</v>
      </c>
      <c r="I9" s="372" t="s">
        <v>1288</v>
      </c>
      <c r="J9" s="490"/>
    </row>
    <row r="10" spans="1:10" x14ac:dyDescent="0.45">
      <c r="A10" s="490">
        <v>8</v>
      </c>
      <c r="B10" s="490">
        <v>5</v>
      </c>
      <c r="C10" s="473" t="s">
        <v>1303</v>
      </c>
      <c r="D10" s="490" t="s">
        <v>1284</v>
      </c>
      <c r="E10" s="490" t="s">
        <v>1304</v>
      </c>
      <c r="F10" s="490" t="s">
        <v>1305</v>
      </c>
      <c r="G10" s="490">
        <v>2</v>
      </c>
      <c r="H10" s="490" t="s">
        <v>1287</v>
      </c>
      <c r="I10" s="372" t="s">
        <v>1306</v>
      </c>
      <c r="J10" s="490"/>
    </row>
    <row r="11" spans="1:10" x14ac:dyDescent="0.45">
      <c r="A11" s="490">
        <v>9</v>
      </c>
      <c r="B11" s="490">
        <v>6</v>
      </c>
      <c r="C11" s="473" t="s">
        <v>1307</v>
      </c>
      <c r="D11" s="490" t="s">
        <v>441</v>
      </c>
      <c r="E11" s="490" t="s">
        <v>1308</v>
      </c>
      <c r="F11" s="490" t="s">
        <v>1309</v>
      </c>
      <c r="G11" s="490">
        <v>16</v>
      </c>
      <c r="H11" s="490" t="s">
        <v>1310</v>
      </c>
      <c r="I11" s="372" t="s">
        <v>1294</v>
      </c>
      <c r="J11" s="490"/>
    </row>
    <row r="12" spans="1:10" x14ac:dyDescent="0.45">
      <c r="A12" s="490">
        <v>10</v>
      </c>
      <c r="B12" s="490">
        <v>7</v>
      </c>
      <c r="C12" s="473" t="s">
        <v>1311</v>
      </c>
      <c r="D12" s="490" t="s">
        <v>1284</v>
      </c>
      <c r="E12" s="490" t="s">
        <v>1278</v>
      </c>
      <c r="F12" s="490" t="s">
        <v>1312</v>
      </c>
      <c r="G12" s="490">
        <v>1</v>
      </c>
      <c r="H12" s="490" t="s">
        <v>1313</v>
      </c>
      <c r="I12" s="372" t="s">
        <v>1294</v>
      </c>
      <c r="J12" s="490"/>
    </row>
    <row r="13" spans="1:10" x14ac:dyDescent="0.45">
      <c r="A13" s="490">
        <v>11</v>
      </c>
      <c r="B13" s="490">
        <v>7</v>
      </c>
      <c r="C13" s="473" t="s">
        <v>1311</v>
      </c>
      <c r="D13" s="490" t="s">
        <v>1284</v>
      </c>
      <c r="E13" s="490" t="s">
        <v>1278</v>
      </c>
      <c r="F13" s="490" t="s">
        <v>1314</v>
      </c>
      <c r="G13" s="490">
        <v>1</v>
      </c>
      <c r="H13" s="490" t="s">
        <v>1315</v>
      </c>
      <c r="I13" s="372" t="s">
        <v>1294</v>
      </c>
      <c r="J13" s="490"/>
    </row>
    <row r="14" spans="1:10" x14ac:dyDescent="0.45">
      <c r="C14" s="472"/>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0A8C0-2596-4386-AA9B-B07E5D0C3CA6}">
  <sheetPr>
    <tabColor theme="2" tint="-9.9978637043366805E-2"/>
    <pageSetUpPr fitToPage="1"/>
  </sheetPr>
  <dimension ref="A1:AI368"/>
  <sheetViews>
    <sheetView topLeftCell="A238" zoomScale="68" zoomScaleNormal="75" zoomScaleSheetLayoutView="90" workbookViewId="0">
      <selection activeCell="E189" sqref="E189"/>
    </sheetView>
  </sheetViews>
  <sheetFormatPr defaultRowHeight="14.25" x14ac:dyDescent="0.45"/>
  <cols>
    <col min="1" max="1" width="6.73046875" customWidth="1"/>
    <col min="2" max="2" width="15.86328125" bestFit="1" customWidth="1"/>
    <col min="3" max="3" width="17.73046875" bestFit="1" customWidth="1"/>
    <col min="4" max="4" width="15.59765625" customWidth="1"/>
    <col min="5" max="5" width="14.59765625" customWidth="1"/>
    <col min="6" max="6" width="17.1328125" customWidth="1"/>
    <col min="7" max="7" width="14.1328125" customWidth="1"/>
    <col min="8" max="8" width="15.3984375" customWidth="1"/>
    <col min="9" max="9" width="16" customWidth="1"/>
    <col min="10" max="11" width="17.86328125" customWidth="1"/>
    <col min="12" max="12" width="16.265625" bestFit="1" customWidth="1"/>
    <col min="13" max="13" width="12.86328125" customWidth="1"/>
    <col min="14" max="14" width="11.265625" bestFit="1" customWidth="1"/>
    <col min="15" max="16" width="15.1328125" customWidth="1"/>
    <col min="17" max="17" width="20.3984375" customWidth="1"/>
    <col min="18" max="18" width="12.86328125" customWidth="1"/>
    <col min="19" max="19" width="9.73046875" customWidth="1"/>
    <col min="20" max="20" width="8.73046875" bestFit="1" customWidth="1"/>
    <col min="21" max="21" width="7.86328125" bestFit="1" customWidth="1"/>
    <col min="22" max="22" width="11" bestFit="1" customWidth="1"/>
    <col min="23" max="23" width="12.59765625" bestFit="1" customWidth="1"/>
    <col min="24" max="25" width="7.265625" bestFit="1" customWidth="1"/>
    <col min="26" max="26" width="10.265625" bestFit="1" customWidth="1"/>
    <col min="27" max="27" width="14.59765625" bestFit="1" customWidth="1"/>
    <col min="28" max="28" width="4.265625" bestFit="1" customWidth="1"/>
    <col min="29" max="29" width="17.73046875" bestFit="1" customWidth="1"/>
    <col min="30" max="30" width="14.3984375" bestFit="1" customWidth="1"/>
    <col min="31" max="31" width="17.73046875" style="103" bestFit="1" customWidth="1"/>
    <col min="32" max="32" width="12.73046875" style="103" bestFit="1" customWidth="1"/>
    <col min="35" max="35" width="12.1328125" bestFit="1" customWidth="1"/>
  </cols>
  <sheetData>
    <row r="1" spans="1:12" ht="21.4" thickBot="1" x14ac:dyDescent="0.7">
      <c r="A1" s="533" t="str">
        <f>"Mangal - "&amp;ROUND(J31/4047,2)&amp;" Acres"</f>
        <v>Mangal - 27.92 Acres</v>
      </c>
      <c r="B1" s="534"/>
      <c r="C1" s="534"/>
      <c r="D1" s="534"/>
      <c r="E1" s="534"/>
      <c r="F1" s="534"/>
      <c r="G1" s="534"/>
      <c r="H1" s="534"/>
      <c r="I1" s="534"/>
      <c r="J1" s="534"/>
      <c r="K1" s="534"/>
      <c r="L1" s="534"/>
    </row>
    <row r="2" spans="1:12" ht="28.9" thickBot="1" x14ac:dyDescent="0.5">
      <c r="A2" s="477" t="s">
        <v>84</v>
      </c>
      <c r="B2" s="476" t="s">
        <v>85</v>
      </c>
      <c r="C2" s="476" t="s">
        <v>493</v>
      </c>
      <c r="D2" s="476" t="s">
        <v>86</v>
      </c>
      <c r="E2" s="476" t="s">
        <v>88</v>
      </c>
      <c r="F2" s="476" t="s">
        <v>89</v>
      </c>
      <c r="G2" s="476" t="s">
        <v>90</v>
      </c>
      <c r="H2" s="476" t="s">
        <v>91</v>
      </c>
      <c r="I2" s="476" t="s">
        <v>92</v>
      </c>
      <c r="J2" s="476" t="s">
        <v>93</v>
      </c>
      <c r="K2" s="476" t="s">
        <v>981</v>
      </c>
      <c r="L2" s="476" t="s">
        <v>864</v>
      </c>
    </row>
    <row r="3" spans="1:12" ht="14.25" customHeight="1" x14ac:dyDescent="0.45">
      <c r="A3" s="1">
        <v>1</v>
      </c>
      <c r="B3" s="1" t="s">
        <v>12</v>
      </c>
      <c r="C3" s="1" t="s">
        <v>151</v>
      </c>
      <c r="D3" s="1">
        <v>9</v>
      </c>
      <c r="E3" s="1">
        <f>D3*8+3*2</f>
        <v>78</v>
      </c>
      <c r="F3" s="49">
        <v>6</v>
      </c>
      <c r="G3" s="49">
        <v>3</v>
      </c>
      <c r="H3" s="1">
        <v>46</v>
      </c>
      <c r="I3" s="1">
        <v>26</v>
      </c>
      <c r="J3" s="4">
        <f>8*(F3*H3+G3*I3)+6*H3</f>
        <v>3108</v>
      </c>
      <c r="K3" s="62">
        <v>50</v>
      </c>
      <c r="L3" s="64">
        <f t="shared" ref="L3:L30" si="0">J3*K3/1000</f>
        <v>155.4</v>
      </c>
    </row>
    <row r="4" spans="1:12" x14ac:dyDescent="0.45">
      <c r="A4" s="1">
        <v>2</v>
      </c>
      <c r="B4" s="1" t="s">
        <v>14</v>
      </c>
      <c r="C4" s="1" t="s">
        <v>152</v>
      </c>
      <c r="D4" s="1">
        <v>10</v>
      </c>
      <c r="E4" s="1">
        <f t="shared" ref="E4:E30" si="1">D4*8+3*2</f>
        <v>86</v>
      </c>
      <c r="F4" s="49">
        <v>8</v>
      </c>
      <c r="G4" s="49">
        <v>2</v>
      </c>
      <c r="H4" s="1">
        <v>51</v>
      </c>
      <c r="I4" s="1">
        <v>47</v>
      </c>
      <c r="J4" s="4">
        <f t="shared" ref="J4:J30" si="2">8*(F4*H4+G4*I4)+6*H4</f>
        <v>4322</v>
      </c>
      <c r="K4" s="62">
        <f>K3</f>
        <v>50</v>
      </c>
      <c r="L4" s="64">
        <f t="shared" si="0"/>
        <v>216.1</v>
      </c>
    </row>
    <row r="5" spans="1:12" x14ac:dyDescent="0.45">
      <c r="A5" s="1">
        <v>3</v>
      </c>
      <c r="B5" s="1" t="s">
        <v>14</v>
      </c>
      <c r="C5" s="1" t="s">
        <v>153</v>
      </c>
      <c r="D5" s="1">
        <v>10</v>
      </c>
      <c r="E5" s="1">
        <f t="shared" si="1"/>
        <v>86</v>
      </c>
      <c r="F5" s="49">
        <v>8</v>
      </c>
      <c r="G5" s="49">
        <v>2</v>
      </c>
      <c r="H5" s="1">
        <v>51</v>
      </c>
      <c r="I5" s="1">
        <v>51</v>
      </c>
      <c r="J5" s="4">
        <f t="shared" si="2"/>
        <v>4386</v>
      </c>
      <c r="K5" s="62">
        <f t="shared" ref="K5:K30" si="3">K4</f>
        <v>50</v>
      </c>
      <c r="L5" s="64">
        <f t="shared" si="0"/>
        <v>219.3</v>
      </c>
    </row>
    <row r="6" spans="1:12" x14ac:dyDescent="0.45">
      <c r="A6" s="1">
        <v>4</v>
      </c>
      <c r="B6" s="1" t="s">
        <v>16</v>
      </c>
      <c r="C6" s="1" t="s">
        <v>154</v>
      </c>
      <c r="D6" s="1">
        <v>9</v>
      </c>
      <c r="E6" s="1">
        <f t="shared" si="1"/>
        <v>78</v>
      </c>
      <c r="F6" s="49">
        <v>9</v>
      </c>
      <c r="G6" s="49">
        <v>0</v>
      </c>
      <c r="H6" s="1">
        <v>58</v>
      </c>
      <c r="I6" s="1">
        <v>0</v>
      </c>
      <c r="J6" s="4">
        <f t="shared" si="2"/>
        <v>4524</v>
      </c>
      <c r="K6" s="62">
        <f t="shared" si="3"/>
        <v>50</v>
      </c>
      <c r="L6" s="64">
        <f t="shared" si="0"/>
        <v>226.2</v>
      </c>
    </row>
    <row r="7" spans="1:12" x14ac:dyDescent="0.45">
      <c r="A7" s="1">
        <v>5</v>
      </c>
      <c r="B7" s="1" t="s">
        <v>18</v>
      </c>
      <c r="C7" s="1" t="s">
        <v>155</v>
      </c>
      <c r="D7" s="1">
        <v>10</v>
      </c>
      <c r="E7" s="1">
        <f t="shared" si="1"/>
        <v>86</v>
      </c>
      <c r="F7" s="49">
        <v>10</v>
      </c>
      <c r="G7" s="49">
        <v>0</v>
      </c>
      <c r="H7" s="1">
        <v>51</v>
      </c>
      <c r="I7" s="1">
        <v>0</v>
      </c>
      <c r="J7" s="4">
        <f t="shared" si="2"/>
        <v>4386</v>
      </c>
      <c r="K7" s="62">
        <f t="shared" si="3"/>
        <v>50</v>
      </c>
      <c r="L7" s="64">
        <f t="shared" si="0"/>
        <v>219.3</v>
      </c>
    </row>
    <row r="8" spans="1:12" x14ac:dyDescent="0.45">
      <c r="A8" s="1">
        <v>6</v>
      </c>
      <c r="B8" s="1" t="s">
        <v>18</v>
      </c>
      <c r="C8" s="1" t="s">
        <v>156</v>
      </c>
      <c r="D8" s="1">
        <v>10</v>
      </c>
      <c r="E8" s="1">
        <f t="shared" si="1"/>
        <v>86</v>
      </c>
      <c r="F8" s="49">
        <v>10</v>
      </c>
      <c r="G8" s="49">
        <v>0</v>
      </c>
      <c r="H8" s="1">
        <v>51</v>
      </c>
      <c r="I8" s="1">
        <v>0</v>
      </c>
      <c r="J8" s="4">
        <f t="shared" si="2"/>
        <v>4386</v>
      </c>
      <c r="K8" s="62">
        <f t="shared" si="3"/>
        <v>50</v>
      </c>
      <c r="L8" s="64">
        <f t="shared" si="0"/>
        <v>219.3</v>
      </c>
    </row>
    <row r="9" spans="1:12" x14ac:dyDescent="0.45">
      <c r="A9" s="1">
        <v>7</v>
      </c>
      <c r="B9" s="1" t="s">
        <v>20</v>
      </c>
      <c r="C9" s="1" t="s">
        <v>157</v>
      </c>
      <c r="D9" s="1">
        <v>10</v>
      </c>
      <c r="E9" s="1">
        <f t="shared" si="1"/>
        <v>86</v>
      </c>
      <c r="F9" s="49">
        <v>10</v>
      </c>
      <c r="G9" s="49">
        <v>0</v>
      </c>
      <c r="H9" s="1">
        <v>39</v>
      </c>
      <c r="I9" s="1">
        <v>0</v>
      </c>
      <c r="J9" s="4">
        <f t="shared" si="2"/>
        <v>3354</v>
      </c>
      <c r="K9" s="62">
        <f t="shared" si="3"/>
        <v>50</v>
      </c>
      <c r="L9" s="64">
        <f t="shared" si="0"/>
        <v>167.7</v>
      </c>
    </row>
    <row r="10" spans="1:12" x14ac:dyDescent="0.45">
      <c r="A10" s="1">
        <v>8</v>
      </c>
      <c r="B10" s="1" t="s">
        <v>20</v>
      </c>
      <c r="C10" s="1" t="s">
        <v>158</v>
      </c>
      <c r="D10" s="1">
        <v>10</v>
      </c>
      <c r="E10" s="1">
        <f t="shared" si="1"/>
        <v>86</v>
      </c>
      <c r="F10" s="49">
        <v>10</v>
      </c>
      <c r="G10" s="49">
        <v>0</v>
      </c>
      <c r="H10" s="1">
        <v>39</v>
      </c>
      <c r="I10" s="1">
        <v>0</v>
      </c>
      <c r="J10" s="4">
        <f t="shared" si="2"/>
        <v>3354</v>
      </c>
      <c r="K10" s="62">
        <f t="shared" si="3"/>
        <v>50</v>
      </c>
      <c r="L10" s="64">
        <f t="shared" si="0"/>
        <v>167.7</v>
      </c>
    </row>
    <row r="11" spans="1:12" x14ac:dyDescent="0.45">
      <c r="A11" s="1">
        <v>9</v>
      </c>
      <c r="B11" s="1" t="s">
        <v>22</v>
      </c>
      <c r="C11" s="1" t="s">
        <v>159</v>
      </c>
      <c r="D11" s="1">
        <v>10</v>
      </c>
      <c r="E11" s="1">
        <f t="shared" si="1"/>
        <v>86</v>
      </c>
      <c r="F11" s="49">
        <v>4</v>
      </c>
      <c r="G11" s="49">
        <v>6</v>
      </c>
      <c r="H11" s="1">
        <v>43</v>
      </c>
      <c r="I11" s="1">
        <v>19</v>
      </c>
      <c r="J11" s="4">
        <f t="shared" si="2"/>
        <v>2546</v>
      </c>
      <c r="K11" s="62">
        <f t="shared" si="3"/>
        <v>50</v>
      </c>
      <c r="L11" s="64">
        <f t="shared" si="0"/>
        <v>127.3</v>
      </c>
    </row>
    <row r="12" spans="1:12" x14ac:dyDescent="0.45">
      <c r="A12" s="1">
        <v>10</v>
      </c>
      <c r="B12" s="1" t="s">
        <v>22</v>
      </c>
      <c r="C12" s="1" t="s">
        <v>160</v>
      </c>
      <c r="D12" s="1">
        <v>10</v>
      </c>
      <c r="E12" s="1">
        <f t="shared" si="1"/>
        <v>86</v>
      </c>
      <c r="F12" s="49">
        <v>4</v>
      </c>
      <c r="G12" s="49">
        <v>6</v>
      </c>
      <c r="H12" s="1">
        <v>43</v>
      </c>
      <c r="I12" s="1">
        <v>43</v>
      </c>
      <c r="J12" s="4">
        <f t="shared" si="2"/>
        <v>3698</v>
      </c>
      <c r="K12" s="62">
        <f t="shared" si="3"/>
        <v>50</v>
      </c>
      <c r="L12" s="64">
        <f t="shared" si="0"/>
        <v>184.9</v>
      </c>
    </row>
    <row r="13" spans="1:12" x14ac:dyDescent="0.45">
      <c r="A13" s="1">
        <v>11</v>
      </c>
      <c r="B13" s="1" t="s">
        <v>24</v>
      </c>
      <c r="C13" s="1" t="s">
        <v>161</v>
      </c>
      <c r="D13" s="1">
        <v>11</v>
      </c>
      <c r="E13" s="1">
        <f t="shared" si="1"/>
        <v>94</v>
      </c>
      <c r="F13" s="49">
        <v>11</v>
      </c>
      <c r="G13" s="49">
        <v>0</v>
      </c>
      <c r="H13" s="1">
        <v>37</v>
      </c>
      <c r="I13" s="1">
        <v>0</v>
      </c>
      <c r="J13" s="4">
        <f t="shared" si="2"/>
        <v>3478</v>
      </c>
      <c r="K13" s="62">
        <f t="shared" si="3"/>
        <v>50</v>
      </c>
      <c r="L13" s="64">
        <f t="shared" si="0"/>
        <v>173.9</v>
      </c>
    </row>
    <row r="14" spans="1:12" x14ac:dyDescent="0.45">
      <c r="A14" s="1">
        <v>12</v>
      </c>
      <c r="B14" s="1" t="s">
        <v>24</v>
      </c>
      <c r="C14" s="1" t="s">
        <v>162</v>
      </c>
      <c r="D14" s="1">
        <v>11</v>
      </c>
      <c r="E14" s="1">
        <f t="shared" si="1"/>
        <v>94</v>
      </c>
      <c r="F14" s="49">
        <v>11</v>
      </c>
      <c r="G14" s="49">
        <v>0</v>
      </c>
      <c r="H14" s="1">
        <v>37</v>
      </c>
      <c r="I14" s="1">
        <v>0</v>
      </c>
      <c r="J14" s="4">
        <f t="shared" si="2"/>
        <v>3478</v>
      </c>
      <c r="K14" s="62">
        <f t="shared" si="3"/>
        <v>50</v>
      </c>
      <c r="L14" s="64">
        <f t="shared" si="0"/>
        <v>173.9</v>
      </c>
    </row>
    <row r="15" spans="1:12" x14ac:dyDescent="0.45">
      <c r="A15" s="1">
        <v>13</v>
      </c>
      <c r="B15" s="1" t="s">
        <v>27</v>
      </c>
      <c r="C15" s="1" t="s">
        <v>163</v>
      </c>
      <c r="D15" s="1">
        <v>12</v>
      </c>
      <c r="E15" s="1">
        <f t="shared" si="1"/>
        <v>102</v>
      </c>
      <c r="F15" s="49">
        <v>12</v>
      </c>
      <c r="G15" s="49">
        <v>0</v>
      </c>
      <c r="H15" s="1">
        <v>51</v>
      </c>
      <c r="I15" s="1">
        <v>0</v>
      </c>
      <c r="J15" s="4">
        <f t="shared" si="2"/>
        <v>5202</v>
      </c>
      <c r="K15" s="62">
        <f t="shared" si="3"/>
        <v>50</v>
      </c>
      <c r="L15" s="64">
        <f t="shared" si="0"/>
        <v>260.10000000000002</v>
      </c>
    </row>
    <row r="16" spans="1:12" x14ac:dyDescent="0.45">
      <c r="A16" s="1">
        <v>14</v>
      </c>
      <c r="B16" s="1" t="s">
        <v>27</v>
      </c>
      <c r="C16" s="1" t="s">
        <v>164</v>
      </c>
      <c r="D16" s="1">
        <v>12</v>
      </c>
      <c r="E16" s="1">
        <f t="shared" si="1"/>
        <v>102</v>
      </c>
      <c r="F16" s="49">
        <v>12</v>
      </c>
      <c r="G16" s="49">
        <v>0</v>
      </c>
      <c r="H16" s="1">
        <v>51</v>
      </c>
      <c r="I16" s="1">
        <v>0</v>
      </c>
      <c r="J16" s="4">
        <f t="shared" si="2"/>
        <v>5202</v>
      </c>
      <c r="K16" s="62">
        <f t="shared" si="3"/>
        <v>50</v>
      </c>
      <c r="L16" s="64">
        <f t="shared" si="0"/>
        <v>260.10000000000002</v>
      </c>
    </row>
    <row r="17" spans="1:12" x14ac:dyDescent="0.45">
      <c r="A17" s="1">
        <v>15</v>
      </c>
      <c r="B17" s="1" t="s">
        <v>29</v>
      </c>
      <c r="C17" s="1" t="s">
        <v>165</v>
      </c>
      <c r="D17" s="1">
        <v>12</v>
      </c>
      <c r="E17" s="1">
        <f t="shared" si="1"/>
        <v>102</v>
      </c>
      <c r="F17" s="49">
        <v>12</v>
      </c>
      <c r="G17" s="49">
        <v>0</v>
      </c>
      <c r="H17" s="1">
        <v>51</v>
      </c>
      <c r="I17" s="1">
        <v>0</v>
      </c>
      <c r="J17" s="4">
        <f t="shared" si="2"/>
        <v>5202</v>
      </c>
      <c r="K17" s="62">
        <f t="shared" si="3"/>
        <v>50</v>
      </c>
      <c r="L17" s="64">
        <f t="shared" si="0"/>
        <v>260.10000000000002</v>
      </c>
    </row>
    <row r="18" spans="1:12" x14ac:dyDescent="0.45">
      <c r="A18" s="1">
        <v>16</v>
      </c>
      <c r="B18" s="1" t="s">
        <v>29</v>
      </c>
      <c r="C18" s="1" t="s">
        <v>166</v>
      </c>
      <c r="D18" s="1">
        <v>12</v>
      </c>
      <c r="E18" s="1">
        <f t="shared" si="1"/>
        <v>102</v>
      </c>
      <c r="F18" s="49">
        <v>12</v>
      </c>
      <c r="G18" s="49">
        <v>0</v>
      </c>
      <c r="H18" s="1">
        <v>51</v>
      </c>
      <c r="I18" s="1">
        <v>0</v>
      </c>
      <c r="J18" s="4">
        <f t="shared" si="2"/>
        <v>5202</v>
      </c>
      <c r="K18" s="62">
        <f t="shared" si="3"/>
        <v>50</v>
      </c>
      <c r="L18" s="64">
        <f t="shared" si="0"/>
        <v>260.10000000000002</v>
      </c>
    </row>
    <row r="19" spans="1:12" x14ac:dyDescent="0.45">
      <c r="A19" s="1">
        <v>17</v>
      </c>
      <c r="B19" s="1" t="s">
        <v>31</v>
      </c>
      <c r="C19" s="1" t="s">
        <v>167</v>
      </c>
      <c r="D19" s="1">
        <v>12</v>
      </c>
      <c r="E19" s="1">
        <f t="shared" si="1"/>
        <v>102</v>
      </c>
      <c r="F19" s="49">
        <v>12</v>
      </c>
      <c r="G19" s="49">
        <v>0</v>
      </c>
      <c r="H19" s="1">
        <v>37</v>
      </c>
      <c r="I19" s="1">
        <v>0</v>
      </c>
      <c r="J19" s="4">
        <f t="shared" si="2"/>
        <v>3774</v>
      </c>
      <c r="K19" s="62">
        <f t="shared" si="3"/>
        <v>50</v>
      </c>
      <c r="L19" s="64">
        <f t="shared" si="0"/>
        <v>188.7</v>
      </c>
    </row>
    <row r="20" spans="1:12" x14ac:dyDescent="0.45">
      <c r="A20" s="1">
        <v>18</v>
      </c>
      <c r="B20" s="1" t="s">
        <v>31</v>
      </c>
      <c r="C20" s="1" t="s">
        <v>168</v>
      </c>
      <c r="D20" s="1">
        <v>12</v>
      </c>
      <c r="E20" s="1">
        <f t="shared" si="1"/>
        <v>102</v>
      </c>
      <c r="F20" s="49">
        <v>12</v>
      </c>
      <c r="G20" s="49">
        <v>0</v>
      </c>
      <c r="H20" s="1">
        <v>37</v>
      </c>
      <c r="I20" s="1">
        <v>0</v>
      </c>
      <c r="J20" s="4">
        <f t="shared" si="2"/>
        <v>3774</v>
      </c>
      <c r="K20" s="62">
        <f t="shared" si="3"/>
        <v>50</v>
      </c>
      <c r="L20" s="64">
        <f t="shared" si="0"/>
        <v>188.7</v>
      </c>
    </row>
    <row r="21" spans="1:12" x14ac:dyDescent="0.45">
      <c r="A21" s="1">
        <v>19</v>
      </c>
      <c r="B21" s="1" t="s">
        <v>33</v>
      </c>
      <c r="C21" s="1" t="s">
        <v>169</v>
      </c>
      <c r="D21" s="1">
        <v>12</v>
      </c>
      <c r="E21" s="1">
        <f t="shared" si="1"/>
        <v>102</v>
      </c>
      <c r="F21" s="49">
        <v>9</v>
      </c>
      <c r="G21" s="49">
        <v>3</v>
      </c>
      <c r="H21" s="1">
        <v>42</v>
      </c>
      <c r="I21" s="1">
        <v>38</v>
      </c>
      <c r="J21" s="4">
        <f t="shared" si="2"/>
        <v>4188</v>
      </c>
      <c r="K21" s="62">
        <f t="shared" si="3"/>
        <v>50</v>
      </c>
      <c r="L21" s="64">
        <f t="shared" si="0"/>
        <v>209.4</v>
      </c>
    </row>
    <row r="22" spans="1:12" x14ac:dyDescent="0.45">
      <c r="A22" s="1">
        <v>20</v>
      </c>
      <c r="B22" s="1" t="s">
        <v>35</v>
      </c>
      <c r="C22" s="1" t="s">
        <v>170</v>
      </c>
      <c r="D22" s="1">
        <v>12</v>
      </c>
      <c r="E22" s="1">
        <f t="shared" si="1"/>
        <v>102</v>
      </c>
      <c r="F22" s="49">
        <v>12</v>
      </c>
      <c r="G22" s="49">
        <v>0</v>
      </c>
      <c r="H22" s="1">
        <v>42</v>
      </c>
      <c r="I22" s="1">
        <v>0</v>
      </c>
      <c r="J22" s="4">
        <f t="shared" si="2"/>
        <v>4284</v>
      </c>
      <c r="K22" s="62">
        <f t="shared" si="3"/>
        <v>50</v>
      </c>
      <c r="L22" s="64">
        <f t="shared" si="0"/>
        <v>214.2</v>
      </c>
    </row>
    <row r="23" spans="1:12" x14ac:dyDescent="0.45">
      <c r="A23" s="1">
        <v>21</v>
      </c>
      <c r="B23" s="1" t="s">
        <v>37</v>
      </c>
      <c r="C23" s="1" t="s">
        <v>171</v>
      </c>
      <c r="D23" s="1">
        <v>12</v>
      </c>
      <c r="E23" s="1">
        <f t="shared" si="1"/>
        <v>102</v>
      </c>
      <c r="F23" s="49">
        <v>12</v>
      </c>
      <c r="G23" s="49">
        <v>0</v>
      </c>
      <c r="H23" s="1">
        <v>31</v>
      </c>
      <c r="I23" s="1">
        <v>0</v>
      </c>
      <c r="J23" s="4">
        <f t="shared" si="2"/>
        <v>3162</v>
      </c>
      <c r="K23" s="62">
        <f t="shared" si="3"/>
        <v>50</v>
      </c>
      <c r="L23" s="64">
        <f t="shared" si="0"/>
        <v>158.1</v>
      </c>
    </row>
    <row r="24" spans="1:12" x14ac:dyDescent="0.45">
      <c r="A24" s="1">
        <v>22</v>
      </c>
      <c r="B24" s="1" t="s">
        <v>37</v>
      </c>
      <c r="C24" s="1" t="s">
        <v>172</v>
      </c>
      <c r="D24" s="1">
        <v>12</v>
      </c>
      <c r="E24" s="1">
        <f t="shared" si="1"/>
        <v>102</v>
      </c>
      <c r="F24" s="49">
        <v>12</v>
      </c>
      <c r="G24" s="49">
        <v>0</v>
      </c>
      <c r="H24" s="1">
        <v>31</v>
      </c>
      <c r="I24" s="1">
        <v>0</v>
      </c>
      <c r="J24" s="4">
        <f t="shared" si="2"/>
        <v>3162</v>
      </c>
      <c r="K24" s="62">
        <f t="shared" si="3"/>
        <v>50</v>
      </c>
      <c r="L24" s="64">
        <f t="shared" si="0"/>
        <v>158.1</v>
      </c>
    </row>
    <row r="25" spans="1:12" x14ac:dyDescent="0.45">
      <c r="A25" s="1">
        <v>23</v>
      </c>
      <c r="B25" s="1" t="s">
        <v>39</v>
      </c>
      <c r="C25" s="1" t="s">
        <v>173</v>
      </c>
      <c r="D25" s="1">
        <v>12</v>
      </c>
      <c r="E25" s="1">
        <f t="shared" si="1"/>
        <v>102</v>
      </c>
      <c r="F25" s="49">
        <v>12</v>
      </c>
      <c r="G25" s="49">
        <v>0</v>
      </c>
      <c r="H25" s="1">
        <v>39</v>
      </c>
      <c r="I25" s="1">
        <v>0</v>
      </c>
      <c r="J25" s="4">
        <f t="shared" si="2"/>
        <v>3978</v>
      </c>
      <c r="K25" s="62">
        <f>K24</f>
        <v>50</v>
      </c>
      <c r="L25" s="64">
        <f t="shared" si="0"/>
        <v>198.9</v>
      </c>
    </row>
    <row r="26" spans="1:12" x14ac:dyDescent="0.45">
      <c r="A26" s="1">
        <v>24</v>
      </c>
      <c r="B26" s="1" t="s">
        <v>39</v>
      </c>
      <c r="C26" s="1" t="s">
        <v>174</v>
      </c>
      <c r="D26" s="1">
        <v>12</v>
      </c>
      <c r="E26" s="1">
        <f t="shared" si="1"/>
        <v>102</v>
      </c>
      <c r="F26" s="49">
        <v>12</v>
      </c>
      <c r="G26" s="49">
        <v>0</v>
      </c>
      <c r="H26" s="1">
        <v>39</v>
      </c>
      <c r="I26" s="1">
        <v>0</v>
      </c>
      <c r="J26" s="4">
        <f t="shared" si="2"/>
        <v>3978</v>
      </c>
      <c r="K26" s="62">
        <f t="shared" si="3"/>
        <v>50</v>
      </c>
      <c r="L26" s="64">
        <f t="shared" si="0"/>
        <v>198.9</v>
      </c>
    </row>
    <row r="27" spans="1:12" x14ac:dyDescent="0.45">
      <c r="A27" s="1">
        <v>25</v>
      </c>
      <c r="B27" s="1" t="s">
        <v>42</v>
      </c>
      <c r="C27" s="1" t="s">
        <v>175</v>
      </c>
      <c r="D27" s="1">
        <v>11</v>
      </c>
      <c r="E27" s="1">
        <f t="shared" si="1"/>
        <v>94</v>
      </c>
      <c r="F27" s="49">
        <v>9</v>
      </c>
      <c r="G27" s="49">
        <v>2</v>
      </c>
      <c r="H27" s="1">
        <v>45</v>
      </c>
      <c r="I27" s="1">
        <v>21</v>
      </c>
      <c r="J27" s="4">
        <f t="shared" si="2"/>
        <v>3846</v>
      </c>
      <c r="K27" s="62">
        <f t="shared" si="3"/>
        <v>50</v>
      </c>
      <c r="L27" s="64">
        <f t="shared" si="0"/>
        <v>192.3</v>
      </c>
    </row>
    <row r="28" spans="1:12" x14ac:dyDescent="0.45">
      <c r="A28" s="1">
        <v>26</v>
      </c>
      <c r="B28" s="1" t="s">
        <v>42</v>
      </c>
      <c r="C28" s="1" t="s">
        <v>176</v>
      </c>
      <c r="D28" s="1">
        <v>11</v>
      </c>
      <c r="E28" s="1">
        <f t="shared" si="1"/>
        <v>94</v>
      </c>
      <c r="F28" s="49">
        <v>9</v>
      </c>
      <c r="G28" s="49">
        <v>2</v>
      </c>
      <c r="H28" s="1">
        <v>45</v>
      </c>
      <c r="I28" s="1">
        <v>45</v>
      </c>
      <c r="J28" s="4">
        <f t="shared" si="2"/>
        <v>4230</v>
      </c>
      <c r="K28" s="62">
        <f t="shared" si="3"/>
        <v>50</v>
      </c>
      <c r="L28" s="64">
        <f t="shared" si="0"/>
        <v>211.5</v>
      </c>
    </row>
    <row r="29" spans="1:12" x14ac:dyDescent="0.45">
      <c r="A29" s="1">
        <v>27</v>
      </c>
      <c r="B29" s="1" t="s">
        <v>295</v>
      </c>
      <c r="C29" s="1" t="s">
        <v>197</v>
      </c>
      <c r="D29" s="1">
        <v>10</v>
      </c>
      <c r="E29" s="1">
        <f t="shared" si="1"/>
        <v>86</v>
      </c>
      <c r="F29" s="49">
        <v>10</v>
      </c>
      <c r="G29" s="49">
        <v>0</v>
      </c>
      <c r="H29" s="1">
        <v>51</v>
      </c>
      <c r="I29" s="1">
        <v>0</v>
      </c>
      <c r="J29" s="4">
        <f t="shared" si="2"/>
        <v>4386</v>
      </c>
      <c r="K29" s="62">
        <f t="shared" si="3"/>
        <v>50</v>
      </c>
      <c r="L29" s="64">
        <f t="shared" si="0"/>
        <v>219.3</v>
      </c>
    </row>
    <row r="30" spans="1:12" ht="14.65" thickBot="1" x14ac:dyDescent="0.5">
      <c r="A30" s="34">
        <v>28</v>
      </c>
      <c r="B30" s="34" t="s">
        <v>295</v>
      </c>
      <c r="C30" s="34" t="s">
        <v>198</v>
      </c>
      <c r="D30" s="34">
        <v>10</v>
      </c>
      <c r="E30" s="34">
        <f t="shared" si="1"/>
        <v>86</v>
      </c>
      <c r="F30" s="50">
        <v>10</v>
      </c>
      <c r="G30" s="50">
        <v>0</v>
      </c>
      <c r="H30" s="34">
        <v>51</v>
      </c>
      <c r="I30" s="34">
        <v>0</v>
      </c>
      <c r="J30" s="35">
        <f t="shared" si="2"/>
        <v>4386</v>
      </c>
      <c r="K30" s="63">
        <f t="shared" si="3"/>
        <v>50</v>
      </c>
      <c r="L30" s="65">
        <f t="shared" si="0"/>
        <v>219.3</v>
      </c>
    </row>
    <row r="31" spans="1:12" s="1" customFormat="1" ht="14.65" thickTop="1" x14ac:dyDescent="0.45">
      <c r="A31" s="42"/>
      <c r="B31" s="42"/>
      <c r="C31" s="42"/>
      <c r="D31" s="42"/>
      <c r="E31" s="42"/>
      <c r="F31" s="42"/>
      <c r="G31" s="42"/>
      <c r="H31" s="42"/>
      <c r="I31" s="42"/>
      <c r="J31" s="8">
        <f>SUM(J3:J30)</f>
        <v>112976</v>
      </c>
      <c r="K31" s="8"/>
      <c r="L31" s="66">
        <f>SUM(L3:L30)</f>
        <v>5648.7999999999993</v>
      </c>
    </row>
    <row r="34" spans="1:9" x14ac:dyDescent="0.45">
      <c r="A34" t="s">
        <v>982</v>
      </c>
      <c r="C34" t="s">
        <v>983</v>
      </c>
    </row>
    <row r="35" spans="1:9" x14ac:dyDescent="0.45">
      <c r="A35" t="s">
        <v>984</v>
      </c>
      <c r="C35" t="s">
        <v>985</v>
      </c>
    </row>
    <row r="36" spans="1:9" x14ac:dyDescent="0.45">
      <c r="A36" t="s">
        <v>986</v>
      </c>
    </row>
    <row r="43" spans="1:9" s="42" customFormat="1" ht="15.75" x14ac:dyDescent="0.5">
      <c r="A43" s="484" t="s">
        <v>987</v>
      </c>
      <c r="B43" s="484" t="s">
        <v>2</v>
      </c>
      <c r="C43" s="484" t="s">
        <v>988</v>
      </c>
      <c r="D43" s="484" t="s">
        <v>9</v>
      </c>
      <c r="E43" s="484" t="s">
        <v>989</v>
      </c>
      <c r="F43" s="484" t="s">
        <v>990</v>
      </c>
      <c r="G43" s="484" t="s">
        <v>219</v>
      </c>
      <c r="H43" s="484" t="s">
        <v>991</v>
      </c>
      <c r="I43" s="484" t="s">
        <v>992</v>
      </c>
    </row>
    <row r="44" spans="1:9" x14ac:dyDescent="0.45">
      <c r="A44" s="79">
        <v>2</v>
      </c>
      <c r="B44" s="1" t="s">
        <v>42</v>
      </c>
      <c r="C44" s="1" t="s">
        <v>993</v>
      </c>
      <c r="D44" s="4">
        <v>1076.76</v>
      </c>
      <c r="E44" s="62">
        <v>50</v>
      </c>
      <c r="F44" s="1">
        <v>0.5</v>
      </c>
      <c r="G44" s="64">
        <f t="shared" ref="G44:G107" si="4">D44*E44*F44/1000</f>
        <v>26.919</v>
      </c>
      <c r="H44" s="1">
        <v>1</v>
      </c>
      <c r="I44" s="1">
        <v>7</v>
      </c>
    </row>
    <row r="45" spans="1:9" x14ac:dyDescent="0.45">
      <c r="A45" s="79" t="s">
        <v>85</v>
      </c>
      <c r="B45" s="1" t="s">
        <v>42</v>
      </c>
      <c r="C45" s="1" t="s">
        <v>994</v>
      </c>
      <c r="D45" s="16">
        <v>3510</v>
      </c>
      <c r="E45" s="62">
        <v>50</v>
      </c>
      <c r="F45" s="1">
        <v>1</v>
      </c>
      <c r="G45" s="64">
        <f t="shared" si="4"/>
        <v>175.5</v>
      </c>
      <c r="H45" s="1">
        <v>2</v>
      </c>
      <c r="I45" s="1">
        <v>1</v>
      </c>
    </row>
    <row r="46" spans="1:9" x14ac:dyDescent="0.45">
      <c r="A46" s="79">
        <v>1</v>
      </c>
      <c r="B46" s="1" t="s">
        <v>42</v>
      </c>
      <c r="C46" s="1" t="s">
        <v>995</v>
      </c>
      <c r="D46" s="4">
        <v>1325.42</v>
      </c>
      <c r="E46" s="62">
        <v>50</v>
      </c>
      <c r="F46" s="1">
        <v>0.5</v>
      </c>
      <c r="G46" s="64">
        <f t="shared" si="4"/>
        <v>33.1355</v>
      </c>
      <c r="H46" s="1">
        <v>2</v>
      </c>
      <c r="I46" s="1">
        <v>1</v>
      </c>
    </row>
    <row r="47" spans="1:9" x14ac:dyDescent="0.45">
      <c r="A47" s="79" t="s">
        <v>85</v>
      </c>
      <c r="B47" s="1" t="s">
        <v>42</v>
      </c>
      <c r="C47" s="1" t="s">
        <v>996</v>
      </c>
      <c r="D47" s="16">
        <v>336</v>
      </c>
      <c r="E47" s="62">
        <v>50</v>
      </c>
      <c r="F47" s="1">
        <v>1</v>
      </c>
      <c r="G47" s="64">
        <f t="shared" si="4"/>
        <v>16.8</v>
      </c>
      <c r="H47" s="1">
        <v>3</v>
      </c>
      <c r="I47" s="1" t="s">
        <v>997</v>
      </c>
    </row>
    <row r="48" spans="1:9" x14ac:dyDescent="0.45">
      <c r="A48" s="79" t="s">
        <v>998</v>
      </c>
      <c r="B48" s="1" t="s">
        <v>42</v>
      </c>
      <c r="C48" s="1" t="s">
        <v>994</v>
      </c>
      <c r="D48" s="4">
        <v>275.02999999999997</v>
      </c>
      <c r="E48" s="62">
        <v>50</v>
      </c>
      <c r="F48" s="1">
        <v>0.5</v>
      </c>
      <c r="G48" s="64">
        <f t="shared" si="4"/>
        <v>6.8757499999999991</v>
      </c>
      <c r="H48" s="1">
        <v>3</v>
      </c>
      <c r="I48" s="1" t="s">
        <v>997</v>
      </c>
    </row>
    <row r="49" spans="1:9" x14ac:dyDescent="0.45">
      <c r="A49" s="79" t="s">
        <v>85</v>
      </c>
      <c r="B49" s="1" t="s">
        <v>39</v>
      </c>
      <c r="C49" s="1" t="s">
        <v>11</v>
      </c>
      <c r="D49" s="16">
        <v>3978</v>
      </c>
      <c r="E49" s="62">
        <v>50</v>
      </c>
      <c r="F49" s="1">
        <v>1</v>
      </c>
      <c r="G49" s="64">
        <f t="shared" si="4"/>
        <v>198.9</v>
      </c>
      <c r="H49" s="1">
        <v>4</v>
      </c>
      <c r="I49" s="1">
        <v>5</v>
      </c>
    </row>
    <row r="50" spans="1:9" x14ac:dyDescent="0.45">
      <c r="A50" s="79" t="s">
        <v>999</v>
      </c>
      <c r="B50" s="1" t="s">
        <v>39</v>
      </c>
      <c r="C50" s="1" t="s">
        <v>996</v>
      </c>
      <c r="D50" s="4">
        <v>539.21</v>
      </c>
      <c r="E50" s="62">
        <v>50</v>
      </c>
      <c r="F50" s="1">
        <v>0.5</v>
      </c>
      <c r="G50" s="64">
        <f t="shared" si="4"/>
        <v>13.48025</v>
      </c>
      <c r="H50" s="1">
        <v>4</v>
      </c>
      <c r="I50" s="1">
        <v>5</v>
      </c>
    </row>
    <row r="51" spans="1:9" x14ac:dyDescent="0.45">
      <c r="A51" s="79" t="s">
        <v>1000</v>
      </c>
      <c r="B51" s="1" t="s">
        <v>39</v>
      </c>
      <c r="C51" s="1" t="s">
        <v>995</v>
      </c>
      <c r="D51" s="4">
        <v>1482.68</v>
      </c>
      <c r="E51" s="62">
        <v>50</v>
      </c>
      <c r="F51" s="1">
        <v>0.5</v>
      </c>
      <c r="G51" s="64">
        <f t="shared" si="4"/>
        <v>37.067</v>
      </c>
      <c r="H51" s="1">
        <v>5</v>
      </c>
      <c r="I51" s="1">
        <v>6</v>
      </c>
    </row>
    <row r="52" spans="1:9" x14ac:dyDescent="0.45">
      <c r="A52" s="79" t="s">
        <v>1001</v>
      </c>
      <c r="B52" s="1" t="s">
        <v>42</v>
      </c>
      <c r="C52" s="1" t="s">
        <v>993</v>
      </c>
      <c r="D52" s="4">
        <v>906.58</v>
      </c>
      <c r="E52" s="62">
        <v>50</v>
      </c>
      <c r="F52" s="1">
        <v>0.5</v>
      </c>
      <c r="G52" s="64">
        <f t="shared" si="4"/>
        <v>22.6645</v>
      </c>
      <c r="H52" s="1">
        <v>5</v>
      </c>
      <c r="I52" s="1">
        <v>6</v>
      </c>
    </row>
    <row r="53" spans="1:9" x14ac:dyDescent="0.45">
      <c r="A53" s="79" t="s">
        <v>85</v>
      </c>
      <c r="B53" s="1" t="s">
        <v>42</v>
      </c>
      <c r="C53" s="1" t="s">
        <v>1002</v>
      </c>
      <c r="D53" s="16">
        <v>4230</v>
      </c>
      <c r="E53" s="62">
        <v>50</v>
      </c>
      <c r="F53" s="1">
        <v>1</v>
      </c>
      <c r="G53" s="64">
        <f t="shared" si="4"/>
        <v>211.5</v>
      </c>
      <c r="H53" s="1">
        <v>6</v>
      </c>
      <c r="I53" s="1">
        <v>7</v>
      </c>
    </row>
    <row r="54" spans="1:9" x14ac:dyDescent="0.45">
      <c r="A54" s="79">
        <v>3</v>
      </c>
      <c r="B54" s="1" t="s">
        <v>42</v>
      </c>
      <c r="C54" s="1" t="s">
        <v>26</v>
      </c>
      <c r="D54" s="4">
        <v>1095.98</v>
      </c>
      <c r="E54" s="62">
        <v>50</v>
      </c>
      <c r="F54" s="1">
        <v>0.5</v>
      </c>
      <c r="G54" s="64">
        <f t="shared" si="4"/>
        <v>27.3995</v>
      </c>
      <c r="H54" s="1">
        <v>6</v>
      </c>
      <c r="I54" s="1">
        <v>7</v>
      </c>
    </row>
    <row r="55" spans="1:9" x14ac:dyDescent="0.45">
      <c r="A55" s="79" t="s">
        <v>85</v>
      </c>
      <c r="B55" s="1" t="s">
        <v>295</v>
      </c>
      <c r="C55" s="1" t="s">
        <v>11</v>
      </c>
      <c r="D55" s="16">
        <v>4386</v>
      </c>
      <c r="E55" s="62">
        <v>50</v>
      </c>
      <c r="F55" s="1">
        <v>1</v>
      </c>
      <c r="G55" s="64">
        <f t="shared" si="4"/>
        <v>219.3</v>
      </c>
      <c r="H55" s="1">
        <v>8</v>
      </c>
      <c r="I55" s="1">
        <v>9</v>
      </c>
    </row>
    <row r="56" spans="1:9" x14ac:dyDescent="0.45">
      <c r="A56" s="79" t="s">
        <v>1003</v>
      </c>
      <c r="B56" s="1" t="s">
        <v>295</v>
      </c>
      <c r="C56" s="1" t="s">
        <v>996</v>
      </c>
      <c r="D56" s="4">
        <v>562.6</v>
      </c>
      <c r="E56" s="62">
        <v>50</v>
      </c>
      <c r="F56" s="1">
        <v>0.5</v>
      </c>
      <c r="G56" s="64">
        <f t="shared" si="4"/>
        <v>14.065</v>
      </c>
      <c r="H56" s="1">
        <v>8</v>
      </c>
      <c r="I56" s="1">
        <v>9</v>
      </c>
    </row>
    <row r="57" spans="1:9" x14ac:dyDescent="0.45">
      <c r="A57" s="79" t="s">
        <v>1004</v>
      </c>
      <c r="B57" s="1" t="s">
        <v>295</v>
      </c>
      <c r="C57" s="1" t="s">
        <v>994</v>
      </c>
      <c r="D57" s="4">
        <v>645.63</v>
      </c>
      <c r="E57" s="62">
        <v>50</v>
      </c>
      <c r="F57" s="1">
        <v>0.5</v>
      </c>
      <c r="G57" s="64">
        <f t="shared" si="4"/>
        <v>16.140750000000001</v>
      </c>
      <c r="H57" s="1">
        <v>9</v>
      </c>
      <c r="I57" s="1" t="s">
        <v>1005</v>
      </c>
    </row>
    <row r="58" spans="1:9" x14ac:dyDescent="0.45">
      <c r="A58" s="79" t="s">
        <v>85</v>
      </c>
      <c r="B58" s="1" t="s">
        <v>295</v>
      </c>
      <c r="C58" s="1" t="s">
        <v>1002</v>
      </c>
      <c r="D58" s="16">
        <v>4386</v>
      </c>
      <c r="E58" s="62">
        <v>50</v>
      </c>
      <c r="F58" s="1">
        <v>1</v>
      </c>
      <c r="G58" s="64">
        <f t="shared" si="4"/>
        <v>219.3</v>
      </c>
      <c r="H58" s="1">
        <v>10</v>
      </c>
      <c r="I58" s="1">
        <v>11</v>
      </c>
    </row>
    <row r="59" spans="1:9" x14ac:dyDescent="0.45">
      <c r="A59" s="79">
        <v>5</v>
      </c>
      <c r="B59" s="1" t="s">
        <v>295</v>
      </c>
      <c r="C59" s="1" t="s">
        <v>26</v>
      </c>
      <c r="D59" s="4">
        <v>591.08000000000004</v>
      </c>
      <c r="E59" s="62">
        <v>50</v>
      </c>
      <c r="F59" s="1">
        <v>0.5</v>
      </c>
      <c r="G59" s="64">
        <f t="shared" si="4"/>
        <v>14.777000000000001</v>
      </c>
      <c r="H59" s="1">
        <v>10</v>
      </c>
      <c r="I59" s="1">
        <v>11</v>
      </c>
    </row>
    <row r="60" spans="1:9" x14ac:dyDescent="0.45">
      <c r="A60" s="79" t="s">
        <v>1006</v>
      </c>
      <c r="B60" s="1" t="s">
        <v>295</v>
      </c>
      <c r="C60" s="1" t="s">
        <v>1007</v>
      </c>
      <c r="D60" s="4">
        <v>375.1</v>
      </c>
      <c r="E60" s="62">
        <v>50</v>
      </c>
      <c r="F60" s="1">
        <v>0.5</v>
      </c>
      <c r="G60" s="64">
        <f t="shared" si="4"/>
        <v>9.3774999999999995</v>
      </c>
      <c r="H60" s="1">
        <v>10</v>
      </c>
      <c r="I60" s="1">
        <v>11</v>
      </c>
    </row>
    <row r="61" spans="1:9" x14ac:dyDescent="0.45">
      <c r="A61" s="79">
        <v>6</v>
      </c>
      <c r="B61" s="1" t="s">
        <v>295</v>
      </c>
      <c r="C61" s="1" t="s">
        <v>1008</v>
      </c>
      <c r="D61" s="4">
        <v>175.76</v>
      </c>
      <c r="E61" s="62">
        <v>50</v>
      </c>
      <c r="F61" s="1">
        <v>0.5</v>
      </c>
      <c r="G61" s="64">
        <f t="shared" si="4"/>
        <v>4.3940000000000001</v>
      </c>
      <c r="H61" s="1">
        <v>11</v>
      </c>
      <c r="I61" s="1" t="s">
        <v>1009</v>
      </c>
    </row>
    <row r="62" spans="1:9" x14ac:dyDescent="0.45">
      <c r="A62" s="79" t="s">
        <v>85</v>
      </c>
      <c r="B62" s="1" t="s">
        <v>39</v>
      </c>
      <c r="C62" s="1" t="s">
        <v>1002</v>
      </c>
      <c r="D62" s="16">
        <v>3978</v>
      </c>
      <c r="E62" s="62">
        <v>50</v>
      </c>
      <c r="F62" s="1">
        <v>1</v>
      </c>
      <c r="G62" s="64">
        <f t="shared" si="4"/>
        <v>198.9</v>
      </c>
      <c r="H62" s="1">
        <v>12</v>
      </c>
      <c r="I62" s="1">
        <v>13</v>
      </c>
    </row>
    <row r="63" spans="1:9" x14ac:dyDescent="0.45">
      <c r="A63" s="79">
        <v>10</v>
      </c>
      <c r="B63" s="1" t="s">
        <v>39</v>
      </c>
      <c r="C63" s="1" t="s">
        <v>1002</v>
      </c>
      <c r="D63" s="4">
        <v>871</v>
      </c>
      <c r="E63" s="62">
        <v>50</v>
      </c>
      <c r="F63" s="1">
        <v>0.5</v>
      </c>
      <c r="G63" s="64">
        <f t="shared" si="4"/>
        <v>21.774999999999999</v>
      </c>
      <c r="H63" s="1">
        <v>12</v>
      </c>
      <c r="I63" s="1">
        <v>13</v>
      </c>
    </row>
    <row r="64" spans="1:9" x14ac:dyDescent="0.45">
      <c r="A64" s="79" t="s">
        <v>1010</v>
      </c>
      <c r="B64" s="1" t="s">
        <v>295</v>
      </c>
      <c r="C64" s="1" t="s">
        <v>1008</v>
      </c>
      <c r="D64" s="4">
        <v>388.8</v>
      </c>
      <c r="E64" s="62">
        <v>50</v>
      </c>
      <c r="F64" s="1">
        <v>0.5</v>
      </c>
      <c r="G64" s="64">
        <f t="shared" si="4"/>
        <v>9.7200000000000006</v>
      </c>
      <c r="H64" s="1">
        <v>12</v>
      </c>
      <c r="I64" s="1">
        <v>13</v>
      </c>
    </row>
    <row r="65" spans="1:9" x14ac:dyDescent="0.45">
      <c r="A65" s="79" t="s">
        <v>1009</v>
      </c>
      <c r="B65" s="1" t="s">
        <v>39</v>
      </c>
      <c r="C65" s="1" t="s">
        <v>1008</v>
      </c>
      <c r="D65" s="4">
        <v>319.12</v>
      </c>
      <c r="E65" s="62">
        <v>50</v>
      </c>
      <c r="F65" s="1">
        <v>0.5</v>
      </c>
      <c r="G65" s="64">
        <f t="shared" si="4"/>
        <v>7.9779999999999998</v>
      </c>
      <c r="H65" s="1">
        <v>13</v>
      </c>
      <c r="I65" s="1" t="s">
        <v>1011</v>
      </c>
    </row>
    <row r="66" spans="1:9" x14ac:dyDescent="0.45">
      <c r="A66" s="79" t="s">
        <v>85</v>
      </c>
      <c r="B66" s="1" t="s">
        <v>37</v>
      </c>
      <c r="C66" s="1" t="s">
        <v>1002</v>
      </c>
      <c r="D66" s="16">
        <v>3162</v>
      </c>
      <c r="E66" s="62">
        <v>50</v>
      </c>
      <c r="F66" s="1">
        <v>1</v>
      </c>
      <c r="G66" s="64">
        <f t="shared" si="4"/>
        <v>158.1</v>
      </c>
      <c r="H66" s="1">
        <v>14</v>
      </c>
      <c r="I66" s="1">
        <v>15</v>
      </c>
    </row>
    <row r="67" spans="1:9" x14ac:dyDescent="0.45">
      <c r="A67" s="79">
        <v>12</v>
      </c>
      <c r="B67" s="1" t="s">
        <v>37</v>
      </c>
      <c r="C67" s="1" t="s">
        <v>1002</v>
      </c>
      <c r="D67" s="4">
        <v>786.93</v>
      </c>
      <c r="E67" s="62">
        <v>50</v>
      </c>
      <c r="F67" s="1">
        <v>0.5</v>
      </c>
      <c r="G67" s="64">
        <f t="shared" si="4"/>
        <v>19.673249999999999</v>
      </c>
      <c r="H67" s="1">
        <v>14</v>
      </c>
      <c r="I67" s="1">
        <v>15</v>
      </c>
    </row>
    <row r="68" spans="1:9" x14ac:dyDescent="0.45">
      <c r="A68" s="79">
        <v>16</v>
      </c>
      <c r="B68" s="1" t="s">
        <v>35</v>
      </c>
      <c r="C68" s="1" t="s">
        <v>1007</v>
      </c>
      <c r="D68" s="4">
        <v>1030.8599999999999</v>
      </c>
      <c r="E68" s="62">
        <v>50</v>
      </c>
      <c r="F68" s="1">
        <v>0.5</v>
      </c>
      <c r="G68" s="64">
        <f t="shared" si="4"/>
        <v>25.771499999999996</v>
      </c>
      <c r="H68" s="1">
        <v>15</v>
      </c>
      <c r="I68" s="1" t="s">
        <v>1012</v>
      </c>
    </row>
    <row r="69" spans="1:9" x14ac:dyDescent="0.45">
      <c r="A69" s="79" t="s">
        <v>85</v>
      </c>
      <c r="B69" s="1" t="s">
        <v>37</v>
      </c>
      <c r="C69" s="1" t="s">
        <v>11</v>
      </c>
      <c r="D69" s="16">
        <v>3162</v>
      </c>
      <c r="E69" s="62">
        <v>50</v>
      </c>
      <c r="F69" s="1">
        <v>1</v>
      </c>
      <c r="G69" s="64">
        <f t="shared" si="4"/>
        <v>158.1</v>
      </c>
      <c r="H69" s="1">
        <v>16</v>
      </c>
      <c r="I69" s="1">
        <v>17</v>
      </c>
    </row>
    <row r="70" spans="1:9" x14ac:dyDescent="0.45">
      <c r="A70" s="79">
        <v>13</v>
      </c>
      <c r="B70" s="1" t="s">
        <v>1013</v>
      </c>
      <c r="C70" s="1" t="s">
        <v>1014</v>
      </c>
      <c r="D70" s="4">
        <v>2142</v>
      </c>
      <c r="E70" s="62">
        <v>50</v>
      </c>
      <c r="F70" s="1">
        <v>0.9</v>
      </c>
      <c r="G70" s="64">
        <f t="shared" si="4"/>
        <v>96.39</v>
      </c>
      <c r="H70" s="1">
        <v>16</v>
      </c>
      <c r="I70" s="1">
        <v>17</v>
      </c>
    </row>
    <row r="71" spans="1:9" x14ac:dyDescent="0.45">
      <c r="A71" s="79">
        <v>14</v>
      </c>
      <c r="B71" s="1" t="s">
        <v>1013</v>
      </c>
      <c r="C71" s="1" t="s">
        <v>56</v>
      </c>
      <c r="D71" s="4">
        <v>1750.52</v>
      </c>
      <c r="E71" s="62">
        <v>50</v>
      </c>
      <c r="F71" s="1">
        <v>0.9</v>
      </c>
      <c r="G71" s="64">
        <f t="shared" si="4"/>
        <v>78.773400000000009</v>
      </c>
      <c r="H71" s="1">
        <v>17</v>
      </c>
      <c r="I71" s="1">
        <v>18</v>
      </c>
    </row>
    <row r="72" spans="1:9" x14ac:dyDescent="0.45">
      <c r="A72" s="79">
        <v>15</v>
      </c>
      <c r="B72" s="1" t="s">
        <v>1013</v>
      </c>
      <c r="C72" s="1" t="s">
        <v>1015</v>
      </c>
      <c r="D72" s="4">
        <v>534.84</v>
      </c>
      <c r="E72" s="62">
        <v>50</v>
      </c>
      <c r="F72" s="1">
        <v>0.9</v>
      </c>
      <c r="G72" s="64">
        <f t="shared" si="4"/>
        <v>24.067799999999998</v>
      </c>
      <c r="H72" s="1">
        <v>17</v>
      </c>
      <c r="I72" s="1">
        <v>18</v>
      </c>
    </row>
    <row r="73" spans="1:9" x14ac:dyDescent="0.45">
      <c r="A73" s="79">
        <v>28</v>
      </c>
      <c r="B73" s="1" t="s">
        <v>31</v>
      </c>
      <c r="C73" s="1" t="s">
        <v>1007</v>
      </c>
      <c r="D73" s="4">
        <v>636.4</v>
      </c>
      <c r="E73" s="62">
        <v>50</v>
      </c>
      <c r="F73" s="1">
        <v>0.5</v>
      </c>
      <c r="G73" s="64">
        <f t="shared" si="4"/>
        <v>15.91</v>
      </c>
      <c r="H73" s="1">
        <v>18</v>
      </c>
      <c r="I73" s="1">
        <v>22</v>
      </c>
    </row>
    <row r="74" spans="1:9" x14ac:dyDescent="0.45">
      <c r="A74" s="79" t="s">
        <v>85</v>
      </c>
      <c r="B74" s="1" t="s">
        <v>31</v>
      </c>
      <c r="C74" s="1" t="s">
        <v>1002</v>
      </c>
      <c r="D74" s="16">
        <v>3774</v>
      </c>
      <c r="E74" s="62">
        <v>50</v>
      </c>
      <c r="F74" s="1">
        <v>1</v>
      </c>
      <c r="G74" s="64">
        <f t="shared" si="4"/>
        <v>188.7</v>
      </c>
      <c r="H74" s="1">
        <v>19</v>
      </c>
      <c r="I74" s="1">
        <v>18</v>
      </c>
    </row>
    <row r="75" spans="1:9" x14ac:dyDescent="0.45">
      <c r="A75" s="79" t="s">
        <v>1016</v>
      </c>
      <c r="B75" s="1" t="s">
        <v>31</v>
      </c>
      <c r="C75" s="1" t="s">
        <v>1008</v>
      </c>
      <c r="D75" s="4">
        <v>253</v>
      </c>
      <c r="E75" s="62">
        <v>50</v>
      </c>
      <c r="F75" s="1">
        <v>0.5</v>
      </c>
      <c r="G75" s="64">
        <f t="shared" si="4"/>
        <v>6.3250000000000002</v>
      </c>
      <c r="H75" s="1">
        <v>19</v>
      </c>
      <c r="I75" s="1">
        <v>18</v>
      </c>
    </row>
    <row r="76" spans="1:9" x14ac:dyDescent="0.45">
      <c r="A76" s="79" t="s">
        <v>85</v>
      </c>
      <c r="B76" s="1" t="s">
        <v>31</v>
      </c>
      <c r="C76" s="1" t="s">
        <v>11</v>
      </c>
      <c r="D76" s="16">
        <v>3774</v>
      </c>
      <c r="E76" s="62">
        <v>50</v>
      </c>
      <c r="F76" s="1">
        <v>1</v>
      </c>
      <c r="G76" s="64">
        <f t="shared" si="4"/>
        <v>188.7</v>
      </c>
      <c r="H76" s="1">
        <v>20</v>
      </c>
      <c r="I76" s="1">
        <v>21</v>
      </c>
    </row>
    <row r="77" spans="1:9" x14ac:dyDescent="0.45">
      <c r="A77" s="79" t="s">
        <v>1017</v>
      </c>
      <c r="B77" s="1" t="s">
        <v>31</v>
      </c>
      <c r="C77" s="1" t="s">
        <v>1018</v>
      </c>
      <c r="D77" s="4">
        <v>561</v>
      </c>
      <c r="E77" s="62">
        <v>50</v>
      </c>
      <c r="F77" s="1">
        <v>0.5</v>
      </c>
      <c r="G77" s="64">
        <f t="shared" si="4"/>
        <v>14.025</v>
      </c>
      <c r="H77" s="1">
        <v>20</v>
      </c>
      <c r="I77" s="1">
        <v>21</v>
      </c>
    </row>
    <row r="78" spans="1:9" x14ac:dyDescent="0.45">
      <c r="A78" s="79">
        <v>29</v>
      </c>
      <c r="B78" s="1" t="s">
        <v>31</v>
      </c>
      <c r="C78" s="1" t="s">
        <v>994</v>
      </c>
      <c r="D78" s="4">
        <v>1090.17</v>
      </c>
      <c r="E78" s="62">
        <v>50</v>
      </c>
      <c r="F78" s="1">
        <v>0.5</v>
      </c>
      <c r="G78" s="64">
        <f t="shared" si="4"/>
        <v>27.254249999999999</v>
      </c>
      <c r="H78" s="1">
        <v>21</v>
      </c>
      <c r="I78" s="1">
        <v>22</v>
      </c>
    </row>
    <row r="79" spans="1:9" x14ac:dyDescent="0.45">
      <c r="A79" s="79" t="s">
        <v>85</v>
      </c>
      <c r="B79" s="1" t="s">
        <v>24</v>
      </c>
      <c r="C79" s="1" t="s">
        <v>1002</v>
      </c>
      <c r="D79" s="16">
        <v>3478</v>
      </c>
      <c r="E79" s="62">
        <v>50</v>
      </c>
      <c r="F79" s="1">
        <v>1</v>
      </c>
      <c r="G79" s="64">
        <f t="shared" si="4"/>
        <v>173.9</v>
      </c>
      <c r="H79" s="1">
        <v>23</v>
      </c>
      <c r="I79" s="1">
        <v>24</v>
      </c>
    </row>
    <row r="80" spans="1:9" x14ac:dyDescent="0.45">
      <c r="A80" s="79">
        <v>31</v>
      </c>
      <c r="B80" s="1" t="s">
        <v>24</v>
      </c>
      <c r="C80" s="1" t="s">
        <v>1002</v>
      </c>
      <c r="D80" s="4">
        <v>827.59</v>
      </c>
      <c r="E80" s="62">
        <v>50</v>
      </c>
      <c r="F80" s="1">
        <v>0.5</v>
      </c>
      <c r="G80" s="64">
        <f t="shared" si="4"/>
        <v>20.68975</v>
      </c>
      <c r="H80" s="1">
        <v>23</v>
      </c>
      <c r="I80" s="1">
        <v>24</v>
      </c>
    </row>
    <row r="81" spans="1:9" x14ac:dyDescent="0.45">
      <c r="A81" s="79">
        <v>30</v>
      </c>
      <c r="B81" s="1" t="s">
        <v>24</v>
      </c>
      <c r="C81" s="1" t="s">
        <v>993</v>
      </c>
      <c r="D81" s="4">
        <v>523.49</v>
      </c>
      <c r="E81" s="62">
        <v>50</v>
      </c>
      <c r="F81" s="1">
        <v>0.5</v>
      </c>
      <c r="G81" s="64">
        <f t="shared" si="4"/>
        <v>13.087249999999999</v>
      </c>
      <c r="H81" s="1">
        <v>25</v>
      </c>
      <c r="I81" s="1">
        <v>26</v>
      </c>
    </row>
    <row r="82" spans="1:9" x14ac:dyDescent="0.45">
      <c r="A82" s="79" t="s">
        <v>85</v>
      </c>
      <c r="B82" s="1" t="s">
        <v>24</v>
      </c>
      <c r="C82" s="1" t="s">
        <v>11</v>
      </c>
      <c r="D82" s="16">
        <v>3478</v>
      </c>
      <c r="E82" s="62">
        <v>50</v>
      </c>
      <c r="F82" s="1">
        <v>1</v>
      </c>
      <c r="G82" s="64">
        <f t="shared" si="4"/>
        <v>173.9</v>
      </c>
      <c r="H82" s="1">
        <v>27</v>
      </c>
      <c r="I82" s="1">
        <v>26</v>
      </c>
    </row>
    <row r="83" spans="1:9" x14ac:dyDescent="0.45">
      <c r="A83" s="79">
        <v>61</v>
      </c>
      <c r="B83" s="1" t="s">
        <v>24</v>
      </c>
      <c r="C83" s="1" t="s">
        <v>11</v>
      </c>
      <c r="D83" s="4">
        <v>1043.8</v>
      </c>
      <c r="E83" s="62">
        <v>50</v>
      </c>
      <c r="F83" s="1">
        <v>0.5</v>
      </c>
      <c r="G83" s="64">
        <f t="shared" si="4"/>
        <v>26.094999999999999</v>
      </c>
      <c r="H83" s="1">
        <v>27</v>
      </c>
      <c r="I83" s="1">
        <v>26</v>
      </c>
    </row>
    <row r="84" spans="1:9" x14ac:dyDescent="0.45">
      <c r="A84" s="79" t="s">
        <v>85</v>
      </c>
      <c r="B84" s="1" t="s">
        <v>29</v>
      </c>
      <c r="C84" s="1" t="s">
        <v>994</v>
      </c>
      <c r="D84" s="16">
        <v>3300</v>
      </c>
      <c r="E84" s="62">
        <v>50</v>
      </c>
      <c r="F84" s="1">
        <v>1</v>
      </c>
      <c r="G84" s="64">
        <f t="shared" si="4"/>
        <v>165</v>
      </c>
      <c r="H84" s="1">
        <v>28</v>
      </c>
      <c r="I84" s="1">
        <v>30</v>
      </c>
    </row>
    <row r="85" spans="1:9" x14ac:dyDescent="0.45">
      <c r="A85" s="79" t="s">
        <v>85</v>
      </c>
      <c r="B85" s="1" t="s">
        <v>29</v>
      </c>
      <c r="C85" s="1" t="s">
        <v>996</v>
      </c>
      <c r="D85" s="16">
        <v>1902</v>
      </c>
      <c r="E85" s="62">
        <v>50</v>
      </c>
      <c r="F85" s="1">
        <v>1</v>
      </c>
      <c r="G85" s="64">
        <f t="shared" si="4"/>
        <v>95.1</v>
      </c>
      <c r="H85" s="1">
        <v>29</v>
      </c>
      <c r="I85" s="1">
        <v>30</v>
      </c>
    </row>
    <row r="86" spans="1:9" x14ac:dyDescent="0.45">
      <c r="A86" s="79" t="s">
        <v>85</v>
      </c>
      <c r="B86" s="1" t="s">
        <v>22</v>
      </c>
      <c r="C86" s="1" t="s">
        <v>1002</v>
      </c>
      <c r="D86" s="16">
        <v>3698</v>
      </c>
      <c r="E86" s="62">
        <v>50</v>
      </c>
      <c r="F86" s="1">
        <v>1</v>
      </c>
      <c r="G86" s="64">
        <f t="shared" si="4"/>
        <v>184.9</v>
      </c>
      <c r="H86" s="1">
        <v>31</v>
      </c>
      <c r="I86" s="1">
        <v>32</v>
      </c>
    </row>
    <row r="87" spans="1:9" x14ac:dyDescent="0.45">
      <c r="A87" s="79">
        <v>36</v>
      </c>
      <c r="B87" s="1" t="s">
        <v>29</v>
      </c>
      <c r="C87" s="1" t="s">
        <v>11</v>
      </c>
      <c r="D87" s="4">
        <v>772.4</v>
      </c>
      <c r="E87" s="62">
        <v>50</v>
      </c>
      <c r="F87" s="1">
        <v>0.5</v>
      </c>
      <c r="G87" s="64">
        <f t="shared" si="4"/>
        <v>19.309999999999999</v>
      </c>
      <c r="H87" s="1">
        <v>31</v>
      </c>
      <c r="I87" s="1">
        <v>32</v>
      </c>
    </row>
    <row r="88" spans="1:9" x14ac:dyDescent="0.45">
      <c r="A88" s="79">
        <v>34</v>
      </c>
      <c r="B88" s="1" t="s">
        <v>22</v>
      </c>
      <c r="C88" s="1" t="s">
        <v>1019</v>
      </c>
      <c r="D88" s="4">
        <v>415.41</v>
      </c>
      <c r="E88" s="62">
        <v>50</v>
      </c>
      <c r="F88" s="1">
        <v>0.5</v>
      </c>
      <c r="G88" s="64">
        <f t="shared" si="4"/>
        <v>10.385249999999999</v>
      </c>
      <c r="H88" s="1">
        <v>31</v>
      </c>
      <c r="I88" s="1">
        <v>32</v>
      </c>
    </row>
    <row r="89" spans="1:9" x14ac:dyDescent="0.45">
      <c r="A89" s="79">
        <v>32</v>
      </c>
      <c r="B89" s="1" t="s">
        <v>24</v>
      </c>
      <c r="C89" s="1" t="s">
        <v>1008</v>
      </c>
      <c r="D89" s="4">
        <v>341.02</v>
      </c>
      <c r="E89" s="62">
        <v>50</v>
      </c>
      <c r="F89" s="1">
        <v>0.5</v>
      </c>
      <c r="G89" s="64">
        <f t="shared" si="4"/>
        <v>8.5254999999999992</v>
      </c>
      <c r="H89" s="1">
        <v>31</v>
      </c>
      <c r="I89" s="1">
        <v>32</v>
      </c>
    </row>
    <row r="90" spans="1:9" x14ac:dyDescent="0.45">
      <c r="A90" s="79" t="s">
        <v>85</v>
      </c>
      <c r="B90" s="1" t="s">
        <v>20</v>
      </c>
      <c r="C90" s="1" t="s">
        <v>1007</v>
      </c>
      <c r="D90" s="16">
        <v>1677</v>
      </c>
      <c r="E90" s="62">
        <v>50</v>
      </c>
      <c r="F90" s="1">
        <v>1</v>
      </c>
      <c r="G90" s="64">
        <f t="shared" si="4"/>
        <v>83.85</v>
      </c>
      <c r="H90" s="1">
        <v>33</v>
      </c>
      <c r="I90" s="1">
        <v>34</v>
      </c>
    </row>
    <row r="91" spans="1:9" x14ac:dyDescent="0.45">
      <c r="A91" s="79">
        <v>38</v>
      </c>
      <c r="B91" s="1" t="s">
        <v>20</v>
      </c>
      <c r="C91" s="1" t="s">
        <v>1007</v>
      </c>
      <c r="D91" s="4">
        <v>349.31</v>
      </c>
      <c r="E91" s="62">
        <v>50</v>
      </c>
      <c r="F91" s="1">
        <v>0.5</v>
      </c>
      <c r="G91" s="64">
        <f t="shared" si="4"/>
        <v>8.7327499999999993</v>
      </c>
      <c r="H91" s="1">
        <v>33</v>
      </c>
      <c r="I91" s="1">
        <v>34</v>
      </c>
    </row>
    <row r="92" spans="1:9" x14ac:dyDescent="0.45">
      <c r="A92" s="79">
        <v>37</v>
      </c>
      <c r="B92" s="1" t="s">
        <v>20</v>
      </c>
      <c r="C92" s="1" t="s">
        <v>1018</v>
      </c>
      <c r="D92" s="4">
        <v>857.97</v>
      </c>
      <c r="E92" s="62">
        <v>50</v>
      </c>
      <c r="F92" s="1">
        <v>0.5</v>
      </c>
      <c r="G92" s="64">
        <f t="shared" si="4"/>
        <v>21.449249999999999</v>
      </c>
      <c r="H92" s="1">
        <v>35</v>
      </c>
      <c r="I92" s="1">
        <v>40</v>
      </c>
    </row>
    <row r="93" spans="1:9" x14ac:dyDescent="0.45">
      <c r="A93" s="79">
        <v>59</v>
      </c>
      <c r="B93" s="1" t="s">
        <v>22</v>
      </c>
      <c r="C93" s="1" t="s">
        <v>996</v>
      </c>
      <c r="D93" s="4">
        <v>2181.5300000000002</v>
      </c>
      <c r="E93" s="62">
        <v>50</v>
      </c>
      <c r="F93" s="1">
        <v>0.5</v>
      </c>
      <c r="G93" s="64">
        <f t="shared" si="4"/>
        <v>54.538250000000005</v>
      </c>
      <c r="H93" s="1">
        <v>36</v>
      </c>
      <c r="I93" s="1" t="s">
        <v>1020</v>
      </c>
    </row>
    <row r="94" spans="1:9" x14ac:dyDescent="0.45">
      <c r="A94" s="79" t="s">
        <v>85</v>
      </c>
      <c r="B94" s="1" t="s">
        <v>22</v>
      </c>
      <c r="C94" s="1" t="s">
        <v>994</v>
      </c>
      <c r="D94" s="16">
        <v>912</v>
      </c>
      <c r="E94" s="62">
        <v>50</v>
      </c>
      <c r="F94" s="1">
        <v>1</v>
      </c>
      <c r="G94" s="64">
        <f t="shared" si="4"/>
        <v>45.6</v>
      </c>
      <c r="H94" s="1">
        <v>37</v>
      </c>
      <c r="I94" s="1">
        <v>38</v>
      </c>
    </row>
    <row r="95" spans="1:9" x14ac:dyDescent="0.45">
      <c r="A95" s="79">
        <v>33</v>
      </c>
      <c r="B95" s="1" t="s">
        <v>24</v>
      </c>
      <c r="C95" s="1" t="s">
        <v>996</v>
      </c>
      <c r="D95" s="4">
        <v>498.88</v>
      </c>
      <c r="E95" s="62">
        <v>50</v>
      </c>
      <c r="F95" s="1">
        <v>0.5</v>
      </c>
      <c r="G95" s="64">
        <f t="shared" si="4"/>
        <v>12.472</v>
      </c>
      <c r="H95" s="1">
        <v>37</v>
      </c>
      <c r="I95" s="1">
        <v>38</v>
      </c>
    </row>
    <row r="96" spans="1:9" x14ac:dyDescent="0.45">
      <c r="A96" s="79">
        <v>60</v>
      </c>
      <c r="B96" s="1" t="s">
        <v>22</v>
      </c>
      <c r="C96" s="1" t="s">
        <v>994</v>
      </c>
      <c r="D96" s="4">
        <v>677.23</v>
      </c>
      <c r="E96" s="62">
        <v>50</v>
      </c>
      <c r="F96" s="1">
        <v>0.5</v>
      </c>
      <c r="G96" s="64">
        <f t="shared" si="4"/>
        <v>16.93075</v>
      </c>
      <c r="H96" s="1">
        <v>38</v>
      </c>
      <c r="I96" s="1">
        <v>39</v>
      </c>
    </row>
    <row r="97" spans="1:9" x14ac:dyDescent="0.45">
      <c r="A97" s="79" t="s">
        <v>85</v>
      </c>
      <c r="B97" s="1" t="s">
        <v>22</v>
      </c>
      <c r="C97" s="1" t="s">
        <v>996</v>
      </c>
      <c r="D97" s="16">
        <v>1634</v>
      </c>
      <c r="E97" s="62">
        <v>50</v>
      </c>
      <c r="F97" s="1">
        <v>1</v>
      </c>
      <c r="G97" s="64">
        <f t="shared" si="4"/>
        <v>81.7</v>
      </c>
      <c r="H97" s="1">
        <v>39</v>
      </c>
      <c r="I97" s="1">
        <v>40</v>
      </c>
    </row>
    <row r="98" spans="1:9" x14ac:dyDescent="0.45">
      <c r="A98" s="79">
        <v>19</v>
      </c>
      <c r="B98" s="1" t="s">
        <v>35</v>
      </c>
      <c r="C98" s="1" t="s">
        <v>1002</v>
      </c>
      <c r="D98" s="4">
        <v>663.74</v>
      </c>
      <c r="E98" s="62">
        <v>50</v>
      </c>
      <c r="F98" s="1">
        <v>0.5</v>
      </c>
      <c r="G98" s="64">
        <f t="shared" si="4"/>
        <v>16.593499999999999</v>
      </c>
      <c r="H98" s="1">
        <v>41</v>
      </c>
      <c r="I98" s="1">
        <v>42</v>
      </c>
    </row>
    <row r="99" spans="1:9" x14ac:dyDescent="0.45">
      <c r="A99" s="79" t="s">
        <v>85</v>
      </c>
      <c r="B99" s="1" t="s">
        <v>35</v>
      </c>
      <c r="C99" s="1" t="s">
        <v>11</v>
      </c>
      <c r="D99" s="16">
        <v>4284</v>
      </c>
      <c r="E99" s="62">
        <v>50</v>
      </c>
      <c r="F99" s="1">
        <v>1</v>
      </c>
      <c r="G99" s="64">
        <f t="shared" si="4"/>
        <v>214.2</v>
      </c>
      <c r="H99" s="1">
        <v>43</v>
      </c>
      <c r="I99" s="1">
        <v>44</v>
      </c>
    </row>
    <row r="100" spans="1:9" x14ac:dyDescent="0.45">
      <c r="A100" s="79">
        <v>20</v>
      </c>
      <c r="B100" s="1" t="s">
        <v>1021</v>
      </c>
      <c r="C100" s="1" t="s">
        <v>1022</v>
      </c>
      <c r="D100" s="4">
        <v>1696.7</v>
      </c>
      <c r="E100" s="62">
        <v>50</v>
      </c>
      <c r="F100" s="1">
        <v>0.9</v>
      </c>
      <c r="G100" s="64">
        <f t="shared" si="4"/>
        <v>76.351500000000001</v>
      </c>
      <c r="H100" s="1">
        <v>43</v>
      </c>
      <c r="I100" s="1">
        <v>44</v>
      </c>
    </row>
    <row r="101" spans="1:9" x14ac:dyDescent="0.45">
      <c r="A101" s="79">
        <v>17</v>
      </c>
      <c r="B101" s="1" t="s">
        <v>35</v>
      </c>
      <c r="C101" s="1" t="s">
        <v>993</v>
      </c>
      <c r="D101" s="4">
        <v>461.96</v>
      </c>
      <c r="E101" s="62">
        <v>50</v>
      </c>
      <c r="F101" s="1">
        <v>0.5</v>
      </c>
      <c r="G101" s="64">
        <f t="shared" si="4"/>
        <v>11.548999999999999</v>
      </c>
      <c r="H101" s="1">
        <v>43</v>
      </c>
      <c r="I101" s="1">
        <v>44</v>
      </c>
    </row>
    <row r="102" spans="1:9" x14ac:dyDescent="0.45">
      <c r="A102" s="79">
        <v>18</v>
      </c>
      <c r="B102" s="1" t="s">
        <v>1013</v>
      </c>
      <c r="C102" s="1" t="s">
        <v>1023</v>
      </c>
      <c r="D102" s="4">
        <v>451</v>
      </c>
      <c r="E102" s="62">
        <v>50</v>
      </c>
      <c r="F102" s="1">
        <v>0.5</v>
      </c>
      <c r="G102" s="64">
        <f t="shared" si="4"/>
        <v>11.275</v>
      </c>
      <c r="H102" s="1">
        <v>43</v>
      </c>
      <c r="I102" s="1">
        <v>44</v>
      </c>
    </row>
    <row r="103" spans="1:9" x14ac:dyDescent="0.45">
      <c r="A103" s="79" t="s">
        <v>85</v>
      </c>
      <c r="B103" s="1" t="s">
        <v>29</v>
      </c>
      <c r="C103" s="1" t="s">
        <v>1007</v>
      </c>
      <c r="D103" s="16">
        <v>3351</v>
      </c>
      <c r="E103" s="62">
        <v>50</v>
      </c>
      <c r="F103" s="1">
        <v>1</v>
      </c>
      <c r="G103" s="64">
        <f t="shared" si="4"/>
        <v>167.55</v>
      </c>
      <c r="H103" s="1">
        <v>45</v>
      </c>
      <c r="I103" s="1">
        <v>47</v>
      </c>
    </row>
    <row r="104" spans="1:9" x14ac:dyDescent="0.45">
      <c r="A104" s="79">
        <v>21</v>
      </c>
      <c r="B104" s="1" t="s">
        <v>35</v>
      </c>
      <c r="C104" s="1" t="s">
        <v>996</v>
      </c>
      <c r="D104" s="4">
        <v>931.26</v>
      </c>
      <c r="E104" s="62">
        <v>50</v>
      </c>
      <c r="F104" s="1">
        <v>0.5</v>
      </c>
      <c r="G104" s="64">
        <f t="shared" si="4"/>
        <v>23.281500000000001</v>
      </c>
      <c r="H104" s="1">
        <v>45</v>
      </c>
      <c r="I104" s="1">
        <v>47</v>
      </c>
    </row>
    <row r="105" spans="1:9" x14ac:dyDescent="0.45">
      <c r="A105" s="79" t="s">
        <v>85</v>
      </c>
      <c r="B105" s="1" t="s">
        <v>29</v>
      </c>
      <c r="C105" s="1" t="s">
        <v>1008</v>
      </c>
      <c r="D105" s="16">
        <v>1851</v>
      </c>
      <c r="E105" s="62">
        <v>50</v>
      </c>
      <c r="F105" s="1">
        <v>1</v>
      </c>
      <c r="G105" s="64">
        <f t="shared" si="4"/>
        <v>92.55</v>
      </c>
      <c r="H105" s="1">
        <v>46</v>
      </c>
      <c r="I105" s="1">
        <v>47</v>
      </c>
    </row>
    <row r="106" spans="1:9" x14ac:dyDescent="0.45">
      <c r="A106" s="79">
        <v>22</v>
      </c>
      <c r="B106" s="1" t="s">
        <v>35</v>
      </c>
      <c r="C106" s="1" t="s">
        <v>1018</v>
      </c>
      <c r="D106" s="4">
        <v>440</v>
      </c>
      <c r="E106" s="62">
        <v>50</v>
      </c>
      <c r="F106" s="1">
        <v>0.5</v>
      </c>
      <c r="G106" s="64">
        <f t="shared" si="4"/>
        <v>11</v>
      </c>
      <c r="H106" s="1">
        <v>48</v>
      </c>
      <c r="I106" s="1">
        <v>49</v>
      </c>
    </row>
    <row r="107" spans="1:9" x14ac:dyDescent="0.45">
      <c r="A107" s="79" t="s">
        <v>85</v>
      </c>
      <c r="B107" s="1" t="s">
        <v>27</v>
      </c>
      <c r="C107" s="1" t="s">
        <v>1007</v>
      </c>
      <c r="D107" s="16">
        <v>3086</v>
      </c>
      <c r="E107" s="62">
        <v>50</v>
      </c>
      <c r="F107" s="1">
        <v>1</v>
      </c>
      <c r="G107" s="64">
        <f t="shared" si="4"/>
        <v>154.30000000000001</v>
      </c>
      <c r="H107" s="1">
        <v>50</v>
      </c>
      <c r="I107" s="1">
        <v>52</v>
      </c>
    </row>
    <row r="108" spans="1:9" x14ac:dyDescent="0.45">
      <c r="A108" s="79" t="s">
        <v>1024</v>
      </c>
      <c r="B108" s="1" t="s">
        <v>27</v>
      </c>
      <c r="C108" s="1" t="s">
        <v>1007</v>
      </c>
      <c r="D108" s="4">
        <v>561</v>
      </c>
      <c r="E108" s="62">
        <v>50</v>
      </c>
      <c r="F108" s="1">
        <v>0.5</v>
      </c>
      <c r="G108" s="64">
        <f t="shared" ref="G108:G148" si="5">D108*E108*F108/1000</f>
        <v>14.025</v>
      </c>
      <c r="H108" s="1">
        <v>50</v>
      </c>
      <c r="I108" s="1">
        <v>52</v>
      </c>
    </row>
    <row r="109" spans="1:9" x14ac:dyDescent="0.45">
      <c r="A109" s="79" t="s">
        <v>85</v>
      </c>
      <c r="B109" s="1" t="s">
        <v>27</v>
      </c>
      <c r="C109" s="1" t="s">
        <v>1008</v>
      </c>
      <c r="D109" s="16">
        <v>2116</v>
      </c>
      <c r="E109" s="62">
        <v>50</v>
      </c>
      <c r="F109" s="1">
        <v>1</v>
      </c>
      <c r="G109" s="64">
        <f t="shared" si="5"/>
        <v>105.8</v>
      </c>
      <c r="H109" s="1">
        <v>51</v>
      </c>
      <c r="I109" s="1">
        <v>52</v>
      </c>
    </row>
    <row r="110" spans="1:9" x14ac:dyDescent="0.45">
      <c r="A110" s="79">
        <v>27</v>
      </c>
      <c r="B110" s="1" t="s">
        <v>27</v>
      </c>
      <c r="C110" s="1" t="s">
        <v>1008</v>
      </c>
      <c r="D110" s="4">
        <v>565.37</v>
      </c>
      <c r="E110" s="62">
        <v>50</v>
      </c>
      <c r="F110" s="1">
        <v>0.5</v>
      </c>
      <c r="G110" s="64">
        <f t="shared" si="5"/>
        <v>14.13425</v>
      </c>
      <c r="H110" s="1">
        <v>51</v>
      </c>
      <c r="I110" s="1">
        <v>52</v>
      </c>
    </row>
    <row r="111" spans="1:9" x14ac:dyDescent="0.45">
      <c r="A111" s="79" t="s">
        <v>85</v>
      </c>
      <c r="B111" s="1" t="s">
        <v>33</v>
      </c>
      <c r="C111" s="1" t="s">
        <v>11</v>
      </c>
      <c r="D111" s="16">
        <v>4188</v>
      </c>
      <c r="E111" s="62">
        <v>50</v>
      </c>
      <c r="F111" s="1">
        <v>1</v>
      </c>
      <c r="G111" s="64">
        <f t="shared" si="5"/>
        <v>209.4</v>
      </c>
      <c r="H111" s="1">
        <v>53</v>
      </c>
      <c r="I111" s="1">
        <v>54</v>
      </c>
    </row>
    <row r="112" spans="1:9" x14ac:dyDescent="0.45">
      <c r="A112" s="79">
        <v>24</v>
      </c>
      <c r="B112" s="1" t="s">
        <v>33</v>
      </c>
      <c r="C112" s="1" t="s">
        <v>11</v>
      </c>
      <c r="D112" s="4">
        <v>1122.29</v>
      </c>
      <c r="E112" s="62">
        <v>50</v>
      </c>
      <c r="F112" s="1">
        <v>0.5</v>
      </c>
      <c r="G112" s="64">
        <f t="shared" si="5"/>
        <v>28.05725</v>
      </c>
      <c r="H112" s="1">
        <v>53</v>
      </c>
      <c r="I112" s="1">
        <v>54</v>
      </c>
    </row>
    <row r="113" spans="1:9" x14ac:dyDescent="0.45">
      <c r="A113" s="79">
        <v>25</v>
      </c>
      <c r="B113" s="1" t="s">
        <v>33</v>
      </c>
      <c r="C113" s="1" t="s">
        <v>1018</v>
      </c>
      <c r="D113" s="4">
        <v>3939.36</v>
      </c>
      <c r="E113" s="62">
        <v>50</v>
      </c>
      <c r="F113" s="1">
        <v>0.9</v>
      </c>
      <c r="G113" s="64">
        <f t="shared" si="5"/>
        <v>177.27120000000002</v>
      </c>
      <c r="H113" s="1">
        <v>55</v>
      </c>
      <c r="I113" s="1">
        <v>58</v>
      </c>
    </row>
    <row r="114" spans="1:9" x14ac:dyDescent="0.45">
      <c r="A114" s="79">
        <v>23</v>
      </c>
      <c r="B114" s="1" t="s">
        <v>33</v>
      </c>
      <c r="C114" s="1" t="s">
        <v>1002</v>
      </c>
      <c r="D114" s="4">
        <v>758.08</v>
      </c>
      <c r="E114" s="62">
        <v>50</v>
      </c>
      <c r="F114" s="1">
        <v>0.5</v>
      </c>
      <c r="G114" s="64">
        <f t="shared" si="5"/>
        <v>18.952000000000002</v>
      </c>
      <c r="H114" s="1">
        <v>56</v>
      </c>
      <c r="I114" s="1">
        <v>57</v>
      </c>
    </row>
    <row r="115" spans="1:9" x14ac:dyDescent="0.45">
      <c r="A115" s="79" t="s">
        <v>85</v>
      </c>
      <c r="B115" s="1" t="s">
        <v>27</v>
      </c>
      <c r="C115" s="1" t="s">
        <v>996</v>
      </c>
      <c r="D115" s="16">
        <v>2601</v>
      </c>
      <c r="E115" s="62">
        <v>50</v>
      </c>
      <c r="F115" s="1">
        <v>1</v>
      </c>
      <c r="G115" s="64">
        <f t="shared" si="5"/>
        <v>130.05000000000001</v>
      </c>
      <c r="H115" s="1">
        <v>59</v>
      </c>
      <c r="I115" s="1">
        <v>61</v>
      </c>
    </row>
    <row r="116" spans="1:9" x14ac:dyDescent="0.45">
      <c r="A116" s="79">
        <v>42</v>
      </c>
      <c r="B116" s="1" t="s">
        <v>16</v>
      </c>
      <c r="C116" s="1" t="s">
        <v>993</v>
      </c>
      <c r="D116" s="4">
        <v>638.03</v>
      </c>
      <c r="E116" s="62">
        <v>50</v>
      </c>
      <c r="F116" s="1">
        <v>0.5</v>
      </c>
      <c r="G116" s="64">
        <f t="shared" si="5"/>
        <v>15.950749999999999</v>
      </c>
      <c r="H116" s="1">
        <v>59</v>
      </c>
      <c r="I116" s="1">
        <v>61</v>
      </c>
    </row>
    <row r="117" spans="1:9" x14ac:dyDescent="0.45">
      <c r="A117" s="79" t="s">
        <v>85</v>
      </c>
      <c r="B117" s="1" t="s">
        <v>27</v>
      </c>
      <c r="C117" s="1" t="s">
        <v>994</v>
      </c>
      <c r="D117" s="16">
        <v>2601</v>
      </c>
      <c r="E117" s="62">
        <v>50</v>
      </c>
      <c r="F117" s="1">
        <v>1</v>
      </c>
      <c r="G117" s="64">
        <f t="shared" si="5"/>
        <v>130.05000000000001</v>
      </c>
      <c r="H117" s="1">
        <v>60</v>
      </c>
      <c r="I117" s="1">
        <v>61</v>
      </c>
    </row>
    <row r="118" spans="1:9" x14ac:dyDescent="0.45">
      <c r="A118" s="79" t="s">
        <v>1025</v>
      </c>
      <c r="B118" s="1" t="s">
        <v>27</v>
      </c>
      <c r="C118" s="1" t="s">
        <v>994</v>
      </c>
      <c r="D118" s="4">
        <v>561</v>
      </c>
      <c r="E118" s="62">
        <v>50</v>
      </c>
      <c r="F118" s="1">
        <v>0.5</v>
      </c>
      <c r="G118" s="64">
        <f t="shared" si="5"/>
        <v>14.025</v>
      </c>
      <c r="H118" s="1">
        <v>60</v>
      </c>
      <c r="I118" s="1">
        <v>61</v>
      </c>
    </row>
    <row r="119" spans="1:9" x14ac:dyDescent="0.45">
      <c r="A119" s="79" t="s">
        <v>85</v>
      </c>
      <c r="B119" s="1" t="s">
        <v>20</v>
      </c>
      <c r="C119" s="1" t="s">
        <v>1008</v>
      </c>
      <c r="D119" s="16">
        <v>1677</v>
      </c>
      <c r="E119" s="62">
        <v>50</v>
      </c>
      <c r="F119" s="1">
        <v>1</v>
      </c>
      <c r="G119" s="64">
        <f t="shared" si="5"/>
        <v>83.85</v>
      </c>
      <c r="H119" s="1">
        <v>62</v>
      </c>
      <c r="I119" s="1">
        <v>63</v>
      </c>
    </row>
    <row r="120" spans="1:9" x14ac:dyDescent="0.45">
      <c r="A120" s="79">
        <v>39</v>
      </c>
      <c r="B120" s="1" t="s">
        <v>20</v>
      </c>
      <c r="C120" s="1" t="s">
        <v>1008</v>
      </c>
      <c r="D120" s="4">
        <v>596.45000000000005</v>
      </c>
      <c r="E120" s="62">
        <v>50</v>
      </c>
      <c r="F120" s="1">
        <v>0.5</v>
      </c>
      <c r="G120" s="64">
        <f t="shared" si="5"/>
        <v>14.911250000000003</v>
      </c>
      <c r="H120" s="1">
        <v>62</v>
      </c>
      <c r="I120" s="1">
        <v>63</v>
      </c>
    </row>
    <row r="121" spans="1:9" x14ac:dyDescent="0.45">
      <c r="A121" s="79" t="s">
        <v>85</v>
      </c>
      <c r="B121" s="1" t="s">
        <v>18</v>
      </c>
      <c r="C121" s="1" t="s">
        <v>1002</v>
      </c>
      <c r="D121" s="16">
        <v>4386</v>
      </c>
      <c r="E121" s="62">
        <v>50</v>
      </c>
      <c r="F121" s="1">
        <v>1</v>
      </c>
      <c r="G121" s="64">
        <f t="shared" si="5"/>
        <v>219.3</v>
      </c>
      <c r="H121" s="1">
        <v>64</v>
      </c>
      <c r="I121" s="1">
        <v>65</v>
      </c>
    </row>
    <row r="122" spans="1:9" x14ac:dyDescent="0.45">
      <c r="A122" s="79">
        <v>41</v>
      </c>
      <c r="B122" s="1" t="s">
        <v>18</v>
      </c>
      <c r="C122" s="1" t="s">
        <v>1007</v>
      </c>
      <c r="D122" s="4">
        <v>646.23</v>
      </c>
      <c r="E122" s="62">
        <v>50</v>
      </c>
      <c r="F122" s="1">
        <v>0.5</v>
      </c>
      <c r="G122" s="64">
        <f t="shared" si="5"/>
        <v>16.155750000000001</v>
      </c>
      <c r="H122" s="1">
        <v>64</v>
      </c>
      <c r="I122" s="1">
        <v>65</v>
      </c>
    </row>
    <row r="123" spans="1:9" x14ac:dyDescent="0.45">
      <c r="A123" s="79">
        <v>40</v>
      </c>
      <c r="B123" s="1" t="s">
        <v>20</v>
      </c>
      <c r="C123" s="1" t="s">
        <v>1018</v>
      </c>
      <c r="D123" s="4">
        <v>858</v>
      </c>
      <c r="E123" s="62">
        <v>50</v>
      </c>
      <c r="F123" s="1">
        <v>0.5</v>
      </c>
      <c r="G123" s="64">
        <f t="shared" si="5"/>
        <v>21.45</v>
      </c>
      <c r="H123" s="1">
        <v>66</v>
      </c>
      <c r="I123" s="1">
        <v>67</v>
      </c>
    </row>
    <row r="124" spans="1:9" x14ac:dyDescent="0.45">
      <c r="A124" s="79">
        <v>57</v>
      </c>
      <c r="B124" s="1" t="s">
        <v>20</v>
      </c>
      <c r="C124" s="1" t="s">
        <v>996</v>
      </c>
      <c r="D124" s="4">
        <v>1993.39</v>
      </c>
      <c r="E124" s="62">
        <v>50</v>
      </c>
      <c r="F124" s="1">
        <v>0.5</v>
      </c>
      <c r="G124" s="64">
        <f t="shared" si="5"/>
        <v>49.83475</v>
      </c>
      <c r="H124" s="1">
        <v>67</v>
      </c>
      <c r="I124" s="1">
        <v>70</v>
      </c>
    </row>
    <row r="125" spans="1:9" x14ac:dyDescent="0.45">
      <c r="A125" s="79" t="s">
        <v>85</v>
      </c>
      <c r="B125" s="1" t="s">
        <v>20</v>
      </c>
      <c r="C125" s="1" t="s">
        <v>11</v>
      </c>
      <c r="D125" s="16">
        <v>3354</v>
      </c>
      <c r="E125" s="62">
        <v>50</v>
      </c>
      <c r="F125" s="1">
        <v>1</v>
      </c>
      <c r="G125" s="64">
        <f t="shared" si="5"/>
        <v>167.7</v>
      </c>
      <c r="H125" s="1">
        <v>68</v>
      </c>
      <c r="I125" s="1">
        <v>69</v>
      </c>
    </row>
    <row r="126" spans="1:9" x14ac:dyDescent="0.45">
      <c r="A126" s="79">
        <v>58</v>
      </c>
      <c r="B126" s="1" t="s">
        <v>20</v>
      </c>
      <c r="C126" s="1" t="s">
        <v>994</v>
      </c>
      <c r="D126" s="4">
        <v>497.99</v>
      </c>
      <c r="E126" s="62">
        <v>50</v>
      </c>
      <c r="F126" s="1">
        <v>0.5</v>
      </c>
      <c r="G126" s="64">
        <f t="shared" si="5"/>
        <v>12.44975</v>
      </c>
      <c r="H126" s="1">
        <v>68</v>
      </c>
      <c r="I126" s="1">
        <v>69</v>
      </c>
    </row>
    <row r="127" spans="1:9" x14ac:dyDescent="0.45">
      <c r="A127" s="79" t="s">
        <v>85</v>
      </c>
      <c r="B127" s="1" t="s">
        <v>18</v>
      </c>
      <c r="C127" s="1" t="s">
        <v>11</v>
      </c>
      <c r="D127" s="16">
        <v>4386</v>
      </c>
      <c r="E127" s="62">
        <v>50</v>
      </c>
      <c r="F127" s="1">
        <v>1</v>
      </c>
      <c r="G127" s="64">
        <f t="shared" si="5"/>
        <v>219.3</v>
      </c>
      <c r="H127" s="1">
        <v>71</v>
      </c>
      <c r="I127" s="1">
        <v>72</v>
      </c>
    </row>
    <row r="128" spans="1:9" x14ac:dyDescent="0.45">
      <c r="A128" s="79">
        <v>56</v>
      </c>
      <c r="B128" s="1" t="s">
        <v>18</v>
      </c>
      <c r="C128" s="1" t="s">
        <v>11</v>
      </c>
      <c r="D128" s="4">
        <v>964.28</v>
      </c>
      <c r="E128" s="62">
        <v>50</v>
      </c>
      <c r="F128" s="1">
        <v>0.5</v>
      </c>
      <c r="G128" s="64">
        <f t="shared" si="5"/>
        <v>24.106999999999999</v>
      </c>
      <c r="H128" s="1">
        <v>71</v>
      </c>
      <c r="I128" s="1">
        <v>72</v>
      </c>
    </row>
    <row r="129" spans="1:9" x14ac:dyDescent="0.45">
      <c r="A129" s="79">
        <v>46</v>
      </c>
      <c r="B129" s="1" t="s">
        <v>16</v>
      </c>
      <c r="C129" s="1" t="s">
        <v>1002</v>
      </c>
      <c r="D129" s="4">
        <v>827.99</v>
      </c>
      <c r="E129" s="62">
        <v>50</v>
      </c>
      <c r="F129" s="1">
        <v>0.5</v>
      </c>
      <c r="G129" s="64">
        <f t="shared" si="5"/>
        <v>20.699750000000002</v>
      </c>
      <c r="H129" s="1">
        <v>73</v>
      </c>
      <c r="I129" s="1">
        <v>74</v>
      </c>
    </row>
    <row r="130" spans="1:9" x14ac:dyDescent="0.45">
      <c r="A130" s="79">
        <v>47</v>
      </c>
      <c r="B130" s="1" t="s">
        <v>1026</v>
      </c>
      <c r="C130" s="1" t="s">
        <v>1027</v>
      </c>
      <c r="D130" s="4">
        <v>341.3</v>
      </c>
      <c r="E130" s="62">
        <v>50</v>
      </c>
      <c r="F130" s="1">
        <v>0.5</v>
      </c>
      <c r="G130" s="64">
        <f t="shared" si="5"/>
        <v>8.5325000000000006</v>
      </c>
      <c r="H130" s="1">
        <v>74</v>
      </c>
      <c r="I130" s="1">
        <v>75</v>
      </c>
    </row>
    <row r="131" spans="1:9" x14ac:dyDescent="0.45">
      <c r="A131" s="79">
        <v>48</v>
      </c>
      <c r="B131" s="1" t="s">
        <v>1028</v>
      </c>
      <c r="C131" s="1" t="s">
        <v>1029</v>
      </c>
      <c r="D131" s="4">
        <v>213.96</v>
      </c>
      <c r="E131" s="62">
        <v>50</v>
      </c>
      <c r="F131" s="1">
        <v>0.9</v>
      </c>
      <c r="G131" s="64">
        <f t="shared" si="5"/>
        <v>9.6282000000000014</v>
      </c>
      <c r="H131" s="1">
        <v>74</v>
      </c>
      <c r="I131" s="1">
        <v>75</v>
      </c>
    </row>
    <row r="132" spans="1:9" x14ac:dyDescent="0.45">
      <c r="A132" s="79" t="s">
        <v>85</v>
      </c>
      <c r="B132" s="1" t="s">
        <v>16</v>
      </c>
      <c r="C132" s="1" t="s">
        <v>11</v>
      </c>
      <c r="D132" s="16">
        <v>4524</v>
      </c>
      <c r="E132" s="62">
        <v>50</v>
      </c>
      <c r="F132" s="1">
        <v>1</v>
      </c>
      <c r="G132" s="64">
        <f t="shared" si="5"/>
        <v>226.2</v>
      </c>
      <c r="H132" s="1">
        <v>76</v>
      </c>
      <c r="I132" s="1">
        <v>77</v>
      </c>
    </row>
    <row r="133" spans="1:9" x14ac:dyDescent="0.45">
      <c r="A133" s="79">
        <v>43</v>
      </c>
      <c r="B133" s="1" t="s">
        <v>18</v>
      </c>
      <c r="C133" s="1" t="s">
        <v>1008</v>
      </c>
      <c r="D133" s="4">
        <v>541.46</v>
      </c>
      <c r="E133" s="62">
        <v>50</v>
      </c>
      <c r="F133" s="1">
        <v>0.5</v>
      </c>
      <c r="G133" s="64">
        <f t="shared" si="5"/>
        <v>13.5365</v>
      </c>
      <c r="H133" s="1">
        <v>76</v>
      </c>
      <c r="I133" s="1">
        <v>77</v>
      </c>
    </row>
    <row r="134" spans="1:9" x14ac:dyDescent="0.45">
      <c r="A134" s="79" t="s">
        <v>85</v>
      </c>
      <c r="B134" s="1" t="s">
        <v>14</v>
      </c>
      <c r="C134" s="1" t="s">
        <v>1002</v>
      </c>
      <c r="D134" s="16">
        <v>4386</v>
      </c>
      <c r="E134" s="62">
        <v>50</v>
      </c>
      <c r="F134" s="1">
        <v>1</v>
      </c>
      <c r="G134" s="64">
        <f t="shared" si="5"/>
        <v>219.3</v>
      </c>
      <c r="H134" s="1">
        <v>79</v>
      </c>
      <c r="I134" s="1">
        <v>80</v>
      </c>
    </row>
    <row r="135" spans="1:9" x14ac:dyDescent="0.45">
      <c r="A135" s="79">
        <v>45</v>
      </c>
      <c r="B135" s="1" t="s">
        <v>14</v>
      </c>
      <c r="C135" s="1" t="s">
        <v>1002</v>
      </c>
      <c r="D135" s="4">
        <v>1060.25</v>
      </c>
      <c r="E135" s="62">
        <v>50</v>
      </c>
      <c r="F135" s="1">
        <v>0.5</v>
      </c>
      <c r="G135" s="64">
        <f t="shared" si="5"/>
        <v>26.506250000000001</v>
      </c>
      <c r="H135" s="1">
        <v>79</v>
      </c>
      <c r="I135" s="1">
        <v>80</v>
      </c>
    </row>
    <row r="136" spans="1:9" x14ac:dyDescent="0.45">
      <c r="A136" s="79" t="s">
        <v>1030</v>
      </c>
      <c r="B136" s="1" t="s">
        <v>14</v>
      </c>
      <c r="C136" s="1" t="s">
        <v>993</v>
      </c>
      <c r="D136" s="4">
        <v>561</v>
      </c>
      <c r="E136" s="62">
        <v>50</v>
      </c>
      <c r="F136" s="1">
        <v>0.5</v>
      </c>
      <c r="G136" s="64">
        <f t="shared" si="5"/>
        <v>14.025</v>
      </c>
      <c r="H136" s="1">
        <v>79</v>
      </c>
      <c r="I136" s="1">
        <v>80</v>
      </c>
    </row>
    <row r="137" spans="1:9" x14ac:dyDescent="0.45">
      <c r="A137" s="79">
        <v>50</v>
      </c>
      <c r="B137" s="1" t="s">
        <v>14</v>
      </c>
      <c r="C137" s="1" t="s">
        <v>996</v>
      </c>
      <c r="D137" s="4">
        <v>843.62</v>
      </c>
      <c r="E137" s="62">
        <v>50</v>
      </c>
      <c r="F137" s="1">
        <v>0.5</v>
      </c>
      <c r="G137" s="64">
        <f t="shared" si="5"/>
        <v>21.090499999999999</v>
      </c>
      <c r="H137" s="1">
        <v>81</v>
      </c>
      <c r="I137" s="1">
        <v>82</v>
      </c>
    </row>
    <row r="138" spans="1:9" x14ac:dyDescent="0.45">
      <c r="A138" s="79">
        <v>49</v>
      </c>
      <c r="B138" s="1" t="s">
        <v>14</v>
      </c>
      <c r="C138" s="1" t="s">
        <v>1008</v>
      </c>
      <c r="D138" s="4">
        <v>745.7</v>
      </c>
      <c r="E138" s="62">
        <v>50</v>
      </c>
      <c r="F138" s="1">
        <v>0.5</v>
      </c>
      <c r="G138" s="64">
        <f t="shared" si="5"/>
        <v>18.642499999999998</v>
      </c>
      <c r="H138" s="1">
        <v>81</v>
      </c>
      <c r="I138" s="1">
        <v>82</v>
      </c>
    </row>
    <row r="139" spans="1:9" x14ac:dyDescent="0.45">
      <c r="A139" s="79" t="s">
        <v>85</v>
      </c>
      <c r="B139" s="1" t="s">
        <v>14</v>
      </c>
      <c r="C139" s="1" t="s">
        <v>11</v>
      </c>
      <c r="D139" s="16">
        <v>4322</v>
      </c>
      <c r="E139" s="62">
        <v>50</v>
      </c>
      <c r="F139" s="1">
        <v>1</v>
      </c>
      <c r="G139" s="64">
        <f t="shared" si="5"/>
        <v>216.1</v>
      </c>
      <c r="H139" s="1">
        <v>83</v>
      </c>
      <c r="I139" s="1">
        <v>84</v>
      </c>
    </row>
    <row r="140" spans="1:9" x14ac:dyDescent="0.45">
      <c r="A140" s="79" t="s">
        <v>1031</v>
      </c>
      <c r="B140" s="1" t="s">
        <v>14</v>
      </c>
      <c r="C140" s="1" t="s">
        <v>993</v>
      </c>
      <c r="D140" s="4">
        <v>561</v>
      </c>
      <c r="E140" s="62">
        <v>50</v>
      </c>
      <c r="F140" s="1">
        <v>0.5</v>
      </c>
      <c r="G140" s="64">
        <f t="shared" si="5"/>
        <v>14.025</v>
      </c>
      <c r="H140" s="1">
        <v>83</v>
      </c>
      <c r="I140" s="1">
        <v>84</v>
      </c>
    </row>
    <row r="141" spans="1:9" x14ac:dyDescent="0.45">
      <c r="A141" s="79" t="s">
        <v>1032</v>
      </c>
      <c r="B141" s="1" t="s">
        <v>12</v>
      </c>
      <c r="C141" s="1" t="s">
        <v>1008</v>
      </c>
      <c r="D141" s="4">
        <v>511.86</v>
      </c>
      <c r="E141" s="62">
        <v>50</v>
      </c>
      <c r="F141" s="1">
        <v>0.5</v>
      </c>
      <c r="G141" s="64">
        <f t="shared" si="5"/>
        <v>12.7965</v>
      </c>
      <c r="H141" s="1">
        <v>83</v>
      </c>
      <c r="I141" s="1">
        <v>84</v>
      </c>
    </row>
    <row r="142" spans="1:9" x14ac:dyDescent="0.45">
      <c r="A142" s="79" t="s">
        <v>85</v>
      </c>
      <c r="B142" s="1" t="s">
        <v>12</v>
      </c>
      <c r="C142" s="1" t="s">
        <v>1002</v>
      </c>
      <c r="D142" s="16">
        <v>3108</v>
      </c>
      <c r="E142" s="62">
        <v>50</v>
      </c>
      <c r="F142" s="1">
        <v>1</v>
      </c>
      <c r="G142" s="64">
        <f t="shared" si="5"/>
        <v>155.4</v>
      </c>
      <c r="H142" s="1">
        <v>85</v>
      </c>
      <c r="I142" s="1">
        <v>86</v>
      </c>
    </row>
    <row r="143" spans="1:9" x14ac:dyDescent="0.45">
      <c r="A143" s="79">
        <v>52</v>
      </c>
      <c r="B143" s="1" t="s">
        <v>12</v>
      </c>
      <c r="C143" s="1" t="s">
        <v>1002</v>
      </c>
      <c r="D143" s="4">
        <v>583</v>
      </c>
      <c r="E143" s="62">
        <v>50</v>
      </c>
      <c r="F143" s="1">
        <v>0.5</v>
      </c>
      <c r="G143" s="64">
        <f t="shared" si="5"/>
        <v>14.574999999999999</v>
      </c>
      <c r="H143" s="1">
        <v>85</v>
      </c>
      <c r="I143" s="1">
        <v>86</v>
      </c>
    </row>
    <row r="144" spans="1:9" x14ac:dyDescent="0.45">
      <c r="A144" s="79">
        <v>55</v>
      </c>
      <c r="B144" s="1" t="s">
        <v>12</v>
      </c>
      <c r="C144" s="1" t="s">
        <v>993</v>
      </c>
      <c r="D144" s="4">
        <v>423.15</v>
      </c>
      <c r="E144" s="62">
        <v>50</v>
      </c>
      <c r="F144" s="1">
        <v>0.5</v>
      </c>
      <c r="G144" s="64">
        <f t="shared" si="5"/>
        <v>10.578749999999999</v>
      </c>
      <c r="H144" s="1">
        <v>85</v>
      </c>
      <c r="I144" s="1">
        <v>86</v>
      </c>
    </row>
    <row r="145" spans="1:34" x14ac:dyDescent="0.45">
      <c r="A145" s="79" t="s">
        <v>1033</v>
      </c>
      <c r="B145" s="1" t="s">
        <v>12</v>
      </c>
      <c r="C145" s="1" t="s">
        <v>1008</v>
      </c>
      <c r="D145" s="4">
        <v>451.96</v>
      </c>
      <c r="E145" s="62">
        <v>50</v>
      </c>
      <c r="F145" s="1">
        <v>0.5</v>
      </c>
      <c r="G145" s="64">
        <f t="shared" si="5"/>
        <v>11.298999999999999</v>
      </c>
      <c r="H145" s="1">
        <v>86</v>
      </c>
      <c r="I145" s="1">
        <v>87</v>
      </c>
      <c r="K145" s="1"/>
    </row>
    <row r="146" spans="1:34" x14ac:dyDescent="0.45">
      <c r="A146" s="79">
        <v>54</v>
      </c>
      <c r="B146" s="1" t="s">
        <v>12</v>
      </c>
      <c r="C146" s="1" t="s">
        <v>11</v>
      </c>
      <c r="D146" s="4">
        <v>711.39</v>
      </c>
      <c r="E146" s="62">
        <v>50</v>
      </c>
      <c r="F146" s="1">
        <v>0.5</v>
      </c>
      <c r="G146" s="64">
        <f t="shared" si="5"/>
        <v>17.784749999999999</v>
      </c>
      <c r="H146" s="1">
        <v>89</v>
      </c>
      <c r="I146" s="1">
        <v>88</v>
      </c>
      <c r="K146" s="1"/>
    </row>
    <row r="147" spans="1:34" x14ac:dyDescent="0.45">
      <c r="A147" s="79">
        <v>53</v>
      </c>
      <c r="B147" s="1" t="s">
        <v>12</v>
      </c>
      <c r="C147" s="1" t="s">
        <v>996</v>
      </c>
      <c r="D147" s="4">
        <v>511.72</v>
      </c>
      <c r="E147" s="62">
        <v>50</v>
      </c>
      <c r="F147" s="1">
        <v>0.5</v>
      </c>
      <c r="G147" s="64">
        <f t="shared" si="5"/>
        <v>12.792999999999999</v>
      </c>
      <c r="H147" s="1">
        <v>89</v>
      </c>
      <c r="I147" s="1">
        <v>88</v>
      </c>
      <c r="K147" s="1"/>
    </row>
    <row r="148" spans="1:34" x14ac:dyDescent="0.45">
      <c r="A148" s="79">
        <v>9</v>
      </c>
      <c r="B148" s="1" t="s">
        <v>42</v>
      </c>
      <c r="C148" s="1" t="s">
        <v>996</v>
      </c>
      <c r="D148" s="4">
        <v>325.68</v>
      </c>
      <c r="E148" s="62">
        <v>50</v>
      </c>
      <c r="F148" s="1">
        <v>0.5</v>
      </c>
      <c r="G148" s="64">
        <f t="shared" si="5"/>
        <v>8.1419999999999995</v>
      </c>
      <c r="H148" s="1" t="s">
        <v>997</v>
      </c>
      <c r="I148" s="1">
        <v>2</v>
      </c>
      <c r="K148" s="1"/>
    </row>
    <row r="149" spans="1:34" x14ac:dyDescent="0.45">
      <c r="D149" s="4">
        <f>SUBTOTAL(9,D44:D148)</f>
        <v>168442.26999999993</v>
      </c>
      <c r="E149" s="1"/>
      <c r="F149" s="1"/>
      <c r="G149" s="13">
        <f>SUBTOTAL(9,G44:G148)</f>
        <v>7241.0043499999992</v>
      </c>
    </row>
    <row r="150" spans="1:34" x14ac:dyDescent="0.45">
      <c r="L150" s="213"/>
    </row>
    <row r="152" spans="1:34" x14ac:dyDescent="0.45">
      <c r="O152" s="213"/>
      <c r="P152" s="213"/>
      <c r="Q152" s="213"/>
    </row>
    <row r="154" spans="1:34" s="14" customFormat="1" ht="28.5" x14ac:dyDescent="0.45">
      <c r="A154" s="481" t="s">
        <v>1034</v>
      </c>
      <c r="B154" s="481" t="s">
        <v>1035</v>
      </c>
      <c r="C154" s="481" t="s">
        <v>1036</v>
      </c>
      <c r="D154" s="481" t="s">
        <v>213</v>
      </c>
      <c r="E154" s="481" t="s">
        <v>219</v>
      </c>
      <c r="F154" s="481" t="s">
        <v>975</v>
      </c>
      <c r="G154" s="481" t="s">
        <v>972</v>
      </c>
      <c r="H154" s="481" t="s">
        <v>1037</v>
      </c>
      <c r="I154" s="481" t="s">
        <v>1038</v>
      </c>
      <c r="J154" s="481" t="s">
        <v>687</v>
      </c>
      <c r="K154" s="481" t="s">
        <v>1039</v>
      </c>
      <c r="L154" s="481" t="s">
        <v>1040</v>
      </c>
      <c r="M154" s="481" t="s">
        <v>1041</v>
      </c>
      <c r="N154" s="481" t="s">
        <v>1042</v>
      </c>
      <c r="O154" s="481" t="s">
        <v>1043</v>
      </c>
      <c r="P154" s="481" t="s">
        <v>1044</v>
      </c>
      <c r="Q154" s="481" t="s">
        <v>1045</v>
      </c>
      <c r="R154" s="481" t="s">
        <v>357</v>
      </c>
      <c r="S154" s="481" t="s">
        <v>1046</v>
      </c>
      <c r="T154" s="481" t="s">
        <v>1047</v>
      </c>
      <c r="U154" s="481" t="s">
        <v>1048</v>
      </c>
      <c r="V154" s="481" t="s">
        <v>1049</v>
      </c>
      <c r="W154" s="481" t="s">
        <v>293</v>
      </c>
      <c r="X154" s="481" t="s">
        <v>1050</v>
      </c>
      <c r="Y154" s="481" t="s">
        <v>1051</v>
      </c>
      <c r="Z154" s="481" t="s">
        <v>1052</v>
      </c>
      <c r="AA154" s="481" t="s">
        <v>1053</v>
      </c>
      <c r="AC154" s="594" t="s">
        <v>968</v>
      </c>
      <c r="AD154" s="594"/>
      <c r="AF154" s="14" t="s">
        <v>1054</v>
      </c>
    </row>
    <row r="155" spans="1:34" hidden="1" x14ac:dyDescent="0.45">
      <c r="A155" s="1">
        <v>1.1000000000000001</v>
      </c>
      <c r="B155" s="1">
        <v>3</v>
      </c>
      <c r="C155" s="1" t="s">
        <v>997</v>
      </c>
      <c r="D155" s="76">
        <v>16</v>
      </c>
      <c r="E155" s="126">
        <f>SUMIFS($G$44:$G$148,$H$44:$H$148,B155)+SUMIFS($E$155:$E$244,$C$155:$C$244,B155)</f>
        <v>23.675750000000001</v>
      </c>
      <c r="F155" s="216">
        <v>0.2</v>
      </c>
      <c r="G155" s="215">
        <f>F155+2*H155</f>
        <v>0.58105117766515302</v>
      </c>
      <c r="H155" s="217">
        <f>2*F155/4*(3)^(0.5)*1.1</f>
        <v>0.19052558883257653</v>
      </c>
      <c r="I155" s="215">
        <f>H155/1.1</f>
        <v>0.17320508075688773</v>
      </c>
      <c r="J155" s="93">
        <f t="shared" ref="J155:J219" si="6">1/750</f>
        <v>1.3333333333333333E-3</v>
      </c>
      <c r="K155" s="1">
        <f>VLOOKUP(B155,$A$266:$B$368,2,FALSE)</f>
        <v>0</v>
      </c>
      <c r="L155" s="94">
        <f>K155-H155</f>
        <v>-0.19052558883257653</v>
      </c>
      <c r="M155" s="328">
        <f>L155-D155*J155</f>
        <v>-0.21185892216590987</v>
      </c>
      <c r="N155" s="94">
        <f>M155+H155</f>
        <v>-2.1333333333333343E-2</v>
      </c>
      <c r="O155" s="1">
        <f>VLOOKUP(C155,$A$267:$B$368,2,FALSE)</f>
        <v>0</v>
      </c>
      <c r="P155" s="332">
        <f>O155-N155</f>
        <v>2.1333333333333343E-2</v>
      </c>
      <c r="Q155" s="332">
        <f>G155+P155*2</f>
        <v>0.62371784433181965</v>
      </c>
      <c r="R155" s="1" t="str">
        <f>IF(N155&lt;O155,"OK","Filling Required")</f>
        <v>OK</v>
      </c>
      <c r="S155" s="13">
        <f>1/0.03*3600*(J155^(0.5))*(((F155*H155/1.1)+((H155/1.1)^2))^(5/3))*((F155+((2^(3/2))*H155/1.1))^(-2/3))</f>
        <v>58.430688467127666</v>
      </c>
      <c r="T155" s="192">
        <f t="shared" ref="T155:T218" si="7">(S155-E155)/E155</f>
        <v>1.4679551214693374</v>
      </c>
      <c r="U155" s="13">
        <f>K155-L155</f>
        <v>0.19052558883257653</v>
      </c>
      <c r="V155" s="13">
        <f>-M155+O155</f>
        <v>0.21185892216590987</v>
      </c>
      <c r="W155" s="13">
        <f>((F155*H155)+(H155^2))*D155</f>
        <v>1.1904818842642451</v>
      </c>
      <c r="X155" s="13">
        <f>2*MIN(U155:V155)+F155</f>
        <v>0.58105117766515302</v>
      </c>
      <c r="Y155" s="13">
        <f>2*AVERAGE(U155:V155)+F155</f>
        <v>0.60238451099848644</v>
      </c>
      <c r="Z155" s="13">
        <f>(MIN(U155:V155)*F155+MIN(U155:V155)^2)*D155</f>
        <v>1.1904818842642451</v>
      </c>
      <c r="AA155" s="13">
        <f>(AVERAGE(U155:V155)*F155+AVERAGE(U155:V155)^2)*D155</f>
        <v>1.2914683963635423</v>
      </c>
      <c r="AC155" s="83" t="s">
        <v>1055</v>
      </c>
      <c r="AD155" s="84" t="s">
        <v>970</v>
      </c>
      <c r="AE155" s="339">
        <f>AA155/D155</f>
        <v>8.0716774772721392E-2</v>
      </c>
      <c r="AF155">
        <f>3.82*F155</f>
        <v>0.76400000000000001</v>
      </c>
      <c r="AG155">
        <f>AF155*0.1</f>
        <v>7.640000000000001E-2</v>
      </c>
      <c r="AH155">
        <f>AG155*D155</f>
        <v>1.2224000000000002</v>
      </c>
    </row>
    <row r="156" spans="1:34" hidden="1" x14ac:dyDescent="0.45">
      <c r="A156" s="1">
        <v>1.1000000000000001</v>
      </c>
      <c r="B156" s="1" t="s">
        <v>997</v>
      </c>
      <c r="C156" s="1">
        <v>2</v>
      </c>
      <c r="D156" s="76">
        <v>25</v>
      </c>
      <c r="E156" s="126">
        <f t="shared" ref="E156:E219" si="8">SUMIFS($G$44:$G$148,$H$44:$H$148,B156)+SUMIFS($E$155:$E$244,$C$155:$C$244,B156)</f>
        <v>31.81775</v>
      </c>
      <c r="F156" s="216">
        <v>0.2</v>
      </c>
      <c r="G156" s="215">
        <f t="shared" ref="G156:G219" si="9">F156+2*H156</f>
        <v>0.58105117766515302</v>
      </c>
      <c r="H156" s="217">
        <f t="shared" ref="H156:H219" si="10">2*F156/4*(3)^(0.5)*1.1</f>
        <v>0.19052558883257653</v>
      </c>
      <c r="I156" s="215">
        <f t="shared" ref="I156:I219" si="11">H156/1.1</f>
        <v>0.17320508075688773</v>
      </c>
      <c r="J156" s="93">
        <f t="shared" si="6"/>
        <v>1.3333333333333333E-3</v>
      </c>
      <c r="K156" s="1">
        <f t="shared" ref="K156:K219" si="12">VLOOKUP(B156,$A$266:$B$368,2,FALSE)</f>
        <v>0</v>
      </c>
      <c r="L156" s="329">
        <f>_xlfn.MINIFS($M$155:$M$239,$C$155:$C$239,B156)-0.221</f>
        <v>-0.43285892216590988</v>
      </c>
      <c r="M156" s="328">
        <f>L156-D156*J156</f>
        <v>-0.4661922554992432</v>
      </c>
      <c r="N156" s="94">
        <f t="shared" ref="N156:N219" si="13">M156+H156</f>
        <v>-0.27566666666666667</v>
      </c>
      <c r="O156" s="1">
        <f t="shared" ref="O156:O219" si="14">VLOOKUP(C156,$A$267:$B$368,2,FALSE)</f>
        <v>0</v>
      </c>
      <c r="P156" s="332">
        <f t="shared" ref="P156:P219" si="15">O156-N156</f>
        <v>0.27566666666666667</v>
      </c>
      <c r="Q156" s="332">
        <f t="shared" ref="Q156:Q219" si="16">G156+P156*2</f>
        <v>1.1323845109984862</v>
      </c>
      <c r="R156" s="1" t="str">
        <f t="shared" ref="R156:R219" si="17">IF(N156&lt;O156,"OK","Filling Required")</f>
        <v>OK</v>
      </c>
      <c r="S156" s="13">
        <f t="shared" ref="S156:S219" si="18">1/0.03*3600*(J156^(0.5))*(((F156*H156/1.1)+((H156/1.1)^2))^(5/3))*((F156+((2^(3/2))*H156/1.1))^(-2/3))</f>
        <v>58.430688467127666</v>
      </c>
      <c r="T156" s="192">
        <f t="shared" si="7"/>
        <v>0.83641798892529062</v>
      </c>
      <c r="U156" s="13">
        <f t="shared" ref="U156:U219" si="19">K156-L156</f>
        <v>0.43285892216590988</v>
      </c>
      <c r="V156" s="13">
        <f t="shared" ref="V156:V219" si="20">-M156+O156</f>
        <v>0.4661922554992432</v>
      </c>
      <c r="W156" s="13">
        <f t="shared" ref="W156:W219" si="21">((F156*H156)+(H156^2))*D156</f>
        <v>1.8601279441628829</v>
      </c>
      <c r="X156" s="13">
        <f t="shared" ref="X156:X219" si="22">2*MIN(U156:V156)+F156</f>
        <v>1.0657178443318198</v>
      </c>
      <c r="Y156" s="13">
        <f t="shared" ref="Y156:Y219" si="23">2*AVERAGE(U156:V156)+F156</f>
        <v>1.099051177665153</v>
      </c>
      <c r="Z156" s="13">
        <f t="shared" ref="Z156:Z219" si="24">(MIN(U156:V156)*F156+MIN(U156:V156)^2)*D156</f>
        <v>6.8484657732953798</v>
      </c>
      <c r="AA156" s="13">
        <f t="shared" ref="AA156:AA219" si="25">(AVERAGE(U156:V156)*F156+AVERAGE(U156:V156)^2)*D156</f>
        <v>7.2994593195447486</v>
      </c>
      <c r="AC156" s="83" t="s">
        <v>971</v>
      </c>
      <c r="AD156" s="85">
        <v>0.03</v>
      </c>
      <c r="AE156" s="339">
        <f t="shared" ref="AE156:AE219" si="26">AA156/D156</f>
        <v>0.29197837278178995</v>
      </c>
      <c r="AF156">
        <f t="shared" ref="AF156:AF219" si="27">3.82*F156</f>
        <v>0.76400000000000001</v>
      </c>
      <c r="AG156">
        <f t="shared" ref="AG156:AG219" si="28">AF156*0.1</f>
        <v>7.640000000000001E-2</v>
      </c>
      <c r="AH156">
        <f t="shared" ref="AH156:AH219" si="29">AG156*D156</f>
        <v>1.9100000000000001</v>
      </c>
    </row>
    <row r="157" spans="1:34" hidden="1" x14ac:dyDescent="0.45">
      <c r="A157" s="1">
        <v>1.1000000000000001</v>
      </c>
      <c r="B157" s="1">
        <v>2</v>
      </c>
      <c r="C157" s="1">
        <v>1</v>
      </c>
      <c r="D157" s="76">
        <v>80</v>
      </c>
      <c r="E157" s="126">
        <f t="shared" si="8"/>
        <v>240.45325</v>
      </c>
      <c r="F157" s="216">
        <v>0.4</v>
      </c>
      <c r="G157" s="215">
        <f t="shared" si="9"/>
        <v>1.162102355330306</v>
      </c>
      <c r="H157" s="217">
        <f t="shared" si="10"/>
        <v>0.38105117766515306</v>
      </c>
      <c r="I157" s="215">
        <f t="shared" si="11"/>
        <v>0.34641016151377546</v>
      </c>
      <c r="J157" s="93">
        <f t="shared" si="6"/>
        <v>1.3333333333333333E-3</v>
      </c>
      <c r="K157" s="1">
        <f t="shared" si="12"/>
        <v>0</v>
      </c>
      <c r="L157" s="329">
        <f>_xlfn.MINIFS($M$155:$M$239,$C$155:$C$239,B157)-0.1</f>
        <v>-0.56619225549924324</v>
      </c>
      <c r="M157" s="327">
        <f t="shared" ref="M157:M220" si="30">L157-D157*J157</f>
        <v>-0.67285892216590992</v>
      </c>
      <c r="N157" s="94">
        <f t="shared" si="13"/>
        <v>-0.29180774450075686</v>
      </c>
      <c r="O157" s="1">
        <f t="shared" si="14"/>
        <v>0</v>
      </c>
      <c r="P157" s="332">
        <f t="shared" si="15"/>
        <v>0.29180774450075686</v>
      </c>
      <c r="Q157" s="332">
        <f t="shared" si="16"/>
        <v>1.7457178443318198</v>
      </c>
      <c r="R157" s="1" t="str">
        <f t="shared" si="17"/>
        <v>OK</v>
      </c>
      <c r="S157" s="13">
        <f t="shared" si="18"/>
        <v>371.01174535977839</v>
      </c>
      <c r="T157" s="192">
        <f t="shared" si="7"/>
        <v>0.54296831238412624</v>
      </c>
      <c r="U157" s="13">
        <f t="shared" si="19"/>
        <v>0.56619225549924324</v>
      </c>
      <c r="V157" s="13">
        <f t="shared" si="20"/>
        <v>0.67285892216590992</v>
      </c>
      <c r="W157" s="13">
        <f t="shared" si="21"/>
        <v>23.809637685284901</v>
      </c>
      <c r="X157" s="13">
        <f t="shared" si="22"/>
        <v>1.5323845109984866</v>
      </c>
      <c r="Y157" s="13">
        <f t="shared" si="23"/>
        <v>1.6390511776651531</v>
      </c>
      <c r="Z157" s="13">
        <f t="shared" si="24"/>
        <v>43.764045790961404</v>
      </c>
      <c r="AA157" s="13">
        <f t="shared" si="25"/>
        <v>50.529775260110512</v>
      </c>
      <c r="AC157" s="83" t="s">
        <v>972</v>
      </c>
      <c r="AD157" s="91">
        <f>AD160+2*AD159/1.1</f>
        <v>1.0927272727272728</v>
      </c>
      <c r="AE157" s="339">
        <f t="shared" si="26"/>
        <v>0.63162219075138137</v>
      </c>
      <c r="AF157">
        <f t="shared" si="27"/>
        <v>1.528</v>
      </c>
      <c r="AG157">
        <f t="shared" si="28"/>
        <v>0.15280000000000002</v>
      </c>
      <c r="AH157">
        <f t="shared" si="29"/>
        <v>12.224000000000002</v>
      </c>
    </row>
    <row r="158" spans="1:34" hidden="1" x14ac:dyDescent="0.45">
      <c r="A158" s="1">
        <v>1.1000000000000001</v>
      </c>
      <c r="B158" s="1">
        <v>1</v>
      </c>
      <c r="C158" s="1">
        <v>7</v>
      </c>
      <c r="D158" s="76">
        <v>95</v>
      </c>
      <c r="E158" s="126">
        <f t="shared" si="8"/>
        <v>267.37225000000001</v>
      </c>
      <c r="F158" s="216">
        <v>0.4</v>
      </c>
      <c r="G158" s="215">
        <f t="shared" si="9"/>
        <v>1.162102355330306</v>
      </c>
      <c r="H158" s="217">
        <f t="shared" si="10"/>
        <v>0.38105117766515306</v>
      </c>
      <c r="I158" s="215">
        <f t="shared" si="11"/>
        <v>0.34641016151377546</v>
      </c>
      <c r="J158" s="93">
        <f t="shared" si="6"/>
        <v>1.3333333333333333E-3</v>
      </c>
      <c r="K158" s="1">
        <f t="shared" si="12"/>
        <v>0</v>
      </c>
      <c r="L158" s="94">
        <f t="shared" ref="L158:L219" si="31">_xlfn.MINIFS($M$155:$M$239,$C$155:$C$239,B158)</f>
        <v>-0.67285892216590992</v>
      </c>
      <c r="M158" s="328">
        <f t="shared" si="30"/>
        <v>-0.79952558883257652</v>
      </c>
      <c r="N158" s="94">
        <f t="shared" si="13"/>
        <v>-0.41847441116742345</v>
      </c>
      <c r="O158" s="1">
        <f t="shared" si="14"/>
        <v>0</v>
      </c>
      <c r="P158" s="332">
        <f t="shared" si="15"/>
        <v>0.41847441116742345</v>
      </c>
      <c r="Q158" s="332">
        <f t="shared" si="16"/>
        <v>1.9990511776651529</v>
      </c>
      <c r="R158" s="1" t="str">
        <f t="shared" si="17"/>
        <v>OK</v>
      </c>
      <c r="S158" s="13">
        <f t="shared" si="18"/>
        <v>371.01174535977839</v>
      </c>
      <c r="T158" s="192">
        <f t="shared" si="7"/>
        <v>0.38762248273625394</v>
      </c>
      <c r="U158" s="13">
        <f t="shared" si="19"/>
        <v>0.67285892216590992</v>
      </c>
      <c r="V158" s="13">
        <f t="shared" si="20"/>
        <v>0.79952558883257652</v>
      </c>
      <c r="W158" s="13">
        <f t="shared" si="21"/>
        <v>28.27394475127582</v>
      </c>
      <c r="X158" s="13">
        <f t="shared" si="22"/>
        <v>1.74571784433182</v>
      </c>
      <c r="Y158" s="13">
        <f t="shared" si="23"/>
        <v>1.8723845109984865</v>
      </c>
      <c r="Z158" s="13">
        <f t="shared" si="24"/>
        <v>68.57885631044023</v>
      </c>
      <c r="AA158" s="13">
        <f t="shared" si="25"/>
        <v>79.463314229392225</v>
      </c>
      <c r="AC158" s="83" t="s">
        <v>973</v>
      </c>
      <c r="AD158" s="85">
        <f>1/750</f>
        <v>1.3333333333333333E-3</v>
      </c>
      <c r="AE158" s="339">
        <f t="shared" si="26"/>
        <v>0.83645593925676021</v>
      </c>
      <c r="AF158">
        <f t="shared" si="27"/>
        <v>1.528</v>
      </c>
      <c r="AG158">
        <f t="shared" si="28"/>
        <v>0.15280000000000002</v>
      </c>
      <c r="AH158">
        <f t="shared" si="29"/>
        <v>14.516000000000002</v>
      </c>
    </row>
    <row r="159" spans="1:34" hidden="1" x14ac:dyDescent="0.45">
      <c r="A159" s="1">
        <v>1.2</v>
      </c>
      <c r="B159" s="1">
        <v>4</v>
      </c>
      <c r="C159" s="1">
        <v>5</v>
      </c>
      <c r="D159" s="76">
        <v>102</v>
      </c>
      <c r="E159" s="126">
        <f t="shared" si="8"/>
        <v>212.38025000000002</v>
      </c>
      <c r="F159" s="216">
        <v>0.4</v>
      </c>
      <c r="G159" s="215">
        <f t="shared" si="9"/>
        <v>1.162102355330306</v>
      </c>
      <c r="H159" s="217">
        <f t="shared" si="10"/>
        <v>0.38105117766515306</v>
      </c>
      <c r="I159" s="215">
        <f t="shared" si="11"/>
        <v>0.34641016151377546</v>
      </c>
      <c r="J159" s="93">
        <f t="shared" si="6"/>
        <v>1.3333333333333333E-3</v>
      </c>
      <c r="K159" s="1">
        <f t="shared" si="12"/>
        <v>0</v>
      </c>
      <c r="L159" s="94">
        <f>K159-H159</f>
        <v>-0.38105117766515306</v>
      </c>
      <c r="M159" s="327">
        <f t="shared" si="30"/>
        <v>-0.51705117766515307</v>
      </c>
      <c r="N159" s="94">
        <f t="shared" si="13"/>
        <v>-0.13600000000000001</v>
      </c>
      <c r="O159" s="1">
        <f t="shared" si="14"/>
        <v>0</v>
      </c>
      <c r="P159" s="332">
        <f t="shared" si="15"/>
        <v>0.13600000000000001</v>
      </c>
      <c r="Q159" s="332">
        <f t="shared" si="16"/>
        <v>1.4341023553303061</v>
      </c>
      <c r="R159" s="1" t="str">
        <f t="shared" si="17"/>
        <v>OK</v>
      </c>
      <c r="S159" s="13">
        <f t="shared" si="18"/>
        <v>371.01174535977839</v>
      </c>
      <c r="T159" s="192">
        <f t="shared" si="7"/>
        <v>0.74692206718740728</v>
      </c>
      <c r="U159" s="13">
        <f t="shared" si="19"/>
        <v>0.38105117766515306</v>
      </c>
      <c r="V159" s="13">
        <f t="shared" si="20"/>
        <v>0.51705117766515307</v>
      </c>
      <c r="W159" s="13">
        <f t="shared" si="21"/>
        <v>30.357288048738248</v>
      </c>
      <c r="X159" s="13">
        <f t="shared" si="22"/>
        <v>1.162102355330306</v>
      </c>
      <c r="Y159" s="13">
        <f t="shared" si="23"/>
        <v>1.2981023553303062</v>
      </c>
      <c r="Z159" s="13">
        <f t="shared" si="24"/>
        <v>30.357288048738248</v>
      </c>
      <c r="AA159" s="13">
        <f t="shared" si="25"/>
        <v>38.889277985309256</v>
      </c>
      <c r="AC159" s="83" t="s">
        <v>974</v>
      </c>
      <c r="AD159" s="91">
        <v>0.38100000000000001</v>
      </c>
      <c r="AE159" s="339">
        <f t="shared" si="26"/>
        <v>0.38126743122852214</v>
      </c>
      <c r="AF159">
        <f t="shared" si="27"/>
        <v>1.528</v>
      </c>
      <c r="AG159">
        <f t="shared" si="28"/>
        <v>0.15280000000000002</v>
      </c>
      <c r="AH159">
        <f t="shared" si="29"/>
        <v>15.585600000000001</v>
      </c>
    </row>
    <row r="160" spans="1:34" hidden="1" x14ac:dyDescent="0.45">
      <c r="A160" s="1">
        <v>1.2</v>
      </c>
      <c r="B160" s="1">
        <v>5</v>
      </c>
      <c r="C160" s="1">
        <v>6</v>
      </c>
      <c r="D160" s="76">
        <v>14</v>
      </c>
      <c r="E160" s="126">
        <f t="shared" si="8"/>
        <v>272.11175000000003</v>
      </c>
      <c r="F160" s="216">
        <v>0.4</v>
      </c>
      <c r="G160" s="215">
        <f t="shared" si="9"/>
        <v>1.162102355330306</v>
      </c>
      <c r="H160" s="217">
        <f t="shared" si="10"/>
        <v>0.38105117766515306</v>
      </c>
      <c r="I160" s="215">
        <f t="shared" si="11"/>
        <v>0.34641016151377546</v>
      </c>
      <c r="J160" s="93">
        <f t="shared" si="6"/>
        <v>1.3333333333333333E-3</v>
      </c>
      <c r="K160" s="1">
        <f t="shared" si="12"/>
        <v>0</v>
      </c>
      <c r="L160" s="94">
        <f t="shared" si="31"/>
        <v>-0.51705117766515307</v>
      </c>
      <c r="M160" s="327">
        <f t="shared" si="30"/>
        <v>-0.53571784433181979</v>
      </c>
      <c r="N160" s="94">
        <f t="shared" si="13"/>
        <v>-0.15466666666666673</v>
      </c>
      <c r="O160" s="1">
        <f t="shared" si="14"/>
        <v>0</v>
      </c>
      <c r="P160" s="332">
        <f t="shared" si="15"/>
        <v>0.15466666666666673</v>
      </c>
      <c r="Q160" s="332">
        <f t="shared" si="16"/>
        <v>1.4714356886636395</v>
      </c>
      <c r="R160" s="1" t="str">
        <f t="shared" si="17"/>
        <v>OK</v>
      </c>
      <c r="S160" s="13">
        <f t="shared" si="18"/>
        <v>371.01174535977839</v>
      </c>
      <c r="T160" s="192">
        <f t="shared" si="7"/>
        <v>0.36345360080841177</v>
      </c>
      <c r="U160" s="13">
        <f t="shared" si="19"/>
        <v>0.51705117766515307</v>
      </c>
      <c r="V160" s="13">
        <f t="shared" si="20"/>
        <v>0.53571784433181979</v>
      </c>
      <c r="W160" s="13">
        <f t="shared" si="21"/>
        <v>4.1666865949248582</v>
      </c>
      <c r="X160" s="13">
        <f t="shared" si="22"/>
        <v>1.4341023553303063</v>
      </c>
      <c r="Y160" s="13">
        <f t="shared" si="23"/>
        <v>1.4527690219969727</v>
      </c>
      <c r="Z160" s="13">
        <f t="shared" si="24"/>
        <v>6.638273479473761</v>
      </c>
      <c r="AA160" s="13">
        <f t="shared" si="25"/>
        <v>6.8268824094591434</v>
      </c>
      <c r="AC160" s="83" t="s">
        <v>975</v>
      </c>
      <c r="AD160" s="92">
        <v>0.4</v>
      </c>
      <c r="AE160" s="339">
        <f t="shared" si="26"/>
        <v>0.48763445781851023</v>
      </c>
      <c r="AF160">
        <f t="shared" si="27"/>
        <v>1.528</v>
      </c>
      <c r="AG160">
        <f t="shared" si="28"/>
        <v>0.15280000000000002</v>
      </c>
      <c r="AH160">
        <f t="shared" si="29"/>
        <v>2.1392000000000002</v>
      </c>
    </row>
    <row r="161" spans="1:34" hidden="1" x14ac:dyDescent="0.45">
      <c r="A161" s="1">
        <v>1.2</v>
      </c>
      <c r="B161" s="1">
        <v>6</v>
      </c>
      <c r="C161" s="1">
        <v>7</v>
      </c>
      <c r="D161" s="76">
        <v>96</v>
      </c>
      <c r="E161" s="126">
        <f t="shared" si="8"/>
        <v>511.01125000000002</v>
      </c>
      <c r="F161" s="216">
        <v>0.5</v>
      </c>
      <c r="G161" s="215">
        <f t="shared" si="9"/>
        <v>1.4526279441628827</v>
      </c>
      <c r="H161" s="217">
        <f t="shared" si="10"/>
        <v>0.47631397208144127</v>
      </c>
      <c r="I161" s="215">
        <f t="shared" si="11"/>
        <v>0.4330127018922193</v>
      </c>
      <c r="J161" s="93">
        <f t="shared" si="6"/>
        <v>1.3333333333333333E-3</v>
      </c>
      <c r="K161" s="1">
        <f t="shared" si="12"/>
        <v>0</v>
      </c>
      <c r="L161" s="94">
        <f t="shared" si="31"/>
        <v>-0.53571784433181979</v>
      </c>
      <c r="M161" s="327">
        <f t="shared" si="30"/>
        <v>-0.6637178443318198</v>
      </c>
      <c r="N161" s="94">
        <f t="shared" si="13"/>
        <v>-0.18740387225037852</v>
      </c>
      <c r="O161" s="1">
        <f t="shared" si="14"/>
        <v>0</v>
      </c>
      <c r="P161" s="332">
        <f t="shared" si="15"/>
        <v>0.18740387225037852</v>
      </c>
      <c r="Q161" s="332">
        <f t="shared" si="16"/>
        <v>1.8274356886636398</v>
      </c>
      <c r="R161" s="1" t="str">
        <f t="shared" si="17"/>
        <v>OK</v>
      </c>
      <c r="S161" s="13">
        <f t="shared" si="18"/>
        <v>672.68905250044338</v>
      </c>
      <c r="T161" s="192">
        <f t="shared" si="7"/>
        <v>0.31638795134244768</v>
      </c>
      <c r="U161" s="13">
        <f t="shared" si="19"/>
        <v>0.53571784433181979</v>
      </c>
      <c r="V161" s="13">
        <f t="shared" si="20"/>
        <v>0.6637178443318198</v>
      </c>
      <c r="W161" s="13">
        <f t="shared" si="21"/>
        <v>44.643070659909185</v>
      </c>
      <c r="X161" s="13">
        <f t="shared" si="22"/>
        <v>1.5714356886636396</v>
      </c>
      <c r="Y161" s="13">
        <f t="shared" si="23"/>
        <v>1.6994356886636397</v>
      </c>
      <c r="Z161" s="13">
        <f t="shared" si="24"/>
        <v>53.265842966538415</v>
      </c>
      <c r="AA161" s="13">
        <f t="shared" si="25"/>
        <v>63.313959837687825</v>
      </c>
      <c r="AC161" s="83" t="s">
        <v>9</v>
      </c>
      <c r="AD161" s="87">
        <f>AD160*AD159/1.1+(AD159/1.1)^2</f>
        <v>0.25851322314049585</v>
      </c>
      <c r="AE161" s="339">
        <f t="shared" si="26"/>
        <v>0.65952041497591485</v>
      </c>
      <c r="AF161">
        <f t="shared" si="27"/>
        <v>1.91</v>
      </c>
      <c r="AG161">
        <f t="shared" si="28"/>
        <v>0.191</v>
      </c>
      <c r="AH161">
        <f t="shared" si="29"/>
        <v>18.335999999999999</v>
      </c>
    </row>
    <row r="162" spans="1:34" hidden="1" x14ac:dyDescent="0.45">
      <c r="A162" s="1">
        <v>1</v>
      </c>
      <c r="B162" s="1">
        <v>7</v>
      </c>
      <c r="C162" s="1" t="s">
        <v>1003</v>
      </c>
      <c r="D162" s="76">
        <v>8</v>
      </c>
      <c r="E162" s="126">
        <f t="shared" si="8"/>
        <v>778.38350000000003</v>
      </c>
      <c r="F162" s="216">
        <v>0.6</v>
      </c>
      <c r="G162" s="215">
        <f t="shared" si="9"/>
        <v>1.7431535329954588</v>
      </c>
      <c r="H162" s="217">
        <f t="shared" si="10"/>
        <v>0.57157676649772948</v>
      </c>
      <c r="I162" s="215">
        <f t="shared" si="11"/>
        <v>0.51961524227066314</v>
      </c>
      <c r="J162" s="93">
        <f t="shared" si="6"/>
        <v>1.3333333333333333E-3</v>
      </c>
      <c r="K162" s="1">
        <f t="shared" si="12"/>
        <v>0</v>
      </c>
      <c r="L162" s="94">
        <f t="shared" si="31"/>
        <v>-0.79952558883257652</v>
      </c>
      <c r="M162" s="327">
        <f t="shared" si="30"/>
        <v>-0.81019225549924323</v>
      </c>
      <c r="N162" s="94">
        <f t="shared" si="13"/>
        <v>-0.23861548900151375</v>
      </c>
      <c r="O162" s="1">
        <f t="shared" si="14"/>
        <v>0</v>
      </c>
      <c r="P162" s="332">
        <f t="shared" si="15"/>
        <v>0.23861548900151375</v>
      </c>
      <c r="Q162" s="332">
        <f t="shared" si="16"/>
        <v>2.2203845109984863</v>
      </c>
      <c r="R162" s="1" t="str">
        <f t="shared" si="17"/>
        <v>OK</v>
      </c>
      <c r="S162" s="13">
        <f t="shared" si="18"/>
        <v>1093.8665686523198</v>
      </c>
      <c r="T162" s="192">
        <f t="shared" si="7"/>
        <v>0.40530544217897696</v>
      </c>
      <c r="U162" s="13">
        <f t="shared" si="19"/>
        <v>0.79952558883257652</v>
      </c>
      <c r="V162" s="13">
        <f t="shared" si="20"/>
        <v>0.81019225549924323</v>
      </c>
      <c r="W162" s="13">
        <f t="shared" si="21"/>
        <v>5.3571684791891014</v>
      </c>
      <c r="X162" s="13">
        <f t="shared" si="22"/>
        <v>2.1990511776651531</v>
      </c>
      <c r="Y162" s="13">
        <f t="shared" si="23"/>
        <v>2.2097178443318199</v>
      </c>
      <c r="Z162" s="13">
        <f t="shared" si="24"/>
        <v>8.9516521639809934</v>
      </c>
      <c r="AA162" s="13">
        <f t="shared" si="25"/>
        <v>9.0457059031169287</v>
      </c>
      <c r="AC162" s="83" t="s">
        <v>976</v>
      </c>
      <c r="AD162" s="86">
        <f>AD159/1.1</f>
        <v>0.34636363636363632</v>
      </c>
      <c r="AE162" s="339">
        <f t="shared" si="26"/>
        <v>1.1307132378896161</v>
      </c>
      <c r="AF162">
        <f t="shared" si="27"/>
        <v>2.2919999999999998</v>
      </c>
      <c r="AG162">
        <f t="shared" si="28"/>
        <v>0.22919999999999999</v>
      </c>
      <c r="AH162">
        <f t="shared" si="29"/>
        <v>1.8335999999999999</v>
      </c>
    </row>
    <row r="163" spans="1:34" hidden="1" x14ac:dyDescent="0.45">
      <c r="A163" s="1">
        <v>2</v>
      </c>
      <c r="B163" s="1">
        <v>8</v>
      </c>
      <c r="C163" s="1">
        <v>9</v>
      </c>
      <c r="D163" s="76">
        <v>86</v>
      </c>
      <c r="E163" s="126">
        <f t="shared" si="8"/>
        <v>233.36500000000001</v>
      </c>
      <c r="F163" s="216">
        <v>0.4</v>
      </c>
      <c r="G163" s="215">
        <f t="shared" si="9"/>
        <v>1.162102355330306</v>
      </c>
      <c r="H163" s="217">
        <f t="shared" si="10"/>
        <v>0.38105117766515306</v>
      </c>
      <c r="I163" s="215">
        <f t="shared" si="11"/>
        <v>0.34641016151377546</v>
      </c>
      <c r="J163" s="93">
        <f t="shared" si="6"/>
        <v>1.3333333333333333E-3</v>
      </c>
      <c r="K163" s="1">
        <f t="shared" si="12"/>
        <v>0</v>
      </c>
      <c r="L163" s="94">
        <f>K163-H163</f>
        <v>-0.38105117766515306</v>
      </c>
      <c r="M163" s="327">
        <f t="shared" si="30"/>
        <v>-0.49571784433181976</v>
      </c>
      <c r="N163" s="94">
        <f t="shared" si="13"/>
        <v>-0.11466666666666669</v>
      </c>
      <c r="O163" s="1">
        <f t="shared" si="14"/>
        <v>0</v>
      </c>
      <c r="P163" s="332">
        <f t="shared" si="15"/>
        <v>0.11466666666666669</v>
      </c>
      <c r="Q163" s="332">
        <f t="shared" si="16"/>
        <v>1.3914356886636394</v>
      </c>
      <c r="R163" s="1" t="str">
        <f t="shared" si="17"/>
        <v>OK</v>
      </c>
      <c r="S163" s="13">
        <f t="shared" si="18"/>
        <v>371.01174535977839</v>
      </c>
      <c r="T163" s="192">
        <f t="shared" si="7"/>
        <v>0.58983457399257977</v>
      </c>
      <c r="U163" s="13">
        <f t="shared" si="19"/>
        <v>0.38105117766515306</v>
      </c>
      <c r="V163" s="13">
        <f t="shared" si="20"/>
        <v>0.49571784433181976</v>
      </c>
      <c r="W163" s="13">
        <f t="shared" si="21"/>
        <v>25.595360511681267</v>
      </c>
      <c r="X163" s="13">
        <f t="shared" si="22"/>
        <v>1.162102355330306</v>
      </c>
      <c r="Y163" s="13">
        <f t="shared" si="23"/>
        <v>1.276769021996973</v>
      </c>
      <c r="Z163" s="13">
        <f t="shared" si="24"/>
        <v>25.595360511681267</v>
      </c>
      <c r="AA163" s="13">
        <f t="shared" si="25"/>
        <v>31.607991413918789</v>
      </c>
      <c r="AC163" s="83" t="s">
        <v>977</v>
      </c>
      <c r="AD163" s="86">
        <f>AD161/AD164</f>
        <v>0.18737527872882143</v>
      </c>
      <c r="AE163" s="339">
        <f t="shared" si="26"/>
        <v>0.36753478388277661</v>
      </c>
      <c r="AF163">
        <f t="shared" si="27"/>
        <v>1.528</v>
      </c>
      <c r="AG163">
        <f t="shared" si="28"/>
        <v>0.15280000000000002</v>
      </c>
      <c r="AH163">
        <f t="shared" si="29"/>
        <v>13.140800000000002</v>
      </c>
    </row>
    <row r="164" spans="1:34" hidden="1" x14ac:dyDescent="0.45">
      <c r="A164" s="1">
        <v>2</v>
      </c>
      <c r="B164" s="1">
        <v>9</v>
      </c>
      <c r="C164" s="1" t="s">
        <v>1005</v>
      </c>
      <c r="D164" s="76">
        <v>18</v>
      </c>
      <c r="E164" s="126">
        <f t="shared" si="8"/>
        <v>249.50575000000001</v>
      </c>
      <c r="F164" s="216">
        <v>0.4</v>
      </c>
      <c r="G164" s="215">
        <f t="shared" si="9"/>
        <v>1.162102355330306</v>
      </c>
      <c r="H164" s="217">
        <f t="shared" si="10"/>
        <v>0.38105117766515306</v>
      </c>
      <c r="I164" s="215">
        <f t="shared" si="11"/>
        <v>0.34641016151377546</v>
      </c>
      <c r="J164" s="93">
        <f t="shared" si="6"/>
        <v>1.3333333333333333E-3</v>
      </c>
      <c r="K164" s="1">
        <f t="shared" si="12"/>
        <v>0</v>
      </c>
      <c r="L164" s="94">
        <f t="shared" si="31"/>
        <v>-0.49571784433181976</v>
      </c>
      <c r="M164" s="327">
        <f t="shared" si="30"/>
        <v>-0.51971784433181978</v>
      </c>
      <c r="N164" s="94">
        <f t="shared" si="13"/>
        <v>-0.13866666666666672</v>
      </c>
      <c r="O164" s="1">
        <f t="shared" si="14"/>
        <v>0</v>
      </c>
      <c r="P164" s="332">
        <f t="shared" si="15"/>
        <v>0.13866666666666672</v>
      </c>
      <c r="Q164" s="332">
        <f t="shared" si="16"/>
        <v>1.4394356886636395</v>
      </c>
      <c r="R164" s="1" t="str">
        <f t="shared" si="17"/>
        <v>OK</v>
      </c>
      <c r="S164" s="13">
        <f t="shared" si="18"/>
        <v>371.01174535977839</v>
      </c>
      <c r="T164" s="192">
        <f t="shared" si="7"/>
        <v>0.48698675425227023</v>
      </c>
      <c r="U164" s="13">
        <f t="shared" si="19"/>
        <v>0.49571784433181976</v>
      </c>
      <c r="V164" s="13">
        <f t="shared" si="20"/>
        <v>0.51971784433181978</v>
      </c>
      <c r="W164" s="13">
        <f t="shared" si="21"/>
        <v>5.3571684791891023</v>
      </c>
      <c r="X164" s="13">
        <f t="shared" si="22"/>
        <v>1.3914356886636394</v>
      </c>
      <c r="Y164" s="13">
        <f t="shared" si="23"/>
        <v>1.4154356886636394</v>
      </c>
      <c r="Z164" s="13">
        <f t="shared" si="24"/>
        <v>7.9924197405908561</v>
      </c>
      <c r="AA164" s="13">
        <f t="shared" si="25"/>
        <v>8.2955618493422012</v>
      </c>
      <c r="AC164" s="83" t="s">
        <v>978</v>
      </c>
      <c r="AD164" s="86">
        <f>AD160+AD159/1.1*2*1.4142</f>
        <v>1.3796549090909089</v>
      </c>
      <c r="AE164" s="339">
        <f t="shared" si="26"/>
        <v>0.46086454718567782</v>
      </c>
      <c r="AF164">
        <f t="shared" si="27"/>
        <v>1.528</v>
      </c>
      <c r="AG164">
        <f t="shared" si="28"/>
        <v>0.15280000000000002</v>
      </c>
      <c r="AH164">
        <f t="shared" si="29"/>
        <v>2.7504000000000004</v>
      </c>
    </row>
    <row r="165" spans="1:34" hidden="1" x14ac:dyDescent="0.45">
      <c r="A165" s="1">
        <v>3</v>
      </c>
      <c r="B165" s="1">
        <v>10</v>
      </c>
      <c r="C165" s="1">
        <v>11</v>
      </c>
      <c r="D165" s="76">
        <v>86</v>
      </c>
      <c r="E165" s="126">
        <f t="shared" si="8"/>
        <v>243.4545</v>
      </c>
      <c r="F165" s="216">
        <v>0.4</v>
      </c>
      <c r="G165" s="215">
        <f t="shared" si="9"/>
        <v>1.162102355330306</v>
      </c>
      <c r="H165" s="217">
        <f t="shared" si="10"/>
        <v>0.38105117766515306</v>
      </c>
      <c r="I165" s="215">
        <f t="shared" si="11"/>
        <v>0.34641016151377546</v>
      </c>
      <c r="J165" s="93">
        <f t="shared" si="6"/>
        <v>1.3333333333333333E-3</v>
      </c>
      <c r="K165" s="1">
        <f t="shared" si="12"/>
        <v>0</v>
      </c>
      <c r="L165" s="94">
        <f>K165-H165</f>
        <v>-0.38105117766515306</v>
      </c>
      <c r="M165" s="327">
        <f t="shared" si="30"/>
        <v>-0.49571784433181976</v>
      </c>
      <c r="N165" s="94">
        <f t="shared" si="13"/>
        <v>-0.11466666666666669</v>
      </c>
      <c r="O165" s="1">
        <f t="shared" si="14"/>
        <v>0</v>
      </c>
      <c r="P165" s="332">
        <f t="shared" si="15"/>
        <v>0.11466666666666669</v>
      </c>
      <c r="Q165" s="332">
        <f t="shared" si="16"/>
        <v>1.3914356886636394</v>
      </c>
      <c r="R165" s="1" t="str">
        <f t="shared" si="17"/>
        <v>OK</v>
      </c>
      <c r="S165" s="13">
        <f t="shared" si="18"/>
        <v>371.01174535977839</v>
      </c>
      <c r="T165" s="192">
        <f t="shared" si="7"/>
        <v>0.52394696076588598</v>
      </c>
      <c r="U165" s="13">
        <f t="shared" si="19"/>
        <v>0.38105117766515306</v>
      </c>
      <c r="V165" s="13">
        <f t="shared" si="20"/>
        <v>0.49571784433181976</v>
      </c>
      <c r="W165" s="13">
        <f t="shared" si="21"/>
        <v>25.595360511681267</v>
      </c>
      <c r="X165" s="13">
        <f t="shared" si="22"/>
        <v>1.162102355330306</v>
      </c>
      <c r="Y165" s="13">
        <f t="shared" si="23"/>
        <v>1.276769021996973</v>
      </c>
      <c r="Z165" s="13">
        <f t="shared" si="24"/>
        <v>25.595360511681267</v>
      </c>
      <c r="AA165" s="13">
        <f t="shared" si="25"/>
        <v>31.607991413918789</v>
      </c>
      <c r="AC165" s="83" t="s">
        <v>979</v>
      </c>
      <c r="AD165" s="88">
        <f>AD159-AD162</f>
        <v>3.4636363636363687E-2</v>
      </c>
      <c r="AE165" s="339">
        <f t="shared" si="26"/>
        <v>0.36753478388277661</v>
      </c>
      <c r="AF165">
        <f t="shared" si="27"/>
        <v>1.528</v>
      </c>
      <c r="AG165">
        <f t="shared" si="28"/>
        <v>0.15280000000000002</v>
      </c>
      <c r="AH165">
        <f t="shared" si="29"/>
        <v>13.140800000000002</v>
      </c>
    </row>
    <row r="166" spans="1:34" hidden="1" x14ac:dyDescent="0.45">
      <c r="A166" s="1">
        <v>3</v>
      </c>
      <c r="B166" s="1">
        <v>11</v>
      </c>
      <c r="C166" s="1" t="s">
        <v>1009</v>
      </c>
      <c r="D166" s="76">
        <v>18</v>
      </c>
      <c r="E166" s="126">
        <f t="shared" si="8"/>
        <v>247.8485</v>
      </c>
      <c r="F166" s="216">
        <v>0.4</v>
      </c>
      <c r="G166" s="215">
        <f t="shared" si="9"/>
        <v>1.162102355330306</v>
      </c>
      <c r="H166" s="217">
        <f t="shared" si="10"/>
        <v>0.38105117766515306</v>
      </c>
      <c r="I166" s="215">
        <f t="shared" si="11"/>
        <v>0.34641016151377546</v>
      </c>
      <c r="J166" s="93">
        <f t="shared" si="6"/>
        <v>1.3333333333333333E-3</v>
      </c>
      <c r="K166" s="1">
        <f t="shared" si="12"/>
        <v>0</v>
      </c>
      <c r="L166" s="94">
        <f t="shared" si="31"/>
        <v>-0.49571784433181976</v>
      </c>
      <c r="M166" s="327">
        <f t="shared" si="30"/>
        <v>-0.51971784433181978</v>
      </c>
      <c r="N166" s="94">
        <f t="shared" si="13"/>
        <v>-0.13866666666666672</v>
      </c>
      <c r="O166" s="1">
        <f t="shared" si="14"/>
        <v>0</v>
      </c>
      <c r="P166" s="332">
        <f t="shared" si="15"/>
        <v>0.13866666666666672</v>
      </c>
      <c r="Q166" s="332">
        <f t="shared" si="16"/>
        <v>1.4394356886636395</v>
      </c>
      <c r="R166" s="1" t="str">
        <f t="shared" si="17"/>
        <v>OK</v>
      </c>
      <c r="S166" s="13">
        <f t="shared" si="18"/>
        <v>371.01174535977839</v>
      </c>
      <c r="T166" s="192">
        <f t="shared" si="7"/>
        <v>0.49692955720844945</v>
      </c>
      <c r="U166" s="13">
        <f t="shared" si="19"/>
        <v>0.49571784433181976</v>
      </c>
      <c r="V166" s="13">
        <f t="shared" si="20"/>
        <v>0.51971784433181978</v>
      </c>
      <c r="W166" s="13">
        <f t="shared" si="21"/>
        <v>5.3571684791891023</v>
      </c>
      <c r="X166" s="13">
        <f t="shared" si="22"/>
        <v>1.3914356886636394</v>
      </c>
      <c r="Y166" s="13">
        <f t="shared" si="23"/>
        <v>1.4154356886636394</v>
      </c>
      <c r="Z166" s="13">
        <f t="shared" si="24"/>
        <v>7.9924197405908561</v>
      </c>
      <c r="AA166" s="13">
        <f t="shared" si="25"/>
        <v>8.2955618493422012</v>
      </c>
      <c r="AC166" s="83" t="s">
        <v>864</v>
      </c>
      <c r="AD166" s="89">
        <f>1/AD156*(AD158^0.5)*(AD161^(5/3))*(AD164^(-2/3))*3600</f>
        <v>370.91543384086492</v>
      </c>
      <c r="AE166" s="339">
        <f t="shared" si="26"/>
        <v>0.46086454718567782</v>
      </c>
      <c r="AF166">
        <f t="shared" si="27"/>
        <v>1.528</v>
      </c>
      <c r="AG166">
        <f t="shared" si="28"/>
        <v>0.15280000000000002</v>
      </c>
      <c r="AH166">
        <f t="shared" si="29"/>
        <v>2.7504000000000004</v>
      </c>
    </row>
    <row r="167" spans="1:34" hidden="1" x14ac:dyDescent="0.45">
      <c r="A167" s="1">
        <v>4</v>
      </c>
      <c r="B167" s="1">
        <v>12</v>
      </c>
      <c r="C167" s="1">
        <v>13</v>
      </c>
      <c r="D167" s="76">
        <v>108</v>
      </c>
      <c r="E167" s="126">
        <f t="shared" si="8"/>
        <v>230.39500000000001</v>
      </c>
      <c r="F167" s="216">
        <v>0.4</v>
      </c>
      <c r="G167" s="215">
        <f t="shared" si="9"/>
        <v>1.162102355330306</v>
      </c>
      <c r="H167" s="217">
        <f t="shared" si="10"/>
        <v>0.38105117766515306</v>
      </c>
      <c r="I167" s="215">
        <f t="shared" si="11"/>
        <v>0.34641016151377546</v>
      </c>
      <c r="J167" s="93">
        <f t="shared" si="6"/>
        <v>1.3333333333333333E-3</v>
      </c>
      <c r="K167" s="1">
        <f t="shared" si="12"/>
        <v>0</v>
      </c>
      <c r="L167" s="94">
        <f>K167-H167</f>
        <v>-0.38105117766515306</v>
      </c>
      <c r="M167" s="327">
        <f t="shared" si="30"/>
        <v>-0.52505117766515308</v>
      </c>
      <c r="N167" s="94">
        <f t="shared" si="13"/>
        <v>-0.14400000000000002</v>
      </c>
      <c r="O167" s="1">
        <f t="shared" si="14"/>
        <v>0</v>
      </c>
      <c r="P167" s="332">
        <f t="shared" si="15"/>
        <v>0.14400000000000002</v>
      </c>
      <c r="Q167" s="332">
        <f t="shared" si="16"/>
        <v>1.4501023553303061</v>
      </c>
      <c r="R167" s="1" t="str">
        <f t="shared" si="17"/>
        <v>OK</v>
      </c>
      <c r="S167" s="13">
        <f t="shared" si="18"/>
        <v>371.01174535977839</v>
      </c>
      <c r="T167" s="192">
        <f t="shared" si="7"/>
        <v>0.61032898005502889</v>
      </c>
      <c r="U167" s="13">
        <f t="shared" si="19"/>
        <v>0.38105117766515306</v>
      </c>
      <c r="V167" s="13">
        <f t="shared" si="20"/>
        <v>0.52505117766515308</v>
      </c>
      <c r="W167" s="13">
        <f t="shared" si="21"/>
        <v>32.143010875134614</v>
      </c>
      <c r="X167" s="13">
        <f t="shared" si="22"/>
        <v>1.162102355330306</v>
      </c>
      <c r="Y167" s="13">
        <f t="shared" si="23"/>
        <v>1.3061023553303062</v>
      </c>
      <c r="Z167" s="13">
        <f t="shared" si="24"/>
        <v>32.143010875134614</v>
      </c>
      <c r="AA167" s="13">
        <f t="shared" si="25"/>
        <v>41.73939079018308</v>
      </c>
      <c r="AC167" s="83" t="s">
        <v>980</v>
      </c>
      <c r="AD167" s="90">
        <f>AD166/AD161/3600</f>
        <v>0.39855626611332107</v>
      </c>
      <c r="AE167" s="339">
        <f t="shared" si="26"/>
        <v>0.38647584064984336</v>
      </c>
      <c r="AF167">
        <f t="shared" si="27"/>
        <v>1.528</v>
      </c>
      <c r="AG167">
        <f t="shared" si="28"/>
        <v>0.15280000000000002</v>
      </c>
      <c r="AH167">
        <f t="shared" si="29"/>
        <v>16.502400000000002</v>
      </c>
    </row>
    <row r="168" spans="1:34" hidden="1" x14ac:dyDescent="0.45">
      <c r="A168" s="1">
        <v>4</v>
      </c>
      <c r="B168" s="1">
        <v>13</v>
      </c>
      <c r="C168" s="1" t="s">
        <v>1011</v>
      </c>
      <c r="D168" s="76">
        <v>18</v>
      </c>
      <c r="E168" s="126">
        <f t="shared" si="8"/>
        <v>238.37300000000002</v>
      </c>
      <c r="F168" s="216">
        <v>0.4</v>
      </c>
      <c r="G168" s="215">
        <f t="shared" si="9"/>
        <v>1.162102355330306</v>
      </c>
      <c r="H168" s="217">
        <f t="shared" si="10"/>
        <v>0.38105117766515306</v>
      </c>
      <c r="I168" s="215">
        <f t="shared" si="11"/>
        <v>0.34641016151377546</v>
      </c>
      <c r="J168" s="93">
        <f t="shared" si="6"/>
        <v>1.3333333333333333E-3</v>
      </c>
      <c r="K168" s="1">
        <f t="shared" si="12"/>
        <v>0</v>
      </c>
      <c r="L168" s="94">
        <f t="shared" si="31"/>
        <v>-0.52505117766515308</v>
      </c>
      <c r="M168" s="327">
        <f t="shared" si="30"/>
        <v>-0.5490511776651531</v>
      </c>
      <c r="N168" s="94">
        <f t="shared" si="13"/>
        <v>-0.16800000000000004</v>
      </c>
      <c r="O168" s="1">
        <f t="shared" si="14"/>
        <v>0</v>
      </c>
      <c r="P168" s="332">
        <f t="shared" si="15"/>
        <v>0.16800000000000004</v>
      </c>
      <c r="Q168" s="332">
        <f t="shared" si="16"/>
        <v>1.4981023553303061</v>
      </c>
      <c r="R168" s="1" t="str">
        <f t="shared" si="17"/>
        <v>OK</v>
      </c>
      <c r="S168" s="13">
        <f t="shared" si="18"/>
        <v>371.01174535977839</v>
      </c>
      <c r="T168" s="192">
        <f t="shared" si="7"/>
        <v>0.55643359507904988</v>
      </c>
      <c r="U168" s="13">
        <f t="shared" si="19"/>
        <v>0.52505117766515308</v>
      </c>
      <c r="V168" s="13">
        <f t="shared" si="20"/>
        <v>0.5490511776651531</v>
      </c>
      <c r="W168" s="13">
        <f t="shared" si="21"/>
        <v>5.3571684791891023</v>
      </c>
      <c r="X168" s="13">
        <f t="shared" si="22"/>
        <v>1.4501023553303063</v>
      </c>
      <c r="Y168" s="13">
        <f t="shared" si="23"/>
        <v>1.4741023553303063</v>
      </c>
      <c r="Z168" s="13">
        <f t="shared" si="24"/>
        <v>8.7425857842052572</v>
      </c>
      <c r="AA168" s="13">
        <f t="shared" si="25"/>
        <v>9.0583998929566025</v>
      </c>
      <c r="AC168" s="103"/>
      <c r="AD168" s="103"/>
      <c r="AE168" s="339">
        <f t="shared" si="26"/>
        <v>0.50324443849758904</v>
      </c>
      <c r="AF168">
        <f t="shared" si="27"/>
        <v>1.528</v>
      </c>
      <c r="AG168">
        <f t="shared" si="28"/>
        <v>0.15280000000000002</v>
      </c>
      <c r="AH168">
        <f t="shared" si="29"/>
        <v>2.7504000000000004</v>
      </c>
    </row>
    <row r="169" spans="1:34" hidden="1" x14ac:dyDescent="0.45">
      <c r="A169" s="1">
        <v>5</v>
      </c>
      <c r="B169" s="1">
        <v>14</v>
      </c>
      <c r="C169" s="1">
        <v>15</v>
      </c>
      <c r="D169" s="76">
        <v>102</v>
      </c>
      <c r="E169" s="126">
        <f>SUMIFS($G$44:$G$148,$H$44:$H$148,B169)+SUMIFS($E$155:$E$244,$C$155:$C$244,B169)</f>
        <v>177.77324999999999</v>
      </c>
      <c r="F169" s="216">
        <v>0.4</v>
      </c>
      <c r="G169" s="215">
        <f t="shared" si="9"/>
        <v>1.162102355330306</v>
      </c>
      <c r="H169" s="217">
        <f t="shared" si="10"/>
        <v>0.38105117766515306</v>
      </c>
      <c r="I169" s="215">
        <f t="shared" si="11"/>
        <v>0.34641016151377546</v>
      </c>
      <c r="J169" s="93">
        <f t="shared" si="6"/>
        <v>1.3333333333333333E-3</v>
      </c>
      <c r="K169" s="1">
        <f t="shared" si="12"/>
        <v>263.82499999999999</v>
      </c>
      <c r="L169" s="94">
        <f>K169-H169</f>
        <v>263.44394882233485</v>
      </c>
      <c r="M169" s="327">
        <f t="shared" si="30"/>
        <v>263.30794882233482</v>
      </c>
      <c r="N169" s="94">
        <f t="shared" si="13"/>
        <v>263.68899999999996</v>
      </c>
      <c r="O169" s="1">
        <f t="shared" si="14"/>
        <v>263.82499999999999</v>
      </c>
      <c r="P169" s="332">
        <f t="shared" si="15"/>
        <v>0.1360000000000241</v>
      </c>
      <c r="Q169" s="332">
        <f t="shared" si="16"/>
        <v>1.4341023553303542</v>
      </c>
      <c r="R169" s="1" t="str">
        <f t="shared" si="17"/>
        <v>OK</v>
      </c>
      <c r="S169" s="13">
        <f t="shared" si="18"/>
        <v>371.01174535977839</v>
      </c>
      <c r="T169" s="192">
        <f t="shared" si="7"/>
        <v>1.086994220782814</v>
      </c>
      <c r="U169" s="13">
        <f t="shared" si="19"/>
        <v>0.3810511776651424</v>
      </c>
      <c r="V169" s="13">
        <f t="shared" si="20"/>
        <v>0.51705117766516651</v>
      </c>
      <c r="W169" s="13">
        <f t="shared" si="21"/>
        <v>30.357288048738248</v>
      </c>
      <c r="X169" s="13">
        <f t="shared" si="22"/>
        <v>1.1621023553302847</v>
      </c>
      <c r="Y169" s="13">
        <f t="shared" si="23"/>
        <v>1.2981023553303088</v>
      </c>
      <c r="Z169" s="13">
        <f t="shared" si="24"/>
        <v>30.357288048736986</v>
      </c>
      <c r="AA169" s="13">
        <f t="shared" si="25"/>
        <v>38.889277985309441</v>
      </c>
      <c r="AC169" s="103"/>
      <c r="AD169" s="103"/>
      <c r="AE169" s="339">
        <f t="shared" si="26"/>
        <v>0.38126743122852391</v>
      </c>
      <c r="AF169">
        <f t="shared" si="27"/>
        <v>1.528</v>
      </c>
      <c r="AG169">
        <f t="shared" si="28"/>
        <v>0.15280000000000002</v>
      </c>
      <c r="AH169">
        <f t="shared" si="29"/>
        <v>15.585600000000001</v>
      </c>
    </row>
    <row r="170" spans="1:34" hidden="1" x14ac:dyDescent="0.45">
      <c r="A170" s="1">
        <v>5</v>
      </c>
      <c r="B170" s="1">
        <v>15</v>
      </c>
      <c r="C170" s="1" t="s">
        <v>1012</v>
      </c>
      <c r="D170" s="76">
        <v>36</v>
      </c>
      <c r="E170" s="126">
        <f t="shared" si="8"/>
        <v>203.54474999999999</v>
      </c>
      <c r="F170" s="216">
        <v>0.4</v>
      </c>
      <c r="G170" s="215">
        <f t="shared" si="9"/>
        <v>1.162102355330306</v>
      </c>
      <c r="H170" s="217">
        <f t="shared" si="10"/>
        <v>0.38105117766515306</v>
      </c>
      <c r="I170" s="215">
        <f t="shared" si="11"/>
        <v>0.34641016151377546</v>
      </c>
      <c r="J170" s="93">
        <f t="shared" si="6"/>
        <v>1.3333333333333333E-3</v>
      </c>
      <c r="K170" s="1">
        <f t="shared" si="12"/>
        <v>263.82499999999999</v>
      </c>
      <c r="L170" s="94">
        <f t="shared" si="31"/>
        <v>263.30794882233482</v>
      </c>
      <c r="M170" s="327">
        <f>L170-D170*J170</f>
        <v>263.25994882233482</v>
      </c>
      <c r="N170" s="94">
        <f t="shared" si="13"/>
        <v>263.64099999999996</v>
      </c>
      <c r="O170" s="1">
        <f t="shared" si="14"/>
        <v>264</v>
      </c>
      <c r="P170" s="332">
        <f t="shared" si="15"/>
        <v>0.35900000000003729</v>
      </c>
      <c r="Q170" s="332">
        <f t="shared" si="16"/>
        <v>1.8801023553303806</v>
      </c>
      <c r="R170" s="1" t="str">
        <f t="shared" si="17"/>
        <v>OK</v>
      </c>
      <c r="S170" s="13">
        <f t="shared" si="18"/>
        <v>371.01174535977839</v>
      </c>
      <c r="T170" s="192">
        <f t="shared" si="7"/>
        <v>0.82275271339485989</v>
      </c>
      <c r="U170" s="13">
        <f t="shared" si="19"/>
        <v>0.51705117766516651</v>
      </c>
      <c r="V170" s="13">
        <f t="shared" si="20"/>
        <v>0.74005117766517969</v>
      </c>
      <c r="W170" s="13">
        <f t="shared" si="21"/>
        <v>10.714336958378205</v>
      </c>
      <c r="X170" s="13">
        <f t="shared" si="22"/>
        <v>1.4341023553303329</v>
      </c>
      <c r="Y170" s="13">
        <f t="shared" si="23"/>
        <v>1.6571023553303461</v>
      </c>
      <c r="Z170" s="13">
        <f t="shared" si="24"/>
        <v>17.06984609007608</v>
      </c>
      <c r="AA170" s="13">
        <f t="shared" si="25"/>
        <v>23.273893944372425</v>
      </c>
      <c r="AC170" s="103"/>
      <c r="AD170" s="103"/>
      <c r="AE170" s="339">
        <f t="shared" si="26"/>
        <v>0.64649705401034518</v>
      </c>
      <c r="AF170">
        <f t="shared" si="27"/>
        <v>1.528</v>
      </c>
      <c r="AG170">
        <f t="shared" si="28"/>
        <v>0.15280000000000002</v>
      </c>
      <c r="AH170">
        <f t="shared" si="29"/>
        <v>5.5008000000000008</v>
      </c>
    </row>
    <row r="171" spans="1:34" x14ac:dyDescent="0.45">
      <c r="A171" s="1">
        <v>6.1</v>
      </c>
      <c r="B171" s="1">
        <v>45</v>
      </c>
      <c r="C171" s="1">
        <v>47</v>
      </c>
      <c r="D171" s="76">
        <v>66</v>
      </c>
      <c r="E171" s="126">
        <f t="shared" si="8"/>
        <v>190.83150000000001</v>
      </c>
      <c r="F171" s="216">
        <v>0.4</v>
      </c>
      <c r="G171" s="215">
        <f t="shared" si="9"/>
        <v>1.162102355330306</v>
      </c>
      <c r="H171" s="217">
        <f t="shared" si="10"/>
        <v>0.38105117766515306</v>
      </c>
      <c r="I171" s="215">
        <f t="shared" si="11"/>
        <v>0.34641016151377546</v>
      </c>
      <c r="J171" s="93">
        <f t="shared" si="6"/>
        <v>1.3333333333333333E-3</v>
      </c>
      <c r="K171" s="1">
        <f t="shared" si="12"/>
        <v>263.39999999999998</v>
      </c>
      <c r="L171" s="94">
        <f>K171-H171</f>
        <v>263.01894882233483</v>
      </c>
      <c r="M171" s="328">
        <f t="shared" si="30"/>
        <v>262.93094882233481</v>
      </c>
      <c r="N171" s="94">
        <f t="shared" si="13"/>
        <v>263.31199999999995</v>
      </c>
      <c r="O171" s="1">
        <f t="shared" si="14"/>
        <v>263.39999999999998</v>
      </c>
      <c r="P171" s="332">
        <f t="shared" si="15"/>
        <v>8.8000000000022283E-2</v>
      </c>
      <c r="Q171" s="332">
        <f t="shared" si="16"/>
        <v>1.3381023553303506</v>
      </c>
      <c r="R171" s="1" t="str">
        <f t="shared" si="17"/>
        <v>OK</v>
      </c>
      <c r="S171" s="13">
        <f t="shared" si="18"/>
        <v>371.01174535977839</v>
      </c>
      <c r="T171" s="192">
        <f t="shared" si="7"/>
        <v>0.94418502899038359</v>
      </c>
      <c r="U171" s="13">
        <f t="shared" si="19"/>
        <v>0.3810511776651424</v>
      </c>
      <c r="V171" s="13">
        <f t="shared" si="20"/>
        <v>0.46905117766516469</v>
      </c>
      <c r="W171" s="13">
        <f t="shared" si="21"/>
        <v>19.642951090360043</v>
      </c>
      <c r="X171" s="13">
        <f t="shared" si="22"/>
        <v>1.1621023553302847</v>
      </c>
      <c r="Y171" s="13">
        <f t="shared" si="23"/>
        <v>1.250102355330307</v>
      </c>
      <c r="Z171" s="13">
        <f t="shared" si="24"/>
        <v>19.642951090359226</v>
      </c>
      <c r="AA171" s="13">
        <f t="shared" si="25"/>
        <v>23.145472330239294</v>
      </c>
      <c r="AC171" s="103"/>
      <c r="AD171" s="103"/>
      <c r="AE171" s="339">
        <f t="shared" si="26"/>
        <v>0.35068897470059535</v>
      </c>
      <c r="AF171">
        <f t="shared" si="27"/>
        <v>1.528</v>
      </c>
      <c r="AG171">
        <f t="shared" si="28"/>
        <v>0.15280000000000002</v>
      </c>
      <c r="AH171">
        <f t="shared" si="29"/>
        <v>10.084800000000001</v>
      </c>
    </row>
    <row r="172" spans="1:34" x14ac:dyDescent="0.45">
      <c r="A172" s="1">
        <v>6.2</v>
      </c>
      <c r="B172" s="1">
        <v>46</v>
      </c>
      <c r="C172" s="1">
        <v>47</v>
      </c>
      <c r="D172" s="76">
        <v>36</v>
      </c>
      <c r="E172" s="126">
        <f t="shared" si="8"/>
        <v>92.55</v>
      </c>
      <c r="F172" s="216">
        <v>0.3</v>
      </c>
      <c r="G172" s="215">
        <f t="shared" si="9"/>
        <v>0.87157676649772942</v>
      </c>
      <c r="H172" s="217">
        <f t="shared" si="10"/>
        <v>0.28578838324886474</v>
      </c>
      <c r="I172" s="215">
        <f t="shared" si="11"/>
        <v>0.25980762113533157</v>
      </c>
      <c r="J172" s="93">
        <f t="shared" si="6"/>
        <v>1.3333333333333333E-3</v>
      </c>
      <c r="K172" s="1">
        <f t="shared" si="12"/>
        <v>263.25</v>
      </c>
      <c r="L172" s="94">
        <f>K172-H172</f>
        <v>262.96421161675113</v>
      </c>
      <c r="M172" s="327">
        <f t="shared" si="30"/>
        <v>262.91621161675113</v>
      </c>
      <c r="N172" s="94">
        <f t="shared" si="13"/>
        <v>263.202</v>
      </c>
      <c r="O172" s="1">
        <f t="shared" si="14"/>
        <v>263.39999999999998</v>
      </c>
      <c r="P172" s="332">
        <f t="shared" si="15"/>
        <v>0.19799999999997908</v>
      </c>
      <c r="Q172" s="332">
        <f t="shared" si="16"/>
        <v>1.2675767664976876</v>
      </c>
      <c r="R172" s="1" t="str">
        <f t="shared" si="17"/>
        <v>OK</v>
      </c>
      <c r="S172" s="13">
        <f t="shared" si="18"/>
        <v>172.27318945266666</v>
      </c>
      <c r="T172" s="192">
        <f>(S172-E172)/E172</f>
        <v>0.86140669316765706</v>
      </c>
      <c r="U172" s="13">
        <f t="shared" si="19"/>
        <v>0.28578838324887101</v>
      </c>
      <c r="V172" s="13">
        <f t="shared" si="20"/>
        <v>0.4837883832488501</v>
      </c>
      <c r="W172" s="13">
        <f t="shared" si="21"/>
        <v>6.0268145390877388</v>
      </c>
      <c r="X172" s="13">
        <f t="shared" si="22"/>
        <v>0.87157676649774207</v>
      </c>
      <c r="Y172" s="13">
        <f t="shared" si="23"/>
        <v>1.0695767664977212</v>
      </c>
      <c r="Z172" s="13">
        <f t="shared" si="24"/>
        <v>6.026814539087936</v>
      </c>
      <c r="AA172" s="13">
        <f t="shared" si="25"/>
        <v>9.4859501348854849</v>
      </c>
      <c r="AC172" s="103"/>
      <c r="AD172" s="103"/>
      <c r="AE172" s="339">
        <f t="shared" si="26"/>
        <v>0.26349861485793014</v>
      </c>
      <c r="AF172">
        <f t="shared" si="27"/>
        <v>1.1459999999999999</v>
      </c>
      <c r="AG172">
        <f t="shared" si="28"/>
        <v>0.11459999999999999</v>
      </c>
      <c r="AH172">
        <f t="shared" si="29"/>
        <v>4.1255999999999995</v>
      </c>
    </row>
    <row r="173" spans="1:34" x14ac:dyDescent="0.45">
      <c r="A173" s="1">
        <v>6.3</v>
      </c>
      <c r="B173" s="1">
        <v>43</v>
      </c>
      <c r="C173" s="1">
        <v>44</v>
      </c>
      <c r="D173" s="76">
        <v>102</v>
      </c>
      <c r="E173" s="126">
        <f t="shared" si="8"/>
        <v>313.37549999999993</v>
      </c>
      <c r="F173" s="216">
        <v>0.4</v>
      </c>
      <c r="G173" s="215">
        <f t="shared" si="9"/>
        <v>1.162102355330306</v>
      </c>
      <c r="H173" s="217">
        <f t="shared" si="10"/>
        <v>0.38105117766515306</v>
      </c>
      <c r="I173" s="215">
        <f t="shared" si="11"/>
        <v>0.34641016151377546</v>
      </c>
      <c r="J173" s="93">
        <f t="shared" si="6"/>
        <v>1.3333333333333333E-3</v>
      </c>
      <c r="K173" s="1">
        <f t="shared" si="12"/>
        <v>263.55</v>
      </c>
      <c r="L173" s="329">
        <f>K173-H173-0.1</f>
        <v>263.06894882233485</v>
      </c>
      <c r="M173" s="327">
        <f t="shared" si="30"/>
        <v>262.93294882233482</v>
      </c>
      <c r="N173" s="94">
        <f t="shared" si="13"/>
        <v>263.31399999999996</v>
      </c>
      <c r="O173" s="1">
        <f t="shared" si="14"/>
        <v>263.39999999999998</v>
      </c>
      <c r="P173" s="332">
        <f t="shared" si="15"/>
        <v>8.6000000000012733E-2</v>
      </c>
      <c r="Q173" s="332">
        <f t="shared" si="16"/>
        <v>1.3341023553303315</v>
      </c>
      <c r="R173" s="1" t="str">
        <f t="shared" si="17"/>
        <v>OK</v>
      </c>
      <c r="S173" s="13">
        <f t="shared" si="18"/>
        <v>371.01174535977839</v>
      </c>
      <c r="T173" s="192">
        <f t="shared" si="7"/>
        <v>0.18392071288208067</v>
      </c>
      <c r="U173" s="13">
        <f t="shared" si="19"/>
        <v>0.48105117766516514</v>
      </c>
      <c r="V173" s="13">
        <f t="shared" si="20"/>
        <v>0.46705117766515514</v>
      </c>
      <c r="W173" s="13">
        <f t="shared" si="21"/>
        <v>30.357288048738248</v>
      </c>
      <c r="X173" s="13">
        <f t="shared" si="22"/>
        <v>1.3341023553303102</v>
      </c>
      <c r="Y173" s="13">
        <f t="shared" si="23"/>
        <v>1.3481023553303202</v>
      </c>
      <c r="Z173" s="13">
        <f t="shared" si="24"/>
        <v>41.305641909695979</v>
      </c>
      <c r="AA173" s="13">
        <f t="shared" si="25"/>
        <v>42.263188991402508</v>
      </c>
      <c r="AC173" s="103"/>
      <c r="AD173" s="103"/>
      <c r="AE173" s="339">
        <f t="shared" si="26"/>
        <v>0.41434499011178927</v>
      </c>
      <c r="AF173">
        <f t="shared" si="27"/>
        <v>1.528</v>
      </c>
      <c r="AG173">
        <f t="shared" si="28"/>
        <v>0.15280000000000002</v>
      </c>
      <c r="AH173">
        <f t="shared" si="29"/>
        <v>15.585600000000001</v>
      </c>
    </row>
    <row r="174" spans="1:34" x14ac:dyDescent="0.45">
      <c r="A174" s="1">
        <v>6.3</v>
      </c>
      <c r="B174" s="1">
        <v>44</v>
      </c>
      <c r="C174" s="1">
        <v>48</v>
      </c>
      <c r="D174" s="76">
        <v>6</v>
      </c>
      <c r="E174" s="126">
        <f t="shared" si="8"/>
        <v>313.37549999999993</v>
      </c>
      <c r="F174" s="216">
        <v>0.4</v>
      </c>
      <c r="G174" s="215">
        <f t="shared" si="9"/>
        <v>1.162102355330306</v>
      </c>
      <c r="H174" s="217">
        <f t="shared" si="10"/>
        <v>0.38105117766515306</v>
      </c>
      <c r="I174" s="215">
        <f t="shared" si="11"/>
        <v>0.34641016151377546</v>
      </c>
      <c r="J174" s="93">
        <f t="shared" si="6"/>
        <v>1.3333333333333333E-3</v>
      </c>
      <c r="K174" s="1">
        <f t="shared" si="12"/>
        <v>263.39999999999998</v>
      </c>
      <c r="L174" s="94">
        <f t="shared" si="31"/>
        <v>262.93294882233482</v>
      </c>
      <c r="M174" s="381">
        <f>L174-D174*J174-0.06</f>
        <v>262.86494882233484</v>
      </c>
      <c r="N174" s="94">
        <f t="shared" si="13"/>
        <v>263.24599999999998</v>
      </c>
      <c r="O174" s="1">
        <f t="shared" si="14"/>
        <v>263.25</v>
      </c>
      <c r="P174" s="332">
        <f t="shared" si="15"/>
        <v>4.0000000000190994E-3</v>
      </c>
      <c r="Q174" s="332">
        <f t="shared" si="16"/>
        <v>1.1701023553303442</v>
      </c>
      <c r="R174" s="1" t="str">
        <f t="shared" si="17"/>
        <v>OK</v>
      </c>
      <c r="S174" s="13">
        <f t="shared" si="18"/>
        <v>371.01174535977839</v>
      </c>
      <c r="T174" s="192">
        <f t="shared" si="7"/>
        <v>0.18392071288208067</v>
      </c>
      <c r="U174" s="13">
        <f t="shared" si="19"/>
        <v>0.46705117766515514</v>
      </c>
      <c r="V174" s="13">
        <f t="shared" si="20"/>
        <v>0.3850511776651615</v>
      </c>
      <c r="W174" s="13">
        <f t="shared" si="21"/>
        <v>1.7857228263963676</v>
      </c>
      <c r="X174" s="13">
        <f t="shared" si="22"/>
        <v>1.1701023553303229</v>
      </c>
      <c r="Y174" s="13">
        <f t="shared" si="23"/>
        <v>1.2521023553303166</v>
      </c>
      <c r="Z174" s="13">
        <f t="shared" si="24"/>
        <v>1.8137092829243544</v>
      </c>
      <c r="AA174" s="13">
        <f t="shared" si="25"/>
        <v>2.1116404623355898</v>
      </c>
      <c r="AC174" s="103"/>
      <c r="AD174" s="103"/>
      <c r="AE174" s="339">
        <f t="shared" si="26"/>
        <v>0.35194007705593161</v>
      </c>
      <c r="AF174">
        <f t="shared" si="27"/>
        <v>1.528</v>
      </c>
      <c r="AG174">
        <f t="shared" si="28"/>
        <v>0.15280000000000002</v>
      </c>
      <c r="AH174">
        <f t="shared" si="29"/>
        <v>0.91680000000000006</v>
      </c>
    </row>
    <row r="175" spans="1:34" x14ac:dyDescent="0.45">
      <c r="A175" s="1">
        <v>6.4</v>
      </c>
      <c r="B175" s="1">
        <v>41</v>
      </c>
      <c r="C175" s="1">
        <v>42</v>
      </c>
      <c r="D175" s="76">
        <v>102</v>
      </c>
      <c r="E175" s="126">
        <f t="shared" si="8"/>
        <v>16.593499999999999</v>
      </c>
      <c r="F175" s="216">
        <v>0.2</v>
      </c>
      <c r="G175" s="215">
        <f t="shared" si="9"/>
        <v>0.58105117766515302</v>
      </c>
      <c r="H175" s="217">
        <f t="shared" si="10"/>
        <v>0.19052558883257653</v>
      </c>
      <c r="I175" s="215">
        <f t="shared" si="11"/>
        <v>0.17320508075688773</v>
      </c>
      <c r="J175" s="93">
        <f t="shared" si="6"/>
        <v>1.3333333333333333E-3</v>
      </c>
      <c r="K175" s="1">
        <f t="shared" si="12"/>
        <v>264</v>
      </c>
      <c r="L175" s="94">
        <f>K175-H175</f>
        <v>263.8094744111674</v>
      </c>
      <c r="M175" s="327">
        <f t="shared" si="30"/>
        <v>263.67347441116738</v>
      </c>
      <c r="N175" s="94">
        <f t="shared" si="13"/>
        <v>263.86399999999998</v>
      </c>
      <c r="O175" s="1">
        <f t="shared" si="14"/>
        <v>264</v>
      </c>
      <c r="P175" s="332">
        <f t="shared" si="15"/>
        <v>0.1360000000000241</v>
      </c>
      <c r="Q175" s="332">
        <f t="shared" si="16"/>
        <v>0.85305117766520122</v>
      </c>
      <c r="R175" s="1" t="str">
        <f t="shared" si="17"/>
        <v>OK</v>
      </c>
      <c r="S175" s="13">
        <f t="shared" si="18"/>
        <v>58.430688467127666</v>
      </c>
      <c r="T175" s="192">
        <f t="shared" si="7"/>
        <v>2.5212998142120511</v>
      </c>
      <c r="U175" s="13">
        <f t="shared" si="19"/>
        <v>0.19052558883259962</v>
      </c>
      <c r="V175" s="13">
        <f t="shared" si="20"/>
        <v>0.32652558883262373</v>
      </c>
      <c r="W175" s="13">
        <f t="shared" si="21"/>
        <v>7.5893220121845619</v>
      </c>
      <c r="X175" s="13">
        <f t="shared" si="22"/>
        <v>0.5810511776651992</v>
      </c>
      <c r="Y175" s="13">
        <f t="shared" si="23"/>
        <v>0.7170511776652233</v>
      </c>
      <c r="Z175" s="13">
        <f t="shared" si="24"/>
        <v>7.5893220121859315</v>
      </c>
      <c r="AA175" s="13">
        <f t="shared" si="25"/>
        <v>12.091140980472636</v>
      </c>
      <c r="AC175" s="103"/>
      <c r="AD175" s="103"/>
      <c r="AE175" s="339">
        <f t="shared" si="26"/>
        <v>0.11854059784777093</v>
      </c>
      <c r="AF175">
        <f t="shared" si="27"/>
        <v>0.76400000000000001</v>
      </c>
      <c r="AG175">
        <f t="shared" si="28"/>
        <v>7.640000000000001E-2</v>
      </c>
      <c r="AH175">
        <f t="shared" si="29"/>
        <v>7.7928000000000006</v>
      </c>
    </row>
    <row r="176" spans="1:34" x14ac:dyDescent="0.45">
      <c r="A176" s="1">
        <v>6.4</v>
      </c>
      <c r="B176" s="1">
        <v>42</v>
      </c>
      <c r="C176" s="1">
        <v>49</v>
      </c>
      <c r="D176" s="76">
        <v>6</v>
      </c>
      <c r="E176" s="126">
        <f t="shared" si="8"/>
        <v>16.593499999999999</v>
      </c>
      <c r="F176" s="216">
        <v>0.2</v>
      </c>
      <c r="G176" s="215">
        <f t="shared" si="9"/>
        <v>0.58105117766515302</v>
      </c>
      <c r="H176" s="217">
        <f t="shared" si="10"/>
        <v>0.19052558883257653</v>
      </c>
      <c r="I176" s="215">
        <f t="shared" si="11"/>
        <v>0.17320508075688773</v>
      </c>
      <c r="J176" s="93">
        <f t="shared" si="6"/>
        <v>1.3333333333333333E-3</v>
      </c>
      <c r="K176" s="1">
        <f t="shared" si="12"/>
        <v>264</v>
      </c>
      <c r="L176" s="94">
        <f t="shared" si="31"/>
        <v>263.67347441116738</v>
      </c>
      <c r="M176" s="328">
        <f t="shared" si="30"/>
        <v>263.66547441116739</v>
      </c>
      <c r="N176" s="94">
        <f t="shared" si="13"/>
        <v>263.85599999999999</v>
      </c>
      <c r="O176" s="1">
        <f t="shared" si="14"/>
        <v>264</v>
      </c>
      <c r="P176" s="332">
        <f t="shared" si="15"/>
        <v>0.14400000000000546</v>
      </c>
      <c r="Q176" s="332">
        <f t="shared" si="16"/>
        <v>0.86905117766516393</v>
      </c>
      <c r="R176" s="1" t="str">
        <f t="shared" si="17"/>
        <v>OK</v>
      </c>
      <c r="S176" s="13">
        <f t="shared" si="18"/>
        <v>58.430688467127666</v>
      </c>
      <c r="T176" s="192">
        <f t="shared" si="7"/>
        <v>2.5212998142120511</v>
      </c>
      <c r="U176" s="13">
        <f t="shared" si="19"/>
        <v>0.32652558883262373</v>
      </c>
      <c r="V176" s="13">
        <f t="shared" si="20"/>
        <v>0.33452558883260508</v>
      </c>
      <c r="W176" s="13">
        <f t="shared" si="21"/>
        <v>0.4464307065990919</v>
      </c>
      <c r="X176" s="13">
        <f t="shared" si="22"/>
        <v>0.85305117766524741</v>
      </c>
      <c r="Y176" s="13">
        <f t="shared" si="23"/>
        <v>0.86105117766522876</v>
      </c>
      <c r="Z176" s="13">
        <f t="shared" si="24"/>
        <v>1.0315444675740983</v>
      </c>
      <c r="AA176" s="13">
        <f t="shared" si="25"/>
        <v>1.0521136958380159</v>
      </c>
      <c r="AC176" s="103"/>
      <c r="AD176" s="103"/>
      <c r="AE176" s="339">
        <f t="shared" si="26"/>
        <v>0.17535228263966932</v>
      </c>
      <c r="AF176">
        <f t="shared" si="27"/>
        <v>0.76400000000000001</v>
      </c>
      <c r="AG176">
        <f t="shared" si="28"/>
        <v>7.640000000000001E-2</v>
      </c>
      <c r="AH176">
        <f t="shared" si="29"/>
        <v>0.45840000000000003</v>
      </c>
    </row>
    <row r="177" spans="1:34" x14ac:dyDescent="0.45">
      <c r="A177" s="1">
        <v>6</v>
      </c>
      <c r="B177" s="1">
        <v>47</v>
      </c>
      <c r="C177" s="1">
        <v>48</v>
      </c>
      <c r="D177" s="76">
        <v>11</v>
      </c>
      <c r="E177" s="126">
        <f t="shared" si="8"/>
        <v>283.38150000000002</v>
      </c>
      <c r="F177" s="216">
        <v>0.4</v>
      </c>
      <c r="G177" s="215">
        <f t="shared" si="9"/>
        <v>1.162102355330306</v>
      </c>
      <c r="H177" s="217">
        <f t="shared" si="10"/>
        <v>0.38105117766515306</v>
      </c>
      <c r="I177" s="215">
        <f t="shared" si="11"/>
        <v>0.34641016151377546</v>
      </c>
      <c r="J177" s="93">
        <f t="shared" si="6"/>
        <v>1.3333333333333333E-3</v>
      </c>
      <c r="K177" s="1">
        <f t="shared" si="12"/>
        <v>263.39999999999998</v>
      </c>
      <c r="L177" s="94">
        <f t="shared" si="31"/>
        <v>262.91621161675113</v>
      </c>
      <c r="M177" s="381">
        <f>L177-D177*J177-0.034</f>
        <v>262.86754495008449</v>
      </c>
      <c r="N177" s="94">
        <f t="shared" si="13"/>
        <v>263.24859612774964</v>
      </c>
      <c r="O177" s="1">
        <f t="shared" si="14"/>
        <v>263.25</v>
      </c>
      <c r="P177" s="332">
        <f t="shared" si="15"/>
        <v>1.403872250364202E-3</v>
      </c>
      <c r="Q177" s="332">
        <f t="shared" si="16"/>
        <v>1.1649100998310344</v>
      </c>
      <c r="R177" s="1" t="str">
        <f t="shared" si="17"/>
        <v>OK</v>
      </c>
      <c r="S177" s="13">
        <f t="shared" si="18"/>
        <v>371.01174535977839</v>
      </c>
      <c r="T177" s="192">
        <f t="shared" si="7"/>
        <v>0.30923064970641473</v>
      </c>
      <c r="U177" s="13">
        <f t="shared" si="19"/>
        <v>0.4837883832488501</v>
      </c>
      <c r="V177" s="13">
        <f t="shared" si="20"/>
        <v>0.38245504991550661</v>
      </c>
      <c r="W177" s="13">
        <f t="shared" si="21"/>
        <v>3.2738251817266741</v>
      </c>
      <c r="X177" s="13">
        <f t="shared" si="22"/>
        <v>1.1649100998310131</v>
      </c>
      <c r="Y177" s="13">
        <f t="shared" si="23"/>
        <v>1.2662434331643566</v>
      </c>
      <c r="Z177" s="13">
        <f t="shared" si="24"/>
        <v>3.2917927368928281</v>
      </c>
      <c r="AA177" s="13">
        <f t="shared" si="25"/>
        <v>3.9692741880876055</v>
      </c>
      <c r="AC177" s="103"/>
      <c r="AD177" s="103"/>
      <c r="AE177" s="339">
        <f t="shared" si="26"/>
        <v>0.36084310800796415</v>
      </c>
      <c r="AF177">
        <f t="shared" si="27"/>
        <v>1.528</v>
      </c>
      <c r="AG177">
        <f t="shared" si="28"/>
        <v>0.15280000000000002</v>
      </c>
      <c r="AH177">
        <f t="shared" si="29"/>
        <v>1.6808000000000003</v>
      </c>
    </row>
    <row r="178" spans="1:34" x14ac:dyDescent="0.45">
      <c r="A178" s="1">
        <v>6</v>
      </c>
      <c r="B178" s="1">
        <v>48</v>
      </c>
      <c r="C178" s="1">
        <v>49</v>
      </c>
      <c r="D178" s="76">
        <v>46</v>
      </c>
      <c r="E178" s="126">
        <f t="shared" si="8"/>
        <v>607.75699999999995</v>
      </c>
      <c r="F178" s="216">
        <v>0.5</v>
      </c>
      <c r="G178" s="215">
        <f t="shared" si="9"/>
        <v>1.4526279441628827</v>
      </c>
      <c r="H178" s="217">
        <f t="shared" si="10"/>
        <v>0.47631397208144127</v>
      </c>
      <c r="I178" s="215">
        <f t="shared" si="11"/>
        <v>0.4330127018922193</v>
      </c>
      <c r="J178" s="93">
        <f t="shared" si="6"/>
        <v>1.3333333333333333E-3</v>
      </c>
      <c r="K178" s="1">
        <f t="shared" si="12"/>
        <v>263.25</v>
      </c>
      <c r="L178" s="94">
        <f t="shared" si="31"/>
        <v>262.86494882233484</v>
      </c>
      <c r="M178" s="327">
        <f t="shared" si="30"/>
        <v>262.80361548900152</v>
      </c>
      <c r="N178" s="94">
        <f t="shared" si="13"/>
        <v>263.27992946108293</v>
      </c>
      <c r="O178" s="1">
        <f t="shared" si="14"/>
        <v>264</v>
      </c>
      <c r="P178" s="332">
        <f t="shared" si="15"/>
        <v>0.72007053891707073</v>
      </c>
      <c r="Q178" s="332">
        <f t="shared" si="16"/>
        <v>2.8927690219970241</v>
      </c>
      <c r="R178" s="1" t="str">
        <f t="shared" si="17"/>
        <v>OK</v>
      </c>
      <c r="S178" s="13">
        <f t="shared" si="18"/>
        <v>672.68905250044338</v>
      </c>
      <c r="T178" s="192">
        <f t="shared" si="7"/>
        <v>0.10683883937238639</v>
      </c>
      <c r="U178" s="13">
        <f t="shared" si="19"/>
        <v>0.3850511776651615</v>
      </c>
      <c r="V178" s="13">
        <f t="shared" si="20"/>
        <v>1.1963845109984845</v>
      </c>
      <c r="W178" s="13">
        <f t="shared" si="21"/>
        <v>21.391471357873151</v>
      </c>
      <c r="X178" s="13">
        <f t="shared" si="22"/>
        <v>1.270102355330323</v>
      </c>
      <c r="Y178" s="13">
        <f t="shared" si="23"/>
        <v>2.081435688663646</v>
      </c>
      <c r="Z178" s="13">
        <f t="shared" si="24"/>
        <v>15.676339919679792</v>
      </c>
      <c r="AA178" s="13">
        <f t="shared" si="25"/>
        <v>46.947307049491116</v>
      </c>
      <c r="AC178" s="103"/>
      <c r="AD178" s="103"/>
      <c r="AE178" s="339">
        <f t="shared" si="26"/>
        <v>1.0205936315106765</v>
      </c>
      <c r="AF178">
        <f t="shared" si="27"/>
        <v>1.91</v>
      </c>
      <c r="AG178">
        <f t="shared" si="28"/>
        <v>0.191</v>
      </c>
      <c r="AH178">
        <f t="shared" si="29"/>
        <v>8.7859999999999996</v>
      </c>
    </row>
    <row r="179" spans="1:34" x14ac:dyDescent="0.45">
      <c r="A179" s="1">
        <v>6</v>
      </c>
      <c r="B179" s="1">
        <v>49</v>
      </c>
      <c r="C179" s="1" t="s">
        <v>1056</v>
      </c>
      <c r="D179" s="76">
        <v>8</v>
      </c>
      <c r="E179" s="126">
        <f t="shared" si="8"/>
        <v>624.3504999999999</v>
      </c>
      <c r="F179" s="216">
        <v>0.5</v>
      </c>
      <c r="G179" s="215">
        <f t="shared" si="9"/>
        <v>1.4526279441628827</v>
      </c>
      <c r="H179" s="217">
        <f t="shared" si="10"/>
        <v>0.47631397208144127</v>
      </c>
      <c r="I179" s="215">
        <f t="shared" si="11"/>
        <v>0.4330127018922193</v>
      </c>
      <c r="J179" s="93">
        <f t="shared" si="6"/>
        <v>1.3333333333333333E-3</v>
      </c>
      <c r="K179" s="1">
        <f t="shared" si="12"/>
        <v>264</v>
      </c>
      <c r="L179" s="94">
        <f t="shared" si="31"/>
        <v>262.80361548900152</v>
      </c>
      <c r="M179" s="327">
        <f t="shared" si="30"/>
        <v>262.79294882233484</v>
      </c>
      <c r="N179" s="94">
        <f t="shared" si="13"/>
        <v>263.26926279441625</v>
      </c>
      <c r="O179" s="1">
        <f t="shared" si="14"/>
        <v>264</v>
      </c>
      <c r="P179" s="332">
        <f t="shared" si="15"/>
        <v>0.73073720558375044</v>
      </c>
      <c r="Q179" s="332">
        <f t="shared" si="16"/>
        <v>2.9141023553303835</v>
      </c>
      <c r="R179" s="1" t="str">
        <f t="shared" si="17"/>
        <v>OK</v>
      </c>
      <c r="S179" s="13">
        <f t="shared" si="18"/>
        <v>672.68905250044338</v>
      </c>
      <c r="T179" s="192">
        <f t="shared" si="7"/>
        <v>7.7422141089730029E-2</v>
      </c>
      <c r="U179" s="13">
        <f t="shared" si="19"/>
        <v>1.1963845109984845</v>
      </c>
      <c r="V179" s="13">
        <f t="shared" si="20"/>
        <v>1.2070511776651642</v>
      </c>
      <c r="W179" s="13">
        <f t="shared" si="21"/>
        <v>3.7202558883257653</v>
      </c>
      <c r="X179" s="13">
        <f t="shared" si="22"/>
        <v>2.8927690219969691</v>
      </c>
      <c r="Y179" s="13">
        <f t="shared" si="23"/>
        <v>2.9034356886636488</v>
      </c>
      <c r="Z179" s="13">
        <f t="shared" si="24"/>
        <v>16.2362252292506</v>
      </c>
      <c r="AA179" s="13">
        <f t="shared" si="25"/>
        <v>16.359877596411515</v>
      </c>
      <c r="AC179" s="103"/>
      <c r="AD179" s="103"/>
      <c r="AE179" s="339">
        <f t="shared" si="26"/>
        <v>2.0449846995514394</v>
      </c>
      <c r="AF179">
        <f t="shared" si="27"/>
        <v>1.91</v>
      </c>
      <c r="AG179">
        <f t="shared" si="28"/>
        <v>0.191</v>
      </c>
      <c r="AH179">
        <f t="shared" si="29"/>
        <v>1.528</v>
      </c>
    </row>
    <row r="180" spans="1:34" x14ac:dyDescent="0.45">
      <c r="A180" s="1">
        <v>7.1</v>
      </c>
      <c r="B180" s="1">
        <v>50</v>
      </c>
      <c r="C180" s="1">
        <v>52</v>
      </c>
      <c r="D180" s="76">
        <v>66</v>
      </c>
      <c r="E180" s="126">
        <f t="shared" si="8"/>
        <v>168.32500000000002</v>
      </c>
      <c r="F180" s="216">
        <v>0.3</v>
      </c>
      <c r="G180" s="215">
        <f t="shared" si="9"/>
        <v>0.87157676649772942</v>
      </c>
      <c r="H180" s="217">
        <f t="shared" si="10"/>
        <v>0.28578838324886474</v>
      </c>
      <c r="I180" s="215">
        <f t="shared" si="11"/>
        <v>0.25980762113533157</v>
      </c>
      <c r="J180" s="93">
        <f t="shared" si="6"/>
        <v>1.3333333333333333E-3</v>
      </c>
      <c r="K180" s="1">
        <f t="shared" si="12"/>
        <v>263.25</v>
      </c>
      <c r="L180" s="94">
        <f>K180-H180</f>
        <v>262.96421161675113</v>
      </c>
      <c r="M180" s="327">
        <f t="shared" si="30"/>
        <v>262.87621161675111</v>
      </c>
      <c r="N180" s="94">
        <f t="shared" si="13"/>
        <v>263.16199999999998</v>
      </c>
      <c r="O180" s="1">
        <f t="shared" si="14"/>
        <v>263.25</v>
      </c>
      <c r="P180" s="332">
        <f t="shared" si="15"/>
        <v>8.8000000000022283E-2</v>
      </c>
      <c r="Q180" s="332">
        <f t="shared" si="16"/>
        <v>1.047576766497774</v>
      </c>
      <c r="R180" s="1" t="str">
        <f t="shared" si="17"/>
        <v>OK</v>
      </c>
      <c r="S180" s="13">
        <f t="shared" si="18"/>
        <v>172.27318945266666</v>
      </c>
      <c r="T180" s="192">
        <f t="shared" si="7"/>
        <v>2.345575198376141E-2</v>
      </c>
      <c r="U180" s="13">
        <f t="shared" si="19"/>
        <v>0.28578838324887101</v>
      </c>
      <c r="V180" s="13">
        <f t="shared" si="20"/>
        <v>0.3737883832488933</v>
      </c>
      <c r="W180" s="13">
        <f t="shared" si="21"/>
        <v>11.049159988327522</v>
      </c>
      <c r="X180" s="13">
        <f t="shared" si="22"/>
        <v>0.87157676649774207</v>
      </c>
      <c r="Y180" s="13">
        <f t="shared" si="23"/>
        <v>0.95957676649776436</v>
      </c>
      <c r="Z180" s="13">
        <f t="shared" si="24"/>
        <v>11.049159988327883</v>
      </c>
      <c r="AA180" s="13">
        <f t="shared" si="25"/>
        <v>13.707994918238031</v>
      </c>
      <c r="AC180" s="103"/>
      <c r="AD180" s="103"/>
      <c r="AE180" s="339">
        <f t="shared" si="26"/>
        <v>0.20769689270057623</v>
      </c>
      <c r="AF180">
        <f t="shared" si="27"/>
        <v>1.1459999999999999</v>
      </c>
      <c r="AG180">
        <f t="shared" si="28"/>
        <v>0.11459999999999999</v>
      </c>
      <c r="AH180">
        <f t="shared" si="29"/>
        <v>7.5635999999999992</v>
      </c>
    </row>
    <row r="181" spans="1:34" x14ac:dyDescent="0.45">
      <c r="A181" s="1">
        <v>7.2</v>
      </c>
      <c r="B181" s="1">
        <v>51</v>
      </c>
      <c r="C181" s="1">
        <v>52</v>
      </c>
      <c r="D181" s="76">
        <v>36</v>
      </c>
      <c r="E181" s="126">
        <f t="shared" si="8"/>
        <v>119.93424999999999</v>
      </c>
      <c r="F181" s="216">
        <v>0.3</v>
      </c>
      <c r="G181" s="215">
        <f t="shared" si="9"/>
        <v>0.87157676649772942</v>
      </c>
      <c r="H181" s="217">
        <f t="shared" si="10"/>
        <v>0.28578838324886474</v>
      </c>
      <c r="I181" s="215">
        <f>H181/1.1</f>
        <v>0.25980762113533157</v>
      </c>
      <c r="J181" s="93">
        <f t="shared" si="6"/>
        <v>1.3333333333333333E-3</v>
      </c>
      <c r="K181" s="1">
        <f t="shared" si="12"/>
        <v>263.25</v>
      </c>
      <c r="L181" s="329">
        <f>K181-H181-0.11</f>
        <v>262.85421161675112</v>
      </c>
      <c r="M181" s="328">
        <f t="shared" si="30"/>
        <v>262.80621161675111</v>
      </c>
      <c r="N181" s="94">
        <f t="shared" si="13"/>
        <v>263.09199999999998</v>
      </c>
      <c r="O181" s="1">
        <f t="shared" si="14"/>
        <v>263.25</v>
      </c>
      <c r="P181" s="332">
        <f t="shared" si="15"/>
        <v>0.15800000000001546</v>
      </c>
      <c r="Q181" s="332">
        <f t="shared" si="16"/>
        <v>1.1875767664977603</v>
      </c>
      <c r="R181" s="1" t="str">
        <f t="shared" si="17"/>
        <v>OK</v>
      </c>
      <c r="S181" s="13">
        <f t="shared" si="18"/>
        <v>172.27318945266666</v>
      </c>
      <c r="T181" s="192">
        <f t="shared" si="7"/>
        <v>0.43639693792779516</v>
      </c>
      <c r="U181" s="13">
        <f t="shared" si="19"/>
        <v>0.39578838324888466</v>
      </c>
      <c r="V181" s="13">
        <f t="shared" si="20"/>
        <v>0.44378838324888648</v>
      </c>
      <c r="W181" s="13">
        <f t="shared" si="21"/>
        <v>6.0268145390877388</v>
      </c>
      <c r="X181" s="13">
        <f t="shared" si="22"/>
        <v>1.0915767664977694</v>
      </c>
      <c r="Y181" s="13">
        <f t="shared" si="23"/>
        <v>1.1395767664977712</v>
      </c>
      <c r="Z181" s="13">
        <f t="shared" si="24"/>
        <v>9.9138585344195302</v>
      </c>
      <c r="AA181" s="13">
        <f t="shared" si="25"/>
        <v>10.87771686067364</v>
      </c>
      <c r="AC181" s="103"/>
      <c r="AD181" s="103"/>
      <c r="AE181" s="339">
        <f t="shared" si="26"/>
        <v>0.3021588016853789</v>
      </c>
      <c r="AF181">
        <f t="shared" si="27"/>
        <v>1.1459999999999999</v>
      </c>
      <c r="AG181">
        <f t="shared" si="28"/>
        <v>0.11459999999999999</v>
      </c>
      <c r="AH181">
        <f t="shared" si="29"/>
        <v>4.1255999999999995</v>
      </c>
    </row>
    <row r="182" spans="1:34" x14ac:dyDescent="0.45">
      <c r="A182" s="1">
        <v>7.3</v>
      </c>
      <c r="B182" s="1">
        <v>53</v>
      </c>
      <c r="C182" s="1">
        <v>54</v>
      </c>
      <c r="D182" s="76">
        <v>106</v>
      </c>
      <c r="E182" s="126">
        <f t="shared" si="8"/>
        <v>237.45725000000002</v>
      </c>
      <c r="F182" s="216">
        <v>0.4</v>
      </c>
      <c r="G182" s="215">
        <f t="shared" si="9"/>
        <v>1.162102355330306</v>
      </c>
      <c r="H182" s="217">
        <f t="shared" si="10"/>
        <v>0.38105117766515306</v>
      </c>
      <c r="I182" s="215">
        <f t="shared" si="11"/>
        <v>0.34641016151377546</v>
      </c>
      <c r="J182" s="93">
        <f t="shared" si="6"/>
        <v>1.3333333333333333E-3</v>
      </c>
      <c r="K182" s="1">
        <f t="shared" si="12"/>
        <v>263.25</v>
      </c>
      <c r="L182" s="94">
        <f>K182-H182</f>
        <v>262.86894882233486</v>
      </c>
      <c r="M182" s="327">
        <f t="shared" si="30"/>
        <v>262.72761548900155</v>
      </c>
      <c r="N182" s="94">
        <f t="shared" si="13"/>
        <v>263.10866666666669</v>
      </c>
      <c r="O182" s="1">
        <f t="shared" si="14"/>
        <v>263.25</v>
      </c>
      <c r="P182" s="332">
        <f t="shared" si="15"/>
        <v>0.14133333333330711</v>
      </c>
      <c r="Q182" s="332">
        <f t="shared" si="16"/>
        <v>1.4447690219969203</v>
      </c>
      <c r="R182" s="1" t="str">
        <f t="shared" si="17"/>
        <v>OK</v>
      </c>
      <c r="S182" s="13">
        <f t="shared" si="18"/>
        <v>371.01174535977839</v>
      </c>
      <c r="T182" s="192">
        <f t="shared" si="7"/>
        <v>0.56243595577636973</v>
      </c>
      <c r="U182" s="13">
        <f t="shared" si="19"/>
        <v>0.3810511776651424</v>
      </c>
      <c r="V182" s="13">
        <f t="shared" si="20"/>
        <v>0.52238451099844951</v>
      </c>
      <c r="W182" s="13">
        <f t="shared" si="21"/>
        <v>31.547769933002495</v>
      </c>
      <c r="X182" s="13">
        <f t="shared" si="22"/>
        <v>1.1621023553302847</v>
      </c>
      <c r="Y182" s="13">
        <f t="shared" si="23"/>
        <v>1.3034356886635918</v>
      </c>
      <c r="Z182" s="13">
        <f t="shared" si="24"/>
        <v>31.547769933001181</v>
      </c>
      <c r="AA182" s="13">
        <f t="shared" si="25"/>
        <v>40.7820317537712</v>
      </c>
      <c r="AC182" s="103"/>
      <c r="AD182" s="103"/>
      <c r="AE182" s="339">
        <f t="shared" si="26"/>
        <v>0.384736148620483</v>
      </c>
      <c r="AF182">
        <f t="shared" si="27"/>
        <v>1.528</v>
      </c>
      <c r="AG182">
        <f t="shared" si="28"/>
        <v>0.15280000000000002</v>
      </c>
      <c r="AH182">
        <f t="shared" si="29"/>
        <v>16.196800000000003</v>
      </c>
    </row>
    <row r="183" spans="1:34" x14ac:dyDescent="0.45">
      <c r="A183" s="1">
        <v>7.3</v>
      </c>
      <c r="B183" s="1">
        <v>54</v>
      </c>
      <c r="C183" s="1">
        <v>55</v>
      </c>
      <c r="D183" s="76">
        <v>6</v>
      </c>
      <c r="E183" s="126">
        <f t="shared" si="8"/>
        <v>237.45725000000002</v>
      </c>
      <c r="F183" s="216">
        <v>0.4</v>
      </c>
      <c r="G183" s="215">
        <f t="shared" si="9"/>
        <v>1.162102355330306</v>
      </c>
      <c r="H183" s="217">
        <f t="shared" si="10"/>
        <v>0.38105117766515306</v>
      </c>
      <c r="I183" s="215">
        <f t="shared" si="11"/>
        <v>0.34641016151377546</v>
      </c>
      <c r="J183" s="93">
        <f t="shared" si="6"/>
        <v>1.3333333333333333E-3</v>
      </c>
      <c r="K183" s="1">
        <f t="shared" si="12"/>
        <v>263.25</v>
      </c>
      <c r="L183" s="94">
        <f t="shared" si="31"/>
        <v>262.72761548900155</v>
      </c>
      <c r="M183" s="327">
        <f t="shared" si="30"/>
        <v>262.71961548900157</v>
      </c>
      <c r="N183" s="94">
        <f t="shared" si="13"/>
        <v>263.10066666666671</v>
      </c>
      <c r="O183" s="1">
        <f t="shared" si="14"/>
        <v>263.25</v>
      </c>
      <c r="P183" s="332">
        <f t="shared" si="15"/>
        <v>0.14933333333328846</v>
      </c>
      <c r="Q183" s="332">
        <f t="shared" si="16"/>
        <v>1.460769021996883</v>
      </c>
      <c r="R183" s="1" t="str">
        <f t="shared" si="17"/>
        <v>OK</v>
      </c>
      <c r="S183" s="13">
        <f t="shared" si="18"/>
        <v>371.01174535977839</v>
      </c>
      <c r="T183" s="192">
        <f t="shared" si="7"/>
        <v>0.56243595577636973</v>
      </c>
      <c r="U183" s="13">
        <f t="shared" si="19"/>
        <v>0.52238451099844951</v>
      </c>
      <c r="V183" s="13">
        <f t="shared" si="20"/>
        <v>0.53038451099843087</v>
      </c>
      <c r="W183" s="13">
        <f t="shared" si="21"/>
        <v>1.7857228263963676</v>
      </c>
      <c r="X183" s="13">
        <f t="shared" si="22"/>
        <v>1.4447690219968989</v>
      </c>
      <c r="Y183" s="13">
        <f t="shared" si="23"/>
        <v>1.4527690219968803</v>
      </c>
      <c r="Z183" s="13">
        <f t="shared" si="24"/>
        <v>2.8910362903828144</v>
      </c>
      <c r="AA183" s="13">
        <f t="shared" si="25"/>
        <v>2.9258067469106588</v>
      </c>
      <c r="AC183" s="103"/>
      <c r="AD183" s="103"/>
      <c r="AE183" s="339">
        <f t="shared" si="26"/>
        <v>0.48763445781844311</v>
      </c>
      <c r="AF183">
        <f t="shared" si="27"/>
        <v>1.528</v>
      </c>
      <c r="AG183">
        <f t="shared" si="28"/>
        <v>0.15280000000000002</v>
      </c>
      <c r="AH183">
        <f t="shared" si="29"/>
        <v>0.91680000000000006</v>
      </c>
    </row>
    <row r="184" spans="1:34" x14ac:dyDescent="0.45">
      <c r="A184" s="1">
        <v>7.4</v>
      </c>
      <c r="B184" s="1">
        <v>56</v>
      </c>
      <c r="C184" s="1">
        <v>57</v>
      </c>
      <c r="D184" s="76">
        <v>118</v>
      </c>
      <c r="E184" s="126">
        <f t="shared" si="8"/>
        <v>18.952000000000002</v>
      </c>
      <c r="F184" s="216">
        <v>0.2</v>
      </c>
      <c r="G184" s="215">
        <f t="shared" si="9"/>
        <v>0.58105117766515302</v>
      </c>
      <c r="H184" s="217">
        <f t="shared" si="10"/>
        <v>0.19052558883257653</v>
      </c>
      <c r="I184" s="215">
        <f t="shared" si="11"/>
        <v>0.17320508075688773</v>
      </c>
      <c r="J184" s="93">
        <f t="shared" si="6"/>
        <v>1.3333333333333333E-3</v>
      </c>
      <c r="K184" s="1">
        <f t="shared" si="12"/>
        <v>263.85000000000002</v>
      </c>
      <c r="L184" s="94">
        <f>K184-H184</f>
        <v>263.65947441116742</v>
      </c>
      <c r="M184" s="327">
        <f t="shared" si="30"/>
        <v>263.5021410778341</v>
      </c>
      <c r="N184" s="94">
        <f t="shared" si="13"/>
        <v>263.6926666666667</v>
      </c>
      <c r="O184" s="1">
        <f t="shared" si="14"/>
        <v>263.85000000000002</v>
      </c>
      <c r="P184" s="332">
        <f t="shared" si="15"/>
        <v>0.15733333333332666</v>
      </c>
      <c r="Q184" s="332">
        <f t="shared" si="16"/>
        <v>0.89571784433180635</v>
      </c>
      <c r="R184" s="1" t="str">
        <f t="shared" si="17"/>
        <v>OK</v>
      </c>
      <c r="S184" s="13">
        <f t="shared" si="18"/>
        <v>58.430688467127666</v>
      </c>
      <c r="T184" s="192">
        <f t="shared" si="7"/>
        <v>2.0830882475267867</v>
      </c>
      <c r="U184" s="13">
        <f t="shared" si="19"/>
        <v>0.19052558883259962</v>
      </c>
      <c r="V184" s="13">
        <f t="shared" si="20"/>
        <v>0.34785892216592629</v>
      </c>
      <c r="W184" s="13">
        <f t="shared" si="21"/>
        <v>8.7798038964488079</v>
      </c>
      <c r="X184" s="13">
        <f t="shared" si="22"/>
        <v>0.5810511776651992</v>
      </c>
      <c r="Y184" s="13">
        <f t="shared" si="23"/>
        <v>0.73838451099852587</v>
      </c>
      <c r="Z184" s="13">
        <f t="shared" si="24"/>
        <v>8.7798038964503906</v>
      </c>
      <c r="AA184" s="13">
        <f t="shared" si="25"/>
        <v>14.9037447394347</v>
      </c>
      <c r="AC184" s="103"/>
      <c r="AD184" s="103"/>
      <c r="AE184" s="339">
        <f t="shared" si="26"/>
        <v>0.12630292152063305</v>
      </c>
      <c r="AF184">
        <f t="shared" si="27"/>
        <v>0.76400000000000001</v>
      </c>
      <c r="AG184">
        <f t="shared" si="28"/>
        <v>7.640000000000001E-2</v>
      </c>
      <c r="AH184">
        <f t="shared" si="29"/>
        <v>9.0152000000000019</v>
      </c>
    </row>
    <row r="185" spans="1:34" x14ac:dyDescent="0.45">
      <c r="A185" s="1">
        <v>7.4</v>
      </c>
      <c r="B185" s="1">
        <v>57</v>
      </c>
      <c r="C185" s="1">
        <v>58</v>
      </c>
      <c r="D185" s="76">
        <v>6</v>
      </c>
      <c r="E185" s="126">
        <f t="shared" si="8"/>
        <v>18.952000000000002</v>
      </c>
      <c r="F185" s="216">
        <v>0.2</v>
      </c>
      <c r="G185" s="215">
        <f t="shared" si="9"/>
        <v>0.58105117766515302</v>
      </c>
      <c r="H185" s="217">
        <f t="shared" si="10"/>
        <v>0.19052558883257653</v>
      </c>
      <c r="I185" s="215">
        <f t="shared" si="11"/>
        <v>0.17320508075688773</v>
      </c>
      <c r="J185" s="93">
        <f t="shared" si="6"/>
        <v>1.3333333333333333E-3</v>
      </c>
      <c r="K185" s="1">
        <f t="shared" si="12"/>
        <v>263.85000000000002</v>
      </c>
      <c r="L185" s="329">
        <f>_xlfn.MINIFS($M$155:$M$239,$C$155:$C$239,B185)-0.285</f>
        <v>263.21714107783407</v>
      </c>
      <c r="M185" s="328">
        <f t="shared" si="30"/>
        <v>263.20914107783409</v>
      </c>
      <c r="N185" s="94">
        <f t="shared" si="13"/>
        <v>263.39966666666669</v>
      </c>
      <c r="O185" s="1">
        <f t="shared" si="14"/>
        <v>263.39999999999998</v>
      </c>
      <c r="P185" s="332">
        <f t="shared" si="15"/>
        <v>3.3333333328755543E-4</v>
      </c>
      <c r="Q185" s="332">
        <f t="shared" si="16"/>
        <v>0.58171784433172813</v>
      </c>
      <c r="R185" s="1" t="str">
        <f t="shared" si="17"/>
        <v>OK</v>
      </c>
      <c r="S185" s="13">
        <f t="shared" si="18"/>
        <v>58.430688467127666</v>
      </c>
      <c r="T185" s="192">
        <f t="shared" si="7"/>
        <v>2.0830882475267867</v>
      </c>
      <c r="U185" s="13">
        <f t="shared" si="19"/>
        <v>0.6328589221659513</v>
      </c>
      <c r="V185" s="13">
        <f t="shared" si="20"/>
        <v>0.19085892216588718</v>
      </c>
      <c r="W185" s="13">
        <f t="shared" si="21"/>
        <v>0.4464307065990919</v>
      </c>
      <c r="X185" s="13">
        <f t="shared" si="22"/>
        <v>0.58171784433177431</v>
      </c>
      <c r="Y185" s="13">
        <f t="shared" si="23"/>
        <v>1.0237178443318384</v>
      </c>
      <c r="Z185" s="13">
        <f t="shared" si="24"/>
        <v>0.44759347562100976</v>
      </c>
      <c r="AA185" s="13">
        <f t="shared" si="25"/>
        <v>1.5119973372051394</v>
      </c>
      <c r="AC185" s="103"/>
      <c r="AD185" s="103"/>
      <c r="AE185" s="339">
        <f t="shared" si="26"/>
        <v>0.25199955620085657</v>
      </c>
      <c r="AF185">
        <f t="shared" si="27"/>
        <v>0.76400000000000001</v>
      </c>
      <c r="AG185">
        <f t="shared" si="28"/>
        <v>7.640000000000001E-2</v>
      </c>
      <c r="AH185">
        <f t="shared" si="29"/>
        <v>0.45840000000000003</v>
      </c>
    </row>
    <row r="186" spans="1:34" x14ac:dyDescent="0.45">
      <c r="A186" s="1">
        <v>7</v>
      </c>
      <c r="B186" s="1">
        <v>52</v>
      </c>
      <c r="C186" s="1">
        <v>55</v>
      </c>
      <c r="D186" s="76">
        <v>11</v>
      </c>
      <c r="E186" s="126">
        <f t="shared" si="8"/>
        <v>288.25925000000001</v>
      </c>
      <c r="F186" s="216">
        <v>0.4</v>
      </c>
      <c r="G186" s="215">
        <f t="shared" si="9"/>
        <v>1.162102355330306</v>
      </c>
      <c r="H186" s="217">
        <f t="shared" si="10"/>
        <v>0.38105117766515306</v>
      </c>
      <c r="I186" s="215">
        <f t="shared" si="11"/>
        <v>0.34641016151377546</v>
      </c>
      <c r="J186" s="93">
        <f t="shared" si="6"/>
        <v>1.3333333333333333E-3</v>
      </c>
      <c r="K186" s="1">
        <f t="shared" si="12"/>
        <v>263.25</v>
      </c>
      <c r="L186" s="94">
        <f t="shared" si="31"/>
        <v>262.80621161675111</v>
      </c>
      <c r="M186" s="328">
        <f t="shared" si="30"/>
        <v>262.79154495008447</v>
      </c>
      <c r="N186" s="94">
        <f t="shared" si="13"/>
        <v>263.17259612774961</v>
      </c>
      <c r="O186" s="1">
        <f t="shared" si="14"/>
        <v>263.25</v>
      </c>
      <c r="P186" s="332">
        <f t="shared" si="15"/>
        <v>7.740387225038603E-2</v>
      </c>
      <c r="Q186" s="332">
        <f t="shared" si="16"/>
        <v>1.3169100998310781</v>
      </c>
      <c r="R186" s="1" t="str">
        <f t="shared" si="17"/>
        <v>OK</v>
      </c>
      <c r="S186" s="13">
        <f t="shared" si="18"/>
        <v>371.01174535977839</v>
      </c>
      <c r="T186" s="192">
        <f t="shared" si="7"/>
        <v>0.28707663452180071</v>
      </c>
      <c r="U186" s="13">
        <f t="shared" si="19"/>
        <v>0.44378838324888648</v>
      </c>
      <c r="V186" s="13">
        <f t="shared" si="20"/>
        <v>0.45845504991552843</v>
      </c>
      <c r="W186" s="13">
        <f t="shared" si="21"/>
        <v>3.2738251817266741</v>
      </c>
      <c r="X186" s="13">
        <f t="shared" si="22"/>
        <v>1.2875767664977729</v>
      </c>
      <c r="Y186" s="13">
        <f t="shared" si="23"/>
        <v>1.3022434331644148</v>
      </c>
      <c r="Z186" s="13">
        <f t="shared" si="24"/>
        <v>4.1190983064683664</v>
      </c>
      <c r="AA186" s="13">
        <f t="shared" si="25"/>
        <v>4.2235543878545663</v>
      </c>
      <c r="AC186" s="103"/>
      <c r="AD186" s="103"/>
      <c r="AE186" s="339">
        <f t="shared" si="26"/>
        <v>0.38395948980496059</v>
      </c>
      <c r="AF186">
        <f t="shared" si="27"/>
        <v>1.528</v>
      </c>
      <c r="AG186">
        <f t="shared" si="28"/>
        <v>0.15280000000000002</v>
      </c>
      <c r="AH186">
        <f t="shared" si="29"/>
        <v>1.6808000000000003</v>
      </c>
    </row>
    <row r="187" spans="1:34" x14ac:dyDescent="0.45">
      <c r="A187" s="1">
        <v>7</v>
      </c>
      <c r="B187" s="1">
        <v>55</v>
      </c>
      <c r="C187" s="1">
        <v>58</v>
      </c>
      <c r="D187" s="76">
        <v>44</v>
      </c>
      <c r="E187" s="126">
        <f t="shared" si="8"/>
        <v>702.98770000000002</v>
      </c>
      <c r="F187" s="216">
        <v>0.6</v>
      </c>
      <c r="G187" s="215">
        <f t="shared" si="9"/>
        <v>1.7431535329954588</v>
      </c>
      <c r="H187" s="217">
        <f t="shared" si="10"/>
        <v>0.57157676649772948</v>
      </c>
      <c r="I187" s="215">
        <f t="shared" si="11"/>
        <v>0.51961524227066314</v>
      </c>
      <c r="J187" s="93">
        <f t="shared" si="6"/>
        <v>1.3333333333333333E-3</v>
      </c>
      <c r="K187" s="1">
        <f t="shared" si="12"/>
        <v>263.25</v>
      </c>
      <c r="L187" s="94">
        <f t="shared" si="31"/>
        <v>262.71961548900157</v>
      </c>
      <c r="M187" s="327">
        <f t="shared" si="30"/>
        <v>262.66094882233489</v>
      </c>
      <c r="N187" s="94">
        <f t="shared" si="13"/>
        <v>263.23252558883263</v>
      </c>
      <c r="O187" s="1">
        <f t="shared" si="14"/>
        <v>263.39999999999998</v>
      </c>
      <c r="P187" s="332">
        <f t="shared" si="15"/>
        <v>0.16747441116734763</v>
      </c>
      <c r="Q187" s="332">
        <f t="shared" si="16"/>
        <v>2.0781023553301541</v>
      </c>
      <c r="R187" s="1" t="str">
        <f t="shared" si="17"/>
        <v>OK</v>
      </c>
      <c r="S187" s="13">
        <f t="shared" si="18"/>
        <v>1093.8665686523198</v>
      </c>
      <c r="T187" s="192">
        <f t="shared" si="7"/>
        <v>0.55602518885084296</v>
      </c>
      <c r="U187" s="13">
        <f t="shared" si="19"/>
        <v>0.53038451099843087</v>
      </c>
      <c r="V187" s="13">
        <f t="shared" si="20"/>
        <v>0.73905117766508965</v>
      </c>
      <c r="W187" s="13">
        <f t="shared" si="21"/>
        <v>29.464426635540057</v>
      </c>
      <c r="X187" s="13">
        <f t="shared" si="22"/>
        <v>1.6607690219968618</v>
      </c>
      <c r="Y187" s="13">
        <f t="shared" si="23"/>
        <v>1.8694356886635206</v>
      </c>
      <c r="Z187" s="13">
        <f t="shared" si="24"/>
        <v>26.379691188668538</v>
      </c>
      <c r="AA187" s="13">
        <f t="shared" si="25"/>
        <v>34.482687734537365</v>
      </c>
      <c r="AC187" s="103"/>
      <c r="AD187" s="103"/>
      <c r="AE187" s="339">
        <f t="shared" si="26"/>
        <v>0.78369744851221279</v>
      </c>
      <c r="AF187">
        <f t="shared" si="27"/>
        <v>2.2919999999999998</v>
      </c>
      <c r="AG187">
        <f t="shared" si="28"/>
        <v>0.22919999999999999</v>
      </c>
      <c r="AH187">
        <f t="shared" si="29"/>
        <v>10.0848</v>
      </c>
    </row>
    <row r="188" spans="1:34" x14ac:dyDescent="0.45">
      <c r="A188" s="1">
        <v>7</v>
      </c>
      <c r="B188" s="1">
        <v>58</v>
      </c>
      <c r="C188" s="1" t="s">
        <v>1057</v>
      </c>
      <c r="D188" s="76">
        <v>10</v>
      </c>
      <c r="E188" s="126">
        <f t="shared" si="8"/>
        <v>721.93970000000002</v>
      </c>
      <c r="F188" s="216">
        <v>0.6</v>
      </c>
      <c r="G188" s="215">
        <f t="shared" si="9"/>
        <v>1.7431535329954588</v>
      </c>
      <c r="H188" s="217">
        <f t="shared" si="10"/>
        <v>0.57157676649772948</v>
      </c>
      <c r="I188" s="215">
        <f t="shared" si="11"/>
        <v>0.51961524227066314</v>
      </c>
      <c r="J188" s="93">
        <f t="shared" si="6"/>
        <v>1.3333333333333333E-3</v>
      </c>
      <c r="K188" s="1">
        <f t="shared" si="12"/>
        <v>263.39999999999998</v>
      </c>
      <c r="L188" s="94">
        <f t="shared" si="31"/>
        <v>262.66094882233489</v>
      </c>
      <c r="M188" s="327">
        <f t="shared" si="30"/>
        <v>262.64761548900157</v>
      </c>
      <c r="N188" s="94">
        <f t="shared" si="13"/>
        <v>263.21919225549931</v>
      </c>
      <c r="O188" s="1">
        <f t="shared" si="14"/>
        <v>263.39999999999998</v>
      </c>
      <c r="P188" s="332">
        <f t="shared" si="15"/>
        <v>0.18080774450066883</v>
      </c>
      <c r="Q188" s="332">
        <f t="shared" si="16"/>
        <v>2.1047690219967965</v>
      </c>
      <c r="R188" s="1" t="str">
        <f t="shared" si="17"/>
        <v>OK</v>
      </c>
      <c r="S188" s="13">
        <f t="shared" si="18"/>
        <v>1093.8665686523198</v>
      </c>
      <c r="T188" s="192">
        <f t="shared" si="7"/>
        <v>0.51517719368019199</v>
      </c>
      <c r="U188" s="13">
        <f t="shared" si="19"/>
        <v>0.73905117766508965</v>
      </c>
      <c r="V188" s="13">
        <f t="shared" si="20"/>
        <v>0.75238451099841086</v>
      </c>
      <c r="W188" s="13">
        <f t="shared" si="21"/>
        <v>6.696460598986377</v>
      </c>
      <c r="X188" s="13">
        <f t="shared" si="22"/>
        <v>2.0781023553301794</v>
      </c>
      <c r="Y188" s="13">
        <f t="shared" si="23"/>
        <v>2.0914356886635006</v>
      </c>
      <c r="Z188" s="13">
        <f t="shared" si="24"/>
        <v>9.8962734980720963</v>
      </c>
      <c r="AA188" s="13">
        <f t="shared" si="25"/>
        <v>10.035258099538426</v>
      </c>
      <c r="AC188" s="103"/>
      <c r="AD188" s="103"/>
      <c r="AE188" s="339">
        <f t="shared" si="26"/>
        <v>1.0035258099538427</v>
      </c>
      <c r="AF188">
        <f t="shared" si="27"/>
        <v>2.2919999999999998</v>
      </c>
      <c r="AG188">
        <f t="shared" si="28"/>
        <v>0.22919999999999999</v>
      </c>
      <c r="AH188">
        <f t="shared" si="29"/>
        <v>2.2919999999999998</v>
      </c>
    </row>
    <row r="189" spans="1:34" x14ac:dyDescent="0.45">
      <c r="A189" s="1">
        <v>8.1</v>
      </c>
      <c r="B189" s="1">
        <v>76</v>
      </c>
      <c r="C189" s="1">
        <v>77</v>
      </c>
      <c r="D189" s="76">
        <v>78</v>
      </c>
      <c r="E189" s="126">
        <f t="shared" si="8"/>
        <v>239.73649999999998</v>
      </c>
      <c r="F189" s="216">
        <v>0.4</v>
      </c>
      <c r="G189" s="215">
        <f t="shared" si="9"/>
        <v>1.162102355330306</v>
      </c>
      <c r="H189" s="217">
        <f t="shared" si="10"/>
        <v>0.38105117766515306</v>
      </c>
      <c r="I189" s="215">
        <f t="shared" si="11"/>
        <v>0.34641016151377546</v>
      </c>
      <c r="J189" s="93">
        <f t="shared" si="6"/>
        <v>1.3333333333333333E-3</v>
      </c>
      <c r="K189" s="1">
        <f t="shared" si="12"/>
        <v>263.10000000000002</v>
      </c>
      <c r="L189" s="329">
        <f>K189-H189-0.05</f>
        <v>262.66894882233487</v>
      </c>
      <c r="M189" s="327">
        <f t="shared" si="30"/>
        <v>262.56494882233488</v>
      </c>
      <c r="N189" s="94">
        <f t="shared" si="13"/>
        <v>262.94600000000003</v>
      </c>
      <c r="O189" s="1">
        <f t="shared" si="14"/>
        <v>262.95</v>
      </c>
      <c r="P189" s="332">
        <f t="shared" si="15"/>
        <v>3.999999999962256E-3</v>
      </c>
      <c r="Q189" s="332">
        <f t="shared" si="16"/>
        <v>1.1701023553302305</v>
      </c>
      <c r="R189" s="1" t="str">
        <f t="shared" si="17"/>
        <v>OK</v>
      </c>
      <c r="S189" s="13">
        <f t="shared" si="18"/>
        <v>371.01174535977839</v>
      </c>
      <c r="T189" s="192">
        <f t="shared" si="7"/>
        <v>0.54758138773102316</v>
      </c>
      <c r="U189" s="13">
        <f t="shared" si="19"/>
        <v>0.43105117766515377</v>
      </c>
      <c r="V189" s="13">
        <f t="shared" si="20"/>
        <v>0.38505117766510466</v>
      </c>
      <c r="W189" s="13">
        <f t="shared" si="21"/>
        <v>23.214396743152779</v>
      </c>
      <c r="X189" s="13">
        <f t="shared" si="22"/>
        <v>1.1701023553302092</v>
      </c>
      <c r="Y189" s="13">
        <f t="shared" si="23"/>
        <v>1.2161023553302583</v>
      </c>
      <c r="Z189" s="13">
        <f t="shared" si="24"/>
        <v>23.578220678011419</v>
      </c>
      <c r="AA189" s="13">
        <f t="shared" si="25"/>
        <v>25.718646303476142</v>
      </c>
      <c r="AC189" s="103"/>
      <c r="AD189" s="103"/>
      <c r="AE189" s="339">
        <f t="shared" si="26"/>
        <v>0.32972623465995055</v>
      </c>
      <c r="AF189">
        <f t="shared" si="27"/>
        <v>1.528</v>
      </c>
      <c r="AG189">
        <f t="shared" si="28"/>
        <v>0.15280000000000002</v>
      </c>
      <c r="AH189">
        <f t="shared" si="29"/>
        <v>11.918400000000002</v>
      </c>
    </row>
    <row r="190" spans="1:34" x14ac:dyDescent="0.45">
      <c r="A190" s="1">
        <v>8.1</v>
      </c>
      <c r="B190" s="1">
        <v>77</v>
      </c>
      <c r="C190" s="1">
        <v>78</v>
      </c>
      <c r="D190" s="76">
        <v>46</v>
      </c>
      <c r="E190" s="126">
        <f t="shared" si="8"/>
        <v>239.73649999999998</v>
      </c>
      <c r="F190" s="216">
        <v>0.4</v>
      </c>
      <c r="G190" s="215">
        <f t="shared" si="9"/>
        <v>1.162102355330306</v>
      </c>
      <c r="H190" s="217">
        <f t="shared" si="10"/>
        <v>0.38105117766515306</v>
      </c>
      <c r="I190" s="215">
        <f t="shared" si="11"/>
        <v>0.34641016151377546</v>
      </c>
      <c r="J190" s="93">
        <f t="shared" si="6"/>
        <v>1.3333333333333333E-3</v>
      </c>
      <c r="K190" s="1">
        <f t="shared" si="12"/>
        <v>262.95</v>
      </c>
      <c r="L190" s="94">
        <f t="shared" si="31"/>
        <v>262.56494882233488</v>
      </c>
      <c r="M190" s="327">
        <f t="shared" si="30"/>
        <v>262.50361548900156</v>
      </c>
      <c r="N190" s="94">
        <f t="shared" si="13"/>
        <v>262.8846666666667</v>
      </c>
      <c r="O190" s="1">
        <f t="shared" si="14"/>
        <v>262.95</v>
      </c>
      <c r="P190" s="332">
        <f t="shared" si="15"/>
        <v>6.5333333333285282E-2</v>
      </c>
      <c r="Q190" s="332">
        <f t="shared" si="16"/>
        <v>1.2927690219968766</v>
      </c>
      <c r="R190" s="1" t="str">
        <f t="shared" si="17"/>
        <v>OK</v>
      </c>
      <c r="S190" s="13">
        <f t="shared" si="18"/>
        <v>371.01174535977839</v>
      </c>
      <c r="T190" s="192">
        <f t="shared" si="7"/>
        <v>0.54758138773102316</v>
      </c>
      <c r="U190" s="13">
        <f t="shared" si="19"/>
        <v>0.38505117766510466</v>
      </c>
      <c r="V190" s="13">
        <f t="shared" si="20"/>
        <v>0.44638451099842769</v>
      </c>
      <c r="W190" s="13">
        <f t="shared" si="21"/>
        <v>13.690541669038819</v>
      </c>
      <c r="X190" s="13">
        <f t="shared" si="22"/>
        <v>1.1701023553302092</v>
      </c>
      <c r="Y190" s="13">
        <f t="shared" si="23"/>
        <v>1.2314356886635323</v>
      </c>
      <c r="Z190" s="13">
        <f t="shared" si="24"/>
        <v>13.905104502416991</v>
      </c>
      <c r="AA190" s="13">
        <f t="shared" si="25"/>
        <v>15.598989336113625</v>
      </c>
      <c r="AC190" s="103"/>
      <c r="AD190" s="103"/>
      <c r="AE190" s="339">
        <f t="shared" si="26"/>
        <v>0.33910846382855708</v>
      </c>
      <c r="AF190">
        <f t="shared" si="27"/>
        <v>1.528</v>
      </c>
      <c r="AG190">
        <f t="shared" si="28"/>
        <v>0.15280000000000002</v>
      </c>
      <c r="AH190">
        <f t="shared" si="29"/>
        <v>7.0288000000000013</v>
      </c>
    </row>
    <row r="191" spans="1:34" x14ac:dyDescent="0.45">
      <c r="A191" s="1">
        <v>8.1</v>
      </c>
      <c r="B191" s="1">
        <v>78</v>
      </c>
      <c r="C191" s="1">
        <v>75</v>
      </c>
      <c r="D191" s="76">
        <v>4</v>
      </c>
      <c r="E191" s="126">
        <f t="shared" si="8"/>
        <v>239.73649999999998</v>
      </c>
      <c r="F191" s="216">
        <v>0.4</v>
      </c>
      <c r="G191" s="215">
        <f t="shared" si="9"/>
        <v>1.162102355330306</v>
      </c>
      <c r="H191" s="217">
        <f t="shared" si="10"/>
        <v>0.38105117766515306</v>
      </c>
      <c r="I191" s="215">
        <f t="shared" si="11"/>
        <v>0.34641016151377546</v>
      </c>
      <c r="J191" s="93">
        <f t="shared" si="6"/>
        <v>1.3333333333333333E-3</v>
      </c>
      <c r="K191" s="1">
        <f t="shared" si="12"/>
        <v>262.95</v>
      </c>
      <c r="L191" s="94">
        <f t="shared" si="31"/>
        <v>262.50361548900156</v>
      </c>
      <c r="M191" s="327">
        <f t="shared" si="30"/>
        <v>262.49828215566822</v>
      </c>
      <c r="N191" s="94">
        <f t="shared" si="13"/>
        <v>262.87933333333336</v>
      </c>
      <c r="O191" s="1">
        <f t="shared" si="14"/>
        <v>262.95</v>
      </c>
      <c r="P191" s="332">
        <f t="shared" si="15"/>
        <v>7.0666666666625133E-2</v>
      </c>
      <c r="Q191" s="332">
        <f t="shared" si="16"/>
        <v>1.3034356886635563</v>
      </c>
      <c r="R191" s="1" t="str">
        <f t="shared" si="17"/>
        <v>OK</v>
      </c>
      <c r="S191" s="13">
        <f t="shared" si="18"/>
        <v>371.01174535977839</v>
      </c>
      <c r="T191" s="192">
        <f t="shared" si="7"/>
        <v>0.54758138773102316</v>
      </c>
      <c r="U191" s="13">
        <f t="shared" si="19"/>
        <v>0.44638451099842769</v>
      </c>
      <c r="V191" s="13">
        <f t="shared" si="20"/>
        <v>0.45171784433176754</v>
      </c>
      <c r="W191" s="13">
        <f t="shared" si="21"/>
        <v>1.1904818842642451</v>
      </c>
      <c r="X191" s="13">
        <f t="shared" si="22"/>
        <v>1.2927690219968553</v>
      </c>
      <c r="Y191" s="13">
        <f t="shared" si="23"/>
        <v>1.2981023553301951</v>
      </c>
      <c r="Z191" s="13">
        <f t="shared" si="24"/>
        <v>1.511251744234706</v>
      </c>
      <c r="AA191" s="13">
        <f t="shared" si="25"/>
        <v>1.5250697249138006</v>
      </c>
      <c r="AC191" s="103"/>
      <c r="AD191" s="103"/>
      <c r="AE191" s="339">
        <f t="shared" si="26"/>
        <v>0.38126743122845014</v>
      </c>
      <c r="AF191">
        <f t="shared" si="27"/>
        <v>1.528</v>
      </c>
      <c r="AG191">
        <f t="shared" si="28"/>
        <v>0.15280000000000002</v>
      </c>
      <c r="AH191">
        <f t="shared" si="29"/>
        <v>0.61120000000000008</v>
      </c>
    </row>
    <row r="192" spans="1:34" x14ac:dyDescent="0.45">
      <c r="A192" s="1">
        <v>8.1999999999999993</v>
      </c>
      <c r="B192" s="1">
        <v>79</v>
      </c>
      <c r="C192" s="1">
        <v>80</v>
      </c>
      <c r="D192" s="76">
        <v>86</v>
      </c>
      <c r="E192" s="126">
        <f t="shared" si="8"/>
        <v>259.83125000000001</v>
      </c>
      <c r="F192" s="216">
        <v>0.4</v>
      </c>
      <c r="G192" s="215">
        <f t="shared" si="9"/>
        <v>1.162102355330306</v>
      </c>
      <c r="H192" s="217">
        <f t="shared" si="10"/>
        <v>0.38105117766515306</v>
      </c>
      <c r="I192" s="215">
        <f t="shared" si="11"/>
        <v>0.34641016151377546</v>
      </c>
      <c r="J192" s="93">
        <f t="shared" si="6"/>
        <v>1.3333333333333333E-3</v>
      </c>
      <c r="K192" s="1">
        <f t="shared" si="12"/>
        <v>263</v>
      </c>
      <c r="L192" s="94">
        <f>K192-H192</f>
        <v>262.61894882233486</v>
      </c>
      <c r="M192" s="327">
        <f t="shared" si="30"/>
        <v>262.50428215566819</v>
      </c>
      <c r="N192" s="94">
        <f t="shared" si="13"/>
        <v>262.88533333333334</v>
      </c>
      <c r="O192" s="1">
        <f t="shared" si="14"/>
        <v>262.95</v>
      </c>
      <c r="P192" s="332">
        <f t="shared" si="15"/>
        <v>6.4666666666653327E-2</v>
      </c>
      <c r="Q192" s="332">
        <f t="shared" si="16"/>
        <v>1.2914356886636127</v>
      </c>
      <c r="R192" s="1" t="str">
        <f t="shared" si="17"/>
        <v>OK</v>
      </c>
      <c r="S192" s="13">
        <f t="shared" si="18"/>
        <v>371.01174535977839</v>
      </c>
      <c r="T192" s="192">
        <f t="shared" si="7"/>
        <v>0.42789501016439851</v>
      </c>
      <c r="U192" s="13">
        <f t="shared" si="19"/>
        <v>0.3810511776651424</v>
      </c>
      <c r="V192" s="13">
        <f t="shared" si="20"/>
        <v>0.44571784433179573</v>
      </c>
      <c r="W192" s="13">
        <f t="shared" si="21"/>
        <v>25.595360511681267</v>
      </c>
      <c r="X192" s="13">
        <f t="shared" si="22"/>
        <v>1.1621023553302847</v>
      </c>
      <c r="Y192" s="13">
        <f t="shared" si="23"/>
        <v>1.226769021996938</v>
      </c>
      <c r="Z192" s="13">
        <f t="shared" si="24"/>
        <v>25.595360511680205</v>
      </c>
      <c r="AA192" s="13">
        <f t="shared" si="25"/>
        <v>28.916688016623468</v>
      </c>
      <c r="AC192" s="103"/>
      <c r="AD192" s="103"/>
      <c r="AE192" s="339">
        <f t="shared" si="26"/>
        <v>0.33624055833283101</v>
      </c>
      <c r="AF192">
        <f t="shared" si="27"/>
        <v>1.528</v>
      </c>
      <c r="AG192">
        <f t="shared" si="28"/>
        <v>0.15280000000000002</v>
      </c>
      <c r="AH192">
        <f t="shared" si="29"/>
        <v>13.140800000000002</v>
      </c>
    </row>
    <row r="193" spans="1:34" x14ac:dyDescent="0.45">
      <c r="A193" s="1">
        <v>8.1999999999999993</v>
      </c>
      <c r="B193" s="1">
        <v>80</v>
      </c>
      <c r="C193" s="1">
        <v>81</v>
      </c>
      <c r="D193" s="76">
        <v>4</v>
      </c>
      <c r="E193" s="126">
        <f t="shared" si="8"/>
        <v>259.83125000000001</v>
      </c>
      <c r="F193" s="216">
        <v>0.4</v>
      </c>
      <c r="G193" s="215">
        <f t="shared" si="9"/>
        <v>1.162102355330306</v>
      </c>
      <c r="H193" s="217">
        <f t="shared" si="10"/>
        <v>0.38105117766515306</v>
      </c>
      <c r="I193" s="215">
        <f t="shared" si="11"/>
        <v>0.34641016151377546</v>
      </c>
      <c r="J193" s="93">
        <f t="shared" si="6"/>
        <v>1.3333333333333333E-3</v>
      </c>
      <c r="K193" s="1">
        <f t="shared" si="12"/>
        <v>262.95</v>
      </c>
      <c r="L193" s="94">
        <f t="shared" si="31"/>
        <v>262.50428215566819</v>
      </c>
      <c r="M193" s="327">
        <f t="shared" si="30"/>
        <v>262.49894882233485</v>
      </c>
      <c r="N193" s="94">
        <f t="shared" si="13"/>
        <v>262.88</v>
      </c>
      <c r="O193" s="1">
        <f t="shared" si="14"/>
        <v>262.95</v>
      </c>
      <c r="P193" s="332">
        <f t="shared" si="15"/>
        <v>6.9999999999993179E-2</v>
      </c>
      <c r="Q193" s="332">
        <f t="shared" si="16"/>
        <v>1.3021023553302924</v>
      </c>
      <c r="R193" s="1" t="str">
        <f t="shared" si="17"/>
        <v>OK</v>
      </c>
      <c r="S193" s="13">
        <f t="shared" si="18"/>
        <v>371.01174535977839</v>
      </c>
      <c r="T193" s="192">
        <f t="shared" si="7"/>
        <v>0.42789501016439851</v>
      </c>
      <c r="U193" s="13">
        <f t="shared" si="19"/>
        <v>0.44571784433179573</v>
      </c>
      <c r="V193" s="13">
        <f t="shared" si="20"/>
        <v>0.45105117766513558</v>
      </c>
      <c r="W193" s="13">
        <f t="shared" si="21"/>
        <v>1.1904818842642451</v>
      </c>
      <c r="X193" s="13">
        <f t="shared" si="22"/>
        <v>1.2914356886635914</v>
      </c>
      <c r="Y193" s="13">
        <f t="shared" si="23"/>
        <v>1.2967690219969312</v>
      </c>
      <c r="Z193" s="13">
        <f t="shared" si="24"/>
        <v>1.5078061379540049</v>
      </c>
      <c r="AA193" s="13">
        <f t="shared" si="25"/>
        <v>1.5216098964108777</v>
      </c>
      <c r="AC193" s="103"/>
      <c r="AD193" s="103"/>
      <c r="AE193" s="339">
        <f t="shared" si="26"/>
        <v>0.38040247410271943</v>
      </c>
      <c r="AF193">
        <f t="shared" si="27"/>
        <v>1.528</v>
      </c>
      <c r="AG193">
        <f t="shared" si="28"/>
        <v>0.15280000000000002</v>
      </c>
      <c r="AH193">
        <f t="shared" si="29"/>
        <v>0.61120000000000008</v>
      </c>
    </row>
    <row r="194" spans="1:34" x14ac:dyDescent="0.45">
      <c r="A194" s="1">
        <v>8.3000000000000007</v>
      </c>
      <c r="B194" s="1">
        <v>83</v>
      </c>
      <c r="C194" s="1">
        <v>84</v>
      </c>
      <c r="D194" s="76">
        <v>90</v>
      </c>
      <c r="E194" s="126">
        <f t="shared" si="8"/>
        <v>242.92150000000001</v>
      </c>
      <c r="F194" s="216">
        <v>0.4</v>
      </c>
      <c r="G194" s="215">
        <f t="shared" si="9"/>
        <v>1.162102355330306</v>
      </c>
      <c r="H194" s="217">
        <f t="shared" si="10"/>
        <v>0.38105117766515306</v>
      </c>
      <c r="I194" s="215">
        <f t="shared" si="11"/>
        <v>0.34641016151377546</v>
      </c>
      <c r="J194" s="93">
        <f t="shared" si="6"/>
        <v>1.3333333333333333E-3</v>
      </c>
      <c r="K194" s="1">
        <f t="shared" si="12"/>
        <v>262.91399999999999</v>
      </c>
      <c r="L194" s="94">
        <f>K194-H194</f>
        <v>262.53294882233484</v>
      </c>
      <c r="M194" s="328">
        <f t="shared" si="30"/>
        <v>262.41294882233484</v>
      </c>
      <c r="N194" s="94">
        <f t="shared" si="13"/>
        <v>262.79399999999998</v>
      </c>
      <c r="O194" s="1">
        <f t="shared" si="14"/>
        <v>262.92399999999998</v>
      </c>
      <c r="P194" s="332">
        <f t="shared" si="15"/>
        <v>0.12999999999999545</v>
      </c>
      <c r="Q194" s="332">
        <f t="shared" si="16"/>
        <v>1.4221023553302969</v>
      </c>
      <c r="R194" s="1" t="str">
        <f t="shared" si="17"/>
        <v>OK</v>
      </c>
      <c r="S194" s="13">
        <f t="shared" si="18"/>
        <v>371.01174535977839</v>
      </c>
      <c r="T194" s="192">
        <f t="shared" si="7"/>
        <v>0.52729069003681595</v>
      </c>
      <c r="U194" s="13">
        <f t="shared" si="19"/>
        <v>0.3810511776651424</v>
      </c>
      <c r="V194" s="13">
        <f t="shared" si="20"/>
        <v>0.51105117766513786</v>
      </c>
      <c r="W194" s="13">
        <f t="shared" si="21"/>
        <v>26.785842395945515</v>
      </c>
      <c r="X194" s="13">
        <f t="shared" si="22"/>
        <v>1.1621023553302847</v>
      </c>
      <c r="Y194" s="13">
        <f t="shared" si="23"/>
        <v>1.2921023553302802</v>
      </c>
      <c r="Z194" s="13">
        <f t="shared" si="24"/>
        <v>26.7858423959444</v>
      </c>
      <c r="AA194" s="13">
        <f t="shared" si="25"/>
        <v>33.964391174626307</v>
      </c>
      <c r="AC194" s="103"/>
      <c r="AD194" s="103"/>
      <c r="AE194" s="339">
        <f t="shared" si="26"/>
        <v>0.37738212416251454</v>
      </c>
      <c r="AF194">
        <f t="shared" si="27"/>
        <v>1.528</v>
      </c>
      <c r="AG194">
        <f t="shared" si="28"/>
        <v>0.15280000000000002</v>
      </c>
      <c r="AH194">
        <f t="shared" si="29"/>
        <v>13.752000000000002</v>
      </c>
    </row>
    <row r="195" spans="1:34" x14ac:dyDescent="0.45">
      <c r="A195" s="1">
        <v>8</v>
      </c>
      <c r="B195" s="1">
        <v>73</v>
      </c>
      <c r="C195" s="1">
        <v>74</v>
      </c>
      <c r="D195" s="76">
        <v>80</v>
      </c>
      <c r="E195" s="126">
        <f t="shared" si="8"/>
        <v>20.699750000000002</v>
      </c>
      <c r="F195" s="216">
        <v>0.2</v>
      </c>
      <c r="G195" s="215">
        <f t="shared" si="9"/>
        <v>0.58105117766515302</v>
      </c>
      <c r="H195" s="217">
        <f t="shared" si="10"/>
        <v>0.19052558883257653</v>
      </c>
      <c r="I195" s="215">
        <f t="shared" si="11"/>
        <v>0.17320508075688773</v>
      </c>
      <c r="J195" s="93">
        <f t="shared" si="6"/>
        <v>1.3333333333333333E-3</v>
      </c>
      <c r="K195" s="1">
        <f t="shared" si="12"/>
        <v>263.7</v>
      </c>
      <c r="L195" s="94">
        <f>K195-H195</f>
        <v>263.50947441116739</v>
      </c>
      <c r="M195" s="327">
        <f t="shared" si="30"/>
        <v>263.40280774450071</v>
      </c>
      <c r="N195" s="94">
        <f t="shared" si="13"/>
        <v>263.59333333333331</v>
      </c>
      <c r="O195" s="1">
        <f t="shared" si="14"/>
        <v>263.7</v>
      </c>
      <c r="P195" s="332">
        <f t="shared" si="15"/>
        <v>0.10666666666668334</v>
      </c>
      <c r="Q195" s="332">
        <f t="shared" si="16"/>
        <v>0.7943845109985197</v>
      </c>
      <c r="R195" s="1" t="str">
        <f t="shared" si="17"/>
        <v>OK</v>
      </c>
      <c r="S195" s="13">
        <f t="shared" si="18"/>
        <v>58.430688467127666</v>
      </c>
      <c r="T195" s="192">
        <f t="shared" si="7"/>
        <v>1.8227726647484952</v>
      </c>
      <c r="U195" s="13">
        <f t="shared" si="19"/>
        <v>0.19052558883259962</v>
      </c>
      <c r="V195" s="13">
        <f t="shared" si="20"/>
        <v>0.29719225549928296</v>
      </c>
      <c r="W195" s="13">
        <f t="shared" si="21"/>
        <v>5.9524094213212253</v>
      </c>
      <c r="X195" s="13">
        <f t="shared" si="22"/>
        <v>0.5810511776651992</v>
      </c>
      <c r="Y195" s="13">
        <f t="shared" si="23"/>
        <v>0.68771784433188254</v>
      </c>
      <c r="Z195" s="13">
        <f t="shared" si="24"/>
        <v>5.9524094213222991</v>
      </c>
      <c r="AA195" s="13">
        <f t="shared" si="25"/>
        <v>8.6591166682498297</v>
      </c>
      <c r="AC195" s="103"/>
      <c r="AD195" s="103"/>
      <c r="AE195" s="339">
        <f t="shared" si="26"/>
        <v>0.10823895835312287</v>
      </c>
      <c r="AF195">
        <f t="shared" si="27"/>
        <v>0.76400000000000001</v>
      </c>
      <c r="AG195">
        <f t="shared" si="28"/>
        <v>7.640000000000001E-2</v>
      </c>
      <c r="AH195">
        <f t="shared" si="29"/>
        <v>6.112000000000001</v>
      </c>
    </row>
    <row r="196" spans="1:34" x14ac:dyDescent="0.45">
      <c r="A196" s="1">
        <v>8</v>
      </c>
      <c r="B196" s="1">
        <v>74</v>
      </c>
      <c r="C196" s="1">
        <v>75</v>
      </c>
      <c r="D196" s="76">
        <v>103</v>
      </c>
      <c r="E196" s="126">
        <f t="shared" si="8"/>
        <v>38.86045</v>
      </c>
      <c r="F196" s="216">
        <v>0.2</v>
      </c>
      <c r="G196" s="215">
        <f t="shared" si="9"/>
        <v>0.58105117766515302</v>
      </c>
      <c r="H196" s="217">
        <f t="shared" si="10"/>
        <v>0.19052558883257653</v>
      </c>
      <c r="I196" s="215">
        <f t="shared" si="11"/>
        <v>0.17320508075688773</v>
      </c>
      <c r="J196" s="93">
        <f t="shared" si="6"/>
        <v>1.3333333333333333E-3</v>
      </c>
      <c r="K196" s="1">
        <f t="shared" si="12"/>
        <v>263.7</v>
      </c>
      <c r="L196" s="329">
        <f>_xlfn.MINIFS($M$155:$M$239,$C$155:$C$239,B196)-0.51</f>
        <v>262.89280774450071</v>
      </c>
      <c r="M196" s="328">
        <f t="shared" si="30"/>
        <v>262.75547441116737</v>
      </c>
      <c r="N196" s="94">
        <f t="shared" si="13"/>
        <v>262.94599999999997</v>
      </c>
      <c r="O196" s="1">
        <f t="shared" si="14"/>
        <v>262.95</v>
      </c>
      <c r="P196" s="332">
        <f t="shared" si="15"/>
        <v>4.0000000000190994E-3</v>
      </c>
      <c r="Q196" s="332">
        <f t="shared" si="16"/>
        <v>0.58905117766519122</v>
      </c>
      <c r="R196" s="1" t="str">
        <f t="shared" si="17"/>
        <v>OK</v>
      </c>
      <c r="S196" s="13">
        <f t="shared" si="18"/>
        <v>58.430688467127666</v>
      </c>
      <c r="T196" s="192">
        <f t="shared" si="7"/>
        <v>0.50360298110618029</v>
      </c>
      <c r="U196" s="13">
        <f t="shared" si="19"/>
        <v>0.80719225549927387</v>
      </c>
      <c r="V196" s="13">
        <f t="shared" si="20"/>
        <v>0.19452558883261872</v>
      </c>
      <c r="W196" s="13">
        <f t="shared" si="21"/>
        <v>7.6637271299510772</v>
      </c>
      <c r="X196" s="13">
        <f t="shared" si="22"/>
        <v>0.5890511776652374</v>
      </c>
      <c r="Y196" s="13">
        <f t="shared" si="23"/>
        <v>1.2017178443318925</v>
      </c>
      <c r="Z196" s="13">
        <f t="shared" si="24"/>
        <v>7.9047682151516803</v>
      </c>
      <c r="AA196" s="13">
        <f t="shared" si="25"/>
        <v>36.156238767681536</v>
      </c>
      <c r="AC196" s="103"/>
      <c r="AD196" s="103"/>
      <c r="AE196" s="339">
        <f t="shared" si="26"/>
        <v>0.35103144434642269</v>
      </c>
      <c r="AF196">
        <f t="shared" si="27"/>
        <v>0.76400000000000001</v>
      </c>
      <c r="AG196">
        <f t="shared" si="28"/>
        <v>7.640000000000001E-2</v>
      </c>
      <c r="AH196">
        <f t="shared" si="29"/>
        <v>7.8692000000000011</v>
      </c>
    </row>
    <row r="197" spans="1:34" x14ac:dyDescent="0.45">
      <c r="A197" s="1">
        <v>8</v>
      </c>
      <c r="B197" s="1">
        <v>75</v>
      </c>
      <c r="C197" s="1">
        <v>81</v>
      </c>
      <c r="D197" s="76">
        <v>8</v>
      </c>
      <c r="E197" s="126">
        <f t="shared" si="8"/>
        <v>278.59694999999999</v>
      </c>
      <c r="F197" s="216">
        <v>0.4</v>
      </c>
      <c r="G197" s="215">
        <f t="shared" si="9"/>
        <v>1.162102355330306</v>
      </c>
      <c r="H197" s="217">
        <f t="shared" si="10"/>
        <v>0.38105117766515306</v>
      </c>
      <c r="I197" s="215">
        <f t="shared" si="11"/>
        <v>0.34641016151377546</v>
      </c>
      <c r="J197" s="93">
        <f t="shared" si="6"/>
        <v>1.3333333333333333E-3</v>
      </c>
      <c r="K197" s="1">
        <f t="shared" si="12"/>
        <v>262.95</v>
      </c>
      <c r="L197" s="94">
        <f t="shared" si="31"/>
        <v>262.49828215566822</v>
      </c>
      <c r="M197" s="328">
        <f t="shared" si="30"/>
        <v>262.48761548900154</v>
      </c>
      <c r="N197" s="94">
        <f t="shared" si="13"/>
        <v>262.86866666666668</v>
      </c>
      <c r="O197" s="1">
        <f t="shared" si="14"/>
        <v>262.95</v>
      </c>
      <c r="P197" s="332">
        <f t="shared" si="15"/>
        <v>8.1333333333304836E-2</v>
      </c>
      <c r="Q197" s="332">
        <f t="shared" si="16"/>
        <v>1.3247690219969157</v>
      </c>
      <c r="R197" s="1" t="str">
        <f t="shared" si="17"/>
        <v>OK</v>
      </c>
      <c r="S197" s="13">
        <f t="shared" si="18"/>
        <v>371.01174535977839</v>
      </c>
      <c r="T197" s="192">
        <f t="shared" si="7"/>
        <v>0.3317150290402619</v>
      </c>
      <c r="U197" s="13">
        <f t="shared" si="19"/>
        <v>0.45171784433176754</v>
      </c>
      <c r="V197" s="13">
        <f t="shared" si="20"/>
        <v>0.46238451099844724</v>
      </c>
      <c r="W197" s="13">
        <f t="shared" si="21"/>
        <v>2.3809637685284901</v>
      </c>
      <c r="X197" s="13">
        <f t="shared" si="22"/>
        <v>1.303435688663535</v>
      </c>
      <c r="Y197" s="13">
        <f t="shared" si="23"/>
        <v>1.3141023553302147</v>
      </c>
      <c r="Z197" s="13">
        <f t="shared" si="24"/>
        <v>3.0778891889635682</v>
      </c>
      <c r="AA197" s="13">
        <f t="shared" si="25"/>
        <v>3.1337300005688364</v>
      </c>
      <c r="AC197" s="103"/>
      <c r="AD197" s="103"/>
      <c r="AE197" s="339">
        <f t="shared" si="26"/>
        <v>0.39171625007110455</v>
      </c>
      <c r="AF197">
        <f t="shared" si="27"/>
        <v>1.528</v>
      </c>
      <c r="AG197">
        <f t="shared" si="28"/>
        <v>0.15280000000000002</v>
      </c>
      <c r="AH197">
        <f t="shared" si="29"/>
        <v>1.2224000000000002</v>
      </c>
    </row>
    <row r="198" spans="1:34" x14ac:dyDescent="0.45">
      <c r="A198" s="1">
        <v>8</v>
      </c>
      <c r="B198" s="1">
        <v>81</v>
      </c>
      <c r="C198" s="1">
        <v>82</v>
      </c>
      <c r="D198" s="76">
        <v>104</v>
      </c>
      <c r="E198" s="126">
        <f t="shared" si="8"/>
        <v>578.16120000000001</v>
      </c>
      <c r="F198" s="216">
        <v>0.5</v>
      </c>
      <c r="G198" s="215">
        <f t="shared" si="9"/>
        <v>1.4526279441628827</v>
      </c>
      <c r="H198" s="217">
        <f t="shared" si="10"/>
        <v>0.47631397208144127</v>
      </c>
      <c r="I198" s="215">
        <f t="shared" si="11"/>
        <v>0.4330127018922193</v>
      </c>
      <c r="J198" s="93">
        <f t="shared" si="6"/>
        <v>1.3333333333333333E-3</v>
      </c>
      <c r="K198" s="1">
        <f t="shared" si="12"/>
        <v>262.95</v>
      </c>
      <c r="L198" s="94">
        <f t="shared" si="31"/>
        <v>262.48761548900154</v>
      </c>
      <c r="M198" s="327">
        <f t="shared" si="30"/>
        <v>262.34894882233488</v>
      </c>
      <c r="N198" s="94">
        <f t="shared" si="13"/>
        <v>262.82526279441629</v>
      </c>
      <c r="O198" s="1">
        <f t="shared" si="14"/>
        <v>262.92399999999998</v>
      </c>
      <c r="P198" s="332">
        <f t="shared" si="15"/>
        <v>9.8737205583688592E-2</v>
      </c>
      <c r="Q198" s="332">
        <f t="shared" si="16"/>
        <v>1.6501023553302598</v>
      </c>
      <c r="R198" s="1" t="str">
        <f t="shared" si="17"/>
        <v>OK</v>
      </c>
      <c r="S198" s="13">
        <f t="shared" si="18"/>
        <v>672.68905250044338</v>
      </c>
      <c r="T198" s="192">
        <f t="shared" si="7"/>
        <v>0.1634973991690265</v>
      </c>
      <c r="U198" s="13">
        <f t="shared" si="19"/>
        <v>0.46238451099844724</v>
      </c>
      <c r="V198" s="13">
        <f t="shared" si="20"/>
        <v>0.57505117766510239</v>
      </c>
      <c r="W198" s="13">
        <f t="shared" si="21"/>
        <v>48.363326548234951</v>
      </c>
      <c r="X198" s="13">
        <f t="shared" si="22"/>
        <v>1.4247690219968945</v>
      </c>
      <c r="Y198" s="13">
        <f t="shared" si="23"/>
        <v>1.5374356886635496</v>
      </c>
      <c r="Z198" s="13">
        <f t="shared" si="24"/>
        <v>46.279135917091665</v>
      </c>
      <c r="AA198" s="13">
        <f t="shared" si="25"/>
        <v>54.956420916185436</v>
      </c>
      <c r="AC198" s="103"/>
      <c r="AD198" s="103"/>
      <c r="AE198" s="339">
        <f t="shared" si="26"/>
        <v>0.52842712419409077</v>
      </c>
      <c r="AF198">
        <f t="shared" si="27"/>
        <v>1.91</v>
      </c>
      <c r="AG198">
        <f t="shared" si="28"/>
        <v>0.191</v>
      </c>
      <c r="AH198">
        <f t="shared" si="29"/>
        <v>19.864000000000001</v>
      </c>
    </row>
    <row r="199" spans="1:34" x14ac:dyDescent="0.45">
      <c r="A199" s="1">
        <v>8</v>
      </c>
      <c r="B199" s="1">
        <v>82</v>
      </c>
      <c r="C199" s="1">
        <v>84</v>
      </c>
      <c r="D199" s="76">
        <v>5</v>
      </c>
      <c r="E199" s="126">
        <f t="shared" si="8"/>
        <v>578.16120000000001</v>
      </c>
      <c r="F199" s="216">
        <v>0.5</v>
      </c>
      <c r="G199" s="215">
        <f t="shared" si="9"/>
        <v>1.4526279441628827</v>
      </c>
      <c r="H199" s="217">
        <f t="shared" si="10"/>
        <v>0.47631397208144127</v>
      </c>
      <c r="I199" s="215">
        <f t="shared" si="11"/>
        <v>0.4330127018922193</v>
      </c>
      <c r="J199" s="93">
        <f t="shared" si="6"/>
        <v>1.3333333333333333E-3</v>
      </c>
      <c r="K199" s="1">
        <f t="shared" si="12"/>
        <v>262.92399999999998</v>
      </c>
      <c r="L199" s="94">
        <f t="shared" si="31"/>
        <v>262.34894882233488</v>
      </c>
      <c r="M199" s="327">
        <f t="shared" si="30"/>
        <v>262.34228215566822</v>
      </c>
      <c r="N199" s="94">
        <f t="shared" si="13"/>
        <v>262.81859612774963</v>
      </c>
      <c r="O199" s="1">
        <f t="shared" si="14"/>
        <v>262.92399999999998</v>
      </c>
      <c r="P199" s="332">
        <f t="shared" si="15"/>
        <v>0.1054038722503492</v>
      </c>
      <c r="Q199" s="332">
        <f t="shared" si="16"/>
        <v>1.663435688663581</v>
      </c>
      <c r="R199" s="1" t="str">
        <f t="shared" si="17"/>
        <v>OK</v>
      </c>
      <c r="S199" s="13">
        <f t="shared" si="18"/>
        <v>672.68905250044338</v>
      </c>
      <c r="T199" s="192">
        <f t="shared" si="7"/>
        <v>0.1634973991690265</v>
      </c>
      <c r="U199" s="13">
        <f t="shared" si="19"/>
        <v>0.57505117766510239</v>
      </c>
      <c r="V199" s="13">
        <f t="shared" si="20"/>
        <v>0.58171784433176299</v>
      </c>
      <c r="W199" s="13">
        <f t="shared" si="21"/>
        <v>2.3251599302036032</v>
      </c>
      <c r="X199" s="13">
        <f t="shared" si="22"/>
        <v>1.6501023553302048</v>
      </c>
      <c r="Y199" s="13">
        <f t="shared" si="23"/>
        <v>1.6567690219968654</v>
      </c>
      <c r="Z199" s="13">
        <f t="shared" si="24"/>
        <v>3.0910472288328616</v>
      </c>
      <c r="AA199" s="13">
        <f t="shared" si="25"/>
        <v>3.1186044903105623</v>
      </c>
      <c r="AC199" s="103"/>
      <c r="AD199" s="103"/>
      <c r="AE199" s="339">
        <f t="shared" si="26"/>
        <v>0.62372089806211251</v>
      </c>
      <c r="AF199">
        <f t="shared" si="27"/>
        <v>1.91</v>
      </c>
      <c r="AG199">
        <f t="shared" si="28"/>
        <v>0.191</v>
      </c>
      <c r="AH199">
        <f t="shared" si="29"/>
        <v>0.95500000000000007</v>
      </c>
    </row>
    <row r="200" spans="1:34" x14ac:dyDescent="0.45">
      <c r="A200" s="1">
        <v>8</v>
      </c>
      <c r="B200" s="1">
        <v>84</v>
      </c>
      <c r="C200" s="1" t="s">
        <v>1058</v>
      </c>
      <c r="D200" s="76">
        <v>25</v>
      </c>
      <c r="E200" s="126">
        <f t="shared" si="8"/>
        <v>821.08270000000005</v>
      </c>
      <c r="F200" s="216">
        <v>0.6</v>
      </c>
      <c r="G200" s="215">
        <f t="shared" si="9"/>
        <v>1.7431535329954588</v>
      </c>
      <c r="H200" s="217">
        <f t="shared" si="10"/>
        <v>0.57157676649772948</v>
      </c>
      <c r="I200" s="215">
        <f t="shared" si="11"/>
        <v>0.51961524227066314</v>
      </c>
      <c r="J200" s="93">
        <f t="shared" si="6"/>
        <v>1.3333333333333333E-3</v>
      </c>
      <c r="K200" s="1">
        <f t="shared" si="12"/>
        <v>262.92399999999998</v>
      </c>
      <c r="L200" s="94">
        <f t="shared" si="31"/>
        <v>262.34228215566822</v>
      </c>
      <c r="M200" s="327">
        <f t="shared" si="30"/>
        <v>262.30894882233486</v>
      </c>
      <c r="N200" s="94">
        <f t="shared" si="13"/>
        <v>262.8805255888326</v>
      </c>
      <c r="O200" s="1">
        <f t="shared" si="14"/>
        <v>262.92399999999998</v>
      </c>
      <c r="P200" s="332">
        <f t="shared" si="15"/>
        <v>4.3474411167380822E-2</v>
      </c>
      <c r="Q200" s="332">
        <f t="shared" si="16"/>
        <v>1.8301023553302205</v>
      </c>
      <c r="R200" s="1" t="str">
        <f t="shared" si="17"/>
        <v>OK</v>
      </c>
      <c r="S200" s="13">
        <f t="shared" si="18"/>
        <v>1093.8665686523198</v>
      </c>
      <c r="T200" s="192">
        <f t="shared" si="7"/>
        <v>0.33222459644116203</v>
      </c>
      <c r="U200" s="13">
        <f t="shared" si="19"/>
        <v>0.58171784433176299</v>
      </c>
      <c r="V200" s="13">
        <f t="shared" si="20"/>
        <v>0.61505117766512285</v>
      </c>
      <c r="W200" s="13">
        <f t="shared" si="21"/>
        <v>16.741151497465943</v>
      </c>
      <c r="X200" s="13">
        <f t="shared" si="22"/>
        <v>1.7634356886635261</v>
      </c>
      <c r="Y200" s="13">
        <f t="shared" si="23"/>
        <v>1.7967690219968859</v>
      </c>
      <c r="Z200" s="13">
        <f t="shared" si="24"/>
        <v>17.185658925326276</v>
      </c>
      <c r="AA200" s="13">
        <f t="shared" si="25"/>
        <v>17.927368240047787</v>
      </c>
      <c r="AC200" s="103"/>
      <c r="AD200" s="103"/>
      <c r="AE200" s="339">
        <f t="shared" si="26"/>
        <v>0.71709472960191145</v>
      </c>
      <c r="AF200">
        <f t="shared" si="27"/>
        <v>2.2919999999999998</v>
      </c>
      <c r="AG200">
        <f t="shared" si="28"/>
        <v>0.22919999999999999</v>
      </c>
      <c r="AH200">
        <f t="shared" si="29"/>
        <v>5.7299999999999995</v>
      </c>
    </row>
    <row r="201" spans="1:34" x14ac:dyDescent="0.45">
      <c r="A201" s="1">
        <v>9.1</v>
      </c>
      <c r="B201" s="1">
        <v>89</v>
      </c>
      <c r="C201" s="1">
        <v>88</v>
      </c>
      <c r="D201" s="76">
        <v>38</v>
      </c>
      <c r="E201" s="126">
        <f t="shared" si="8"/>
        <v>30.577749999999998</v>
      </c>
      <c r="F201" s="216">
        <v>0.2</v>
      </c>
      <c r="G201" s="215">
        <f t="shared" si="9"/>
        <v>0.58105117766515302</v>
      </c>
      <c r="H201" s="217">
        <f t="shared" si="10"/>
        <v>0.19052558883257653</v>
      </c>
      <c r="I201" s="215">
        <f t="shared" si="11"/>
        <v>0.17320508075688773</v>
      </c>
      <c r="J201" s="93">
        <f t="shared" si="6"/>
        <v>1.3333333333333333E-3</v>
      </c>
      <c r="K201" s="1">
        <f t="shared" si="12"/>
        <v>263.41399999999999</v>
      </c>
      <c r="L201" s="329">
        <f>K201-H201-0.44</f>
        <v>262.78347441116739</v>
      </c>
      <c r="M201" s="328">
        <f t="shared" si="30"/>
        <v>262.73280774450075</v>
      </c>
      <c r="N201" s="94">
        <f t="shared" si="13"/>
        <v>262.92333333333335</v>
      </c>
      <c r="O201" s="1">
        <f t="shared" si="14"/>
        <v>262.92399999999998</v>
      </c>
      <c r="P201" s="332">
        <f t="shared" si="15"/>
        <v>6.6666666663195429E-4</v>
      </c>
      <c r="Q201" s="332">
        <f t="shared" si="16"/>
        <v>0.58238451099841693</v>
      </c>
      <c r="R201" s="1" t="str">
        <f t="shared" si="17"/>
        <v>OK</v>
      </c>
      <c r="S201" s="13">
        <f t="shared" si="18"/>
        <v>58.430688467127666</v>
      </c>
      <c r="T201" s="192">
        <f t="shared" si="7"/>
        <v>0.91088907676750808</v>
      </c>
      <c r="U201" s="13">
        <f t="shared" si="19"/>
        <v>0.63052558883259735</v>
      </c>
      <c r="V201" s="13">
        <f t="shared" si="20"/>
        <v>0.19119225549923158</v>
      </c>
      <c r="W201" s="13">
        <f t="shared" si="21"/>
        <v>2.8273944751275821</v>
      </c>
      <c r="X201" s="13">
        <f t="shared" si="22"/>
        <v>0.58238451099846311</v>
      </c>
      <c r="Y201" s="13">
        <f t="shared" si="23"/>
        <v>1.0217178443318289</v>
      </c>
      <c r="Z201" s="13">
        <f t="shared" si="24"/>
        <v>2.842131327183731</v>
      </c>
      <c r="AA201" s="13">
        <f t="shared" si="25"/>
        <v>9.5371198575477543</v>
      </c>
      <c r="AC201" s="103"/>
      <c r="AD201" s="103"/>
      <c r="AE201" s="339">
        <f t="shared" si="26"/>
        <v>0.25097683835651985</v>
      </c>
      <c r="AF201">
        <f t="shared" si="27"/>
        <v>0.76400000000000001</v>
      </c>
      <c r="AG201">
        <f t="shared" si="28"/>
        <v>7.640000000000001E-2</v>
      </c>
      <c r="AH201">
        <f t="shared" si="29"/>
        <v>2.9032000000000004</v>
      </c>
    </row>
    <row r="202" spans="1:34" x14ac:dyDescent="0.45">
      <c r="A202" s="1">
        <v>9.1</v>
      </c>
      <c r="B202" s="1">
        <v>88</v>
      </c>
      <c r="C202" s="1">
        <v>87</v>
      </c>
      <c r="D202" s="76">
        <v>36</v>
      </c>
      <c r="E202" s="126">
        <f t="shared" si="8"/>
        <v>30.577749999999998</v>
      </c>
      <c r="F202" s="216">
        <v>0.2</v>
      </c>
      <c r="G202" s="215">
        <f t="shared" si="9"/>
        <v>0.58105117766515302</v>
      </c>
      <c r="H202" s="217">
        <f t="shared" si="10"/>
        <v>0.19052558883257653</v>
      </c>
      <c r="I202" s="215">
        <f t="shared" si="11"/>
        <v>0.17320508075688773</v>
      </c>
      <c r="J202" s="93">
        <f t="shared" si="6"/>
        <v>1.3333333333333333E-3</v>
      </c>
      <c r="K202" s="1">
        <f t="shared" si="12"/>
        <v>262.92399999999998</v>
      </c>
      <c r="L202" s="329">
        <f>_xlfn.MINIFS($M$155:$M$239,$C$155:$C$239,B202)</f>
        <v>262.73280774450075</v>
      </c>
      <c r="M202" s="328">
        <f t="shared" si="30"/>
        <v>262.68480774450074</v>
      </c>
      <c r="N202" s="94">
        <f t="shared" si="13"/>
        <v>262.87533333333334</v>
      </c>
      <c r="O202" s="1">
        <f t="shared" si="14"/>
        <v>262.92399999999998</v>
      </c>
      <c r="P202" s="332">
        <f t="shared" si="15"/>
        <v>4.8666666666633773E-2</v>
      </c>
      <c r="Q202" s="332">
        <f t="shared" si="16"/>
        <v>0.67838451099842056</v>
      </c>
      <c r="R202" s="1" t="str">
        <f t="shared" si="17"/>
        <v>OK</v>
      </c>
      <c r="S202" s="13">
        <f t="shared" si="18"/>
        <v>58.430688467127666</v>
      </c>
      <c r="T202" s="192">
        <f t="shared" si="7"/>
        <v>0.91088907676750808</v>
      </c>
      <c r="U202" s="13">
        <f t="shared" si="19"/>
        <v>0.19119225549923158</v>
      </c>
      <c r="V202" s="13">
        <f t="shared" si="20"/>
        <v>0.2391922554992334</v>
      </c>
      <c r="W202" s="13">
        <f t="shared" si="21"/>
        <v>2.6785842395945512</v>
      </c>
      <c r="X202" s="13">
        <f t="shared" si="22"/>
        <v>0.58238451099846311</v>
      </c>
      <c r="Y202" s="13">
        <f t="shared" si="23"/>
        <v>0.63038451099846493</v>
      </c>
      <c r="Z202" s="13">
        <f t="shared" si="24"/>
        <v>2.6925454678582716</v>
      </c>
      <c r="AA202" s="13">
        <f t="shared" si="25"/>
        <v>3.2164616853609642</v>
      </c>
      <c r="AC202" s="103"/>
      <c r="AD202" s="103"/>
      <c r="AE202" s="339">
        <f t="shared" si="26"/>
        <v>8.9346157926693454E-2</v>
      </c>
      <c r="AF202">
        <f t="shared" si="27"/>
        <v>0.76400000000000001</v>
      </c>
      <c r="AG202">
        <f t="shared" si="28"/>
        <v>7.640000000000001E-2</v>
      </c>
      <c r="AH202">
        <f t="shared" si="29"/>
        <v>2.7504000000000004</v>
      </c>
    </row>
    <row r="203" spans="1:34" x14ac:dyDescent="0.45">
      <c r="A203" s="1">
        <v>9.1999999999999993</v>
      </c>
      <c r="B203" s="1">
        <v>85</v>
      </c>
      <c r="C203" s="1">
        <v>86</v>
      </c>
      <c r="D203" s="76">
        <v>78</v>
      </c>
      <c r="E203" s="126">
        <f t="shared" si="8"/>
        <v>180.55374999999998</v>
      </c>
      <c r="F203" s="216">
        <v>0.4</v>
      </c>
      <c r="G203" s="215">
        <f t="shared" si="9"/>
        <v>1.162102355330306</v>
      </c>
      <c r="H203" s="217">
        <f t="shared" si="10"/>
        <v>0.38105117766515306</v>
      </c>
      <c r="I203" s="215">
        <f t="shared" si="11"/>
        <v>0.34641016151377546</v>
      </c>
      <c r="J203" s="93">
        <f t="shared" si="6"/>
        <v>1.3333333333333333E-3</v>
      </c>
      <c r="K203" s="1">
        <f t="shared" si="12"/>
        <v>262.904</v>
      </c>
      <c r="L203" s="94">
        <f>K203-H203</f>
        <v>262.52294882233485</v>
      </c>
      <c r="M203" s="327">
        <f t="shared" si="30"/>
        <v>262.41894882233487</v>
      </c>
      <c r="N203" s="94">
        <f t="shared" si="13"/>
        <v>262.8</v>
      </c>
      <c r="O203" s="1">
        <f t="shared" si="14"/>
        <v>262.91399999999999</v>
      </c>
      <c r="P203" s="332">
        <f t="shared" si="15"/>
        <v>0.1139999999999759</v>
      </c>
      <c r="Q203" s="332">
        <f t="shared" si="16"/>
        <v>1.3901023553302578</v>
      </c>
      <c r="R203" s="1" t="str">
        <f t="shared" si="17"/>
        <v>OK</v>
      </c>
      <c r="S203" s="13">
        <f t="shared" si="18"/>
        <v>371.01174535977839</v>
      </c>
      <c r="T203" s="192">
        <f t="shared" si="7"/>
        <v>1.0548548305409244</v>
      </c>
      <c r="U203" s="13">
        <f t="shared" si="19"/>
        <v>0.3810511776651424</v>
      </c>
      <c r="V203" s="13">
        <f t="shared" si="20"/>
        <v>0.4950511776651183</v>
      </c>
      <c r="W203" s="13">
        <f t="shared" si="21"/>
        <v>23.214396743152779</v>
      </c>
      <c r="X203" s="13">
        <f t="shared" si="22"/>
        <v>1.1621023553302847</v>
      </c>
      <c r="Y203" s="13">
        <f t="shared" si="23"/>
        <v>1.2761023553302606</v>
      </c>
      <c r="Z203" s="13">
        <f t="shared" si="24"/>
        <v>23.214396743151813</v>
      </c>
      <c r="AA203" s="13">
        <f t="shared" si="25"/>
        <v>28.634525814949061</v>
      </c>
      <c r="AC203" s="103"/>
      <c r="AD203" s="103"/>
      <c r="AE203" s="339">
        <f t="shared" si="26"/>
        <v>0.36710930531985975</v>
      </c>
      <c r="AF203">
        <f t="shared" si="27"/>
        <v>1.528</v>
      </c>
      <c r="AG203">
        <f t="shared" si="28"/>
        <v>0.15280000000000002</v>
      </c>
      <c r="AH203">
        <f t="shared" si="29"/>
        <v>11.918400000000002</v>
      </c>
    </row>
    <row r="204" spans="1:34" x14ac:dyDescent="0.45">
      <c r="A204" s="1">
        <v>9.1999999999999993</v>
      </c>
      <c r="B204" s="1">
        <v>86</v>
      </c>
      <c r="C204" s="1">
        <v>87</v>
      </c>
      <c r="D204" s="76">
        <v>24</v>
      </c>
      <c r="E204" s="126">
        <f t="shared" si="8"/>
        <v>191.85274999999999</v>
      </c>
      <c r="F204" s="216">
        <v>0.4</v>
      </c>
      <c r="G204" s="215">
        <f t="shared" si="9"/>
        <v>1.162102355330306</v>
      </c>
      <c r="H204" s="217">
        <f t="shared" si="10"/>
        <v>0.38105117766515306</v>
      </c>
      <c r="I204" s="215">
        <f t="shared" si="11"/>
        <v>0.34641016151377546</v>
      </c>
      <c r="J204" s="93">
        <f t="shared" si="6"/>
        <v>1.3333333333333333E-3</v>
      </c>
      <c r="K204" s="1">
        <f t="shared" si="12"/>
        <v>262.91399999999999</v>
      </c>
      <c r="L204" s="94">
        <f t="shared" si="31"/>
        <v>262.41894882233487</v>
      </c>
      <c r="M204" s="327">
        <f t="shared" si="30"/>
        <v>262.38694882233489</v>
      </c>
      <c r="N204" s="94">
        <f t="shared" si="13"/>
        <v>262.76800000000003</v>
      </c>
      <c r="O204" s="1">
        <f t="shared" si="14"/>
        <v>262.92399999999998</v>
      </c>
      <c r="P204" s="332">
        <f t="shared" si="15"/>
        <v>0.15599999999994907</v>
      </c>
      <c r="Q204" s="332">
        <f t="shared" si="16"/>
        <v>1.4741023553302042</v>
      </c>
      <c r="R204" s="1" t="str">
        <f t="shared" si="17"/>
        <v>OK</v>
      </c>
      <c r="S204" s="13">
        <f t="shared" si="18"/>
        <v>371.01174535977839</v>
      </c>
      <c r="T204" s="192">
        <f t="shared" si="7"/>
        <v>0.93383595158150412</v>
      </c>
      <c r="U204" s="13">
        <f t="shared" si="19"/>
        <v>0.4950511776651183</v>
      </c>
      <c r="V204" s="13">
        <f t="shared" si="20"/>
        <v>0.53705117766509147</v>
      </c>
      <c r="W204" s="13">
        <f t="shared" si="21"/>
        <v>7.1428913055854704</v>
      </c>
      <c r="X204" s="13">
        <f t="shared" si="22"/>
        <v>1.3901023553302365</v>
      </c>
      <c r="Y204" s="13">
        <f t="shared" si="23"/>
        <v>1.4321023553302097</v>
      </c>
      <c r="Z204" s="13">
        <f t="shared" si="24"/>
        <v>10.634307349768029</v>
      </c>
      <c r="AA204" s="13">
        <f t="shared" si="25"/>
        <v>11.345502936854007</v>
      </c>
      <c r="AC204" s="103"/>
      <c r="AD204" s="103"/>
      <c r="AE204" s="339">
        <f t="shared" si="26"/>
        <v>0.47272928903558364</v>
      </c>
      <c r="AF204">
        <f t="shared" si="27"/>
        <v>1.528</v>
      </c>
      <c r="AG204">
        <f t="shared" si="28"/>
        <v>0.15280000000000002</v>
      </c>
      <c r="AH204">
        <f t="shared" si="29"/>
        <v>3.6672000000000002</v>
      </c>
    </row>
    <row r="205" spans="1:34" x14ac:dyDescent="0.45">
      <c r="A205" s="1">
        <v>9</v>
      </c>
      <c r="B205" s="1">
        <v>87</v>
      </c>
      <c r="C205" s="1" t="s">
        <v>1059</v>
      </c>
      <c r="D205" s="76">
        <v>25</v>
      </c>
      <c r="E205" s="126">
        <f t="shared" si="8"/>
        <v>222.43049999999999</v>
      </c>
      <c r="F205" s="216">
        <v>0.4</v>
      </c>
      <c r="G205" s="215">
        <f t="shared" si="9"/>
        <v>1.162102355330306</v>
      </c>
      <c r="H205" s="217">
        <f t="shared" si="10"/>
        <v>0.38105117766515306</v>
      </c>
      <c r="I205" s="215">
        <f t="shared" si="11"/>
        <v>0.34641016151377546</v>
      </c>
      <c r="J205" s="93">
        <f t="shared" si="6"/>
        <v>1.3333333333333333E-3</v>
      </c>
      <c r="K205" s="1">
        <f t="shared" si="12"/>
        <v>262.92399999999998</v>
      </c>
      <c r="L205" s="94">
        <f t="shared" si="31"/>
        <v>262.38694882233489</v>
      </c>
      <c r="M205" s="327">
        <f t="shared" si="30"/>
        <v>262.35361548900153</v>
      </c>
      <c r="N205" s="94">
        <f t="shared" si="13"/>
        <v>262.73466666666667</v>
      </c>
      <c r="O205" s="1">
        <f t="shared" si="14"/>
        <v>262.92399999999998</v>
      </c>
      <c r="P205" s="332">
        <f t="shared" si="15"/>
        <v>0.18933333333330893</v>
      </c>
      <c r="Q205" s="332">
        <f t="shared" si="16"/>
        <v>1.5407690219969239</v>
      </c>
      <c r="R205" s="1" t="str">
        <f t="shared" si="17"/>
        <v>OK</v>
      </c>
      <c r="S205" s="13">
        <f t="shared" si="18"/>
        <v>371.01174535977839</v>
      </c>
      <c r="T205" s="192">
        <f t="shared" si="7"/>
        <v>0.66798953093113755</v>
      </c>
      <c r="U205" s="13">
        <f t="shared" si="19"/>
        <v>0.53705117766509147</v>
      </c>
      <c r="V205" s="13">
        <f t="shared" si="20"/>
        <v>0.57038451099845133</v>
      </c>
      <c r="W205" s="13">
        <f t="shared" si="21"/>
        <v>7.4405117766515314</v>
      </c>
      <c r="X205" s="13">
        <f t="shared" si="22"/>
        <v>1.4741023553301829</v>
      </c>
      <c r="Y205" s="13">
        <f t="shared" si="23"/>
        <v>1.5074356886635427</v>
      </c>
      <c r="Z205" s="13">
        <f t="shared" si="24"/>
        <v>12.581110962437455</v>
      </c>
      <c r="AA205" s="13">
        <f t="shared" si="25"/>
        <v>13.20226472160331</v>
      </c>
      <c r="AC205" s="103"/>
      <c r="AD205" s="103"/>
      <c r="AE205" s="339">
        <f t="shared" si="26"/>
        <v>0.5280905888641324</v>
      </c>
      <c r="AF205">
        <f t="shared" si="27"/>
        <v>1.528</v>
      </c>
      <c r="AG205">
        <f t="shared" si="28"/>
        <v>0.15280000000000002</v>
      </c>
      <c r="AH205">
        <f t="shared" si="29"/>
        <v>3.8200000000000003</v>
      </c>
    </row>
    <row r="206" spans="1:34" x14ac:dyDescent="0.45">
      <c r="A206" s="1">
        <v>10.1</v>
      </c>
      <c r="B206" s="1">
        <v>64</v>
      </c>
      <c r="C206" s="1">
        <v>65</v>
      </c>
      <c r="D206" s="76">
        <v>86</v>
      </c>
      <c r="E206" s="126">
        <f t="shared" si="8"/>
        <v>235.45575000000002</v>
      </c>
      <c r="F206" s="216">
        <v>0.4</v>
      </c>
      <c r="G206" s="215">
        <f t="shared" si="9"/>
        <v>1.162102355330306</v>
      </c>
      <c r="H206" s="217">
        <f t="shared" si="10"/>
        <v>0.38105117766515306</v>
      </c>
      <c r="I206" s="215">
        <f t="shared" si="11"/>
        <v>0.34641016151377546</v>
      </c>
      <c r="J206" s="93">
        <f t="shared" si="6"/>
        <v>1.3333333333333333E-3</v>
      </c>
      <c r="K206" s="1">
        <f t="shared" si="12"/>
        <v>263</v>
      </c>
      <c r="L206" s="94">
        <f>K206-H206</f>
        <v>262.61894882233486</v>
      </c>
      <c r="M206" s="327">
        <f t="shared" si="30"/>
        <v>262.50428215566819</v>
      </c>
      <c r="N206" s="94">
        <f t="shared" si="13"/>
        <v>262.88533333333334</v>
      </c>
      <c r="O206" s="1">
        <f t="shared" si="14"/>
        <v>263.10000000000002</v>
      </c>
      <c r="P206" s="332">
        <f t="shared" si="15"/>
        <v>0.21466666666668743</v>
      </c>
      <c r="Q206" s="332">
        <f t="shared" si="16"/>
        <v>1.5914356886636809</v>
      </c>
      <c r="R206" s="1" t="str">
        <f t="shared" si="17"/>
        <v>OK</v>
      </c>
      <c r="S206" s="13">
        <f t="shared" si="18"/>
        <v>371.01174535977839</v>
      </c>
      <c r="T206" s="192">
        <f t="shared" si="7"/>
        <v>0.57571749834004204</v>
      </c>
      <c r="U206" s="13">
        <f t="shared" si="19"/>
        <v>0.3810511776651424</v>
      </c>
      <c r="V206" s="13">
        <f t="shared" si="20"/>
        <v>0.59571784433182984</v>
      </c>
      <c r="W206" s="13">
        <f t="shared" si="21"/>
        <v>25.595360511681267</v>
      </c>
      <c r="X206" s="13">
        <f t="shared" si="22"/>
        <v>1.1621023553302847</v>
      </c>
      <c r="Y206" s="13">
        <f t="shared" si="23"/>
        <v>1.3767690219969722</v>
      </c>
      <c r="Z206" s="13">
        <f t="shared" si="24"/>
        <v>25.595360511680205</v>
      </c>
      <c r="AA206" s="13">
        <f t="shared" si="25"/>
        <v>37.313098208505735</v>
      </c>
      <c r="AC206" s="103"/>
      <c r="AD206" s="103"/>
      <c r="AE206" s="339">
        <f t="shared" si="26"/>
        <v>0.43387323498262481</v>
      </c>
      <c r="AF206">
        <f t="shared" si="27"/>
        <v>1.528</v>
      </c>
      <c r="AG206">
        <f t="shared" si="28"/>
        <v>0.15280000000000002</v>
      </c>
      <c r="AH206">
        <f t="shared" si="29"/>
        <v>13.140800000000002</v>
      </c>
    </row>
    <row r="207" spans="1:34" x14ac:dyDescent="0.45">
      <c r="A207" s="1">
        <v>10.1</v>
      </c>
      <c r="B207" s="1">
        <v>65</v>
      </c>
      <c r="C207" s="1">
        <v>66</v>
      </c>
      <c r="D207" s="76">
        <v>5</v>
      </c>
      <c r="E207" s="126">
        <f t="shared" si="8"/>
        <v>235.45575000000002</v>
      </c>
      <c r="F207" s="216">
        <v>0.4</v>
      </c>
      <c r="G207" s="215">
        <f t="shared" si="9"/>
        <v>1.162102355330306</v>
      </c>
      <c r="H207" s="217">
        <f t="shared" si="10"/>
        <v>0.38105117766515306</v>
      </c>
      <c r="I207" s="215">
        <f t="shared" si="11"/>
        <v>0.34641016151377546</v>
      </c>
      <c r="J207" s="93">
        <f t="shared" si="6"/>
        <v>1.3333333333333333E-3</v>
      </c>
      <c r="K207" s="1">
        <f t="shared" si="12"/>
        <v>263.10000000000002</v>
      </c>
      <c r="L207" s="94">
        <f t="shared" si="31"/>
        <v>262.50428215566819</v>
      </c>
      <c r="M207" s="327">
        <f t="shared" si="30"/>
        <v>262.49761548900153</v>
      </c>
      <c r="N207" s="94">
        <f t="shared" si="13"/>
        <v>262.87866666666667</v>
      </c>
      <c r="O207" s="1">
        <f t="shared" si="14"/>
        <v>263.10000000000002</v>
      </c>
      <c r="P207" s="332">
        <f t="shared" si="15"/>
        <v>0.22133333333334804</v>
      </c>
      <c r="Q207" s="332">
        <f t="shared" si="16"/>
        <v>1.6047690219970021</v>
      </c>
      <c r="R207" s="1" t="str">
        <f t="shared" si="17"/>
        <v>OK</v>
      </c>
      <c r="S207" s="13">
        <f t="shared" si="18"/>
        <v>371.01174535977839</v>
      </c>
      <c r="T207" s="192">
        <f t="shared" si="7"/>
        <v>0.57571749834004204</v>
      </c>
      <c r="U207" s="13">
        <f t="shared" si="19"/>
        <v>0.59571784433182984</v>
      </c>
      <c r="V207" s="13">
        <f t="shared" si="20"/>
        <v>0.60238451099849044</v>
      </c>
      <c r="W207" s="13">
        <f t="shared" si="21"/>
        <v>1.4881023553303063</v>
      </c>
      <c r="X207" s="13">
        <f t="shared" si="22"/>
        <v>1.5914356886636596</v>
      </c>
      <c r="Y207" s="13">
        <f t="shared" si="23"/>
        <v>1.5981023553303202</v>
      </c>
      <c r="Z207" s="13">
        <f t="shared" si="24"/>
        <v>2.9658344389404712</v>
      </c>
      <c r="AA207" s="13">
        <f t="shared" si="25"/>
        <v>2.992413922640397</v>
      </c>
      <c r="AC207" s="103"/>
      <c r="AD207" s="103"/>
      <c r="AE207" s="339">
        <f t="shared" si="26"/>
        <v>0.59848278452807935</v>
      </c>
      <c r="AF207">
        <f t="shared" si="27"/>
        <v>1.528</v>
      </c>
      <c r="AG207">
        <f t="shared" si="28"/>
        <v>0.15280000000000002</v>
      </c>
      <c r="AH207">
        <f t="shared" si="29"/>
        <v>0.76400000000000012</v>
      </c>
    </row>
    <row r="208" spans="1:34" x14ac:dyDescent="0.45">
      <c r="A208" s="1">
        <v>10.199999999999999</v>
      </c>
      <c r="B208" s="1">
        <v>62</v>
      </c>
      <c r="C208" s="1">
        <v>63</v>
      </c>
      <c r="D208" s="76">
        <v>39</v>
      </c>
      <c r="E208" s="126">
        <f t="shared" si="8"/>
        <v>98.76124999999999</v>
      </c>
      <c r="F208" s="216">
        <v>0.3</v>
      </c>
      <c r="G208" s="215">
        <f t="shared" si="9"/>
        <v>0.87157676649772942</v>
      </c>
      <c r="H208" s="217">
        <f t="shared" si="10"/>
        <v>0.28578838324886474</v>
      </c>
      <c r="I208" s="215">
        <f t="shared" si="11"/>
        <v>0.25980762113533157</v>
      </c>
      <c r="J208" s="93">
        <f t="shared" si="6"/>
        <v>1.3333333333333333E-3</v>
      </c>
      <c r="K208" s="1">
        <f t="shared" si="12"/>
        <v>263.154</v>
      </c>
      <c r="L208" s="94">
        <f>K208-H208</f>
        <v>262.86821161675113</v>
      </c>
      <c r="M208" s="381">
        <f>L208-D208*J208-0.003</f>
        <v>262.81321161675112</v>
      </c>
      <c r="N208" s="94">
        <f t="shared" si="13"/>
        <v>263.09899999999999</v>
      </c>
      <c r="O208" s="1">
        <f t="shared" si="14"/>
        <v>263.10000000000002</v>
      </c>
      <c r="P208" s="332">
        <f t="shared" si="15"/>
        <v>1.0000000000331966E-3</v>
      </c>
      <c r="Q208" s="332">
        <f t="shared" si="16"/>
        <v>0.87357676649779581</v>
      </c>
      <c r="R208" s="1" t="str">
        <f t="shared" si="17"/>
        <v>OK</v>
      </c>
      <c r="S208" s="13">
        <f t="shared" si="18"/>
        <v>172.27318945266666</v>
      </c>
      <c r="T208" s="192">
        <f t="shared" si="7"/>
        <v>0.7443399051011067</v>
      </c>
      <c r="U208" s="13">
        <f t="shared" si="19"/>
        <v>0.28578838324887101</v>
      </c>
      <c r="V208" s="13">
        <f t="shared" si="20"/>
        <v>0.28678838324890421</v>
      </c>
      <c r="W208" s="13">
        <f t="shared" si="21"/>
        <v>6.5290490840117172</v>
      </c>
      <c r="X208" s="13">
        <f t="shared" si="22"/>
        <v>0.87157676649774207</v>
      </c>
      <c r="Y208" s="13">
        <f t="shared" si="23"/>
        <v>0.87257676649777527</v>
      </c>
      <c r="Z208" s="13">
        <f t="shared" si="24"/>
        <v>6.5290490840119304</v>
      </c>
      <c r="AA208" s="13">
        <f t="shared" si="25"/>
        <v>6.5460545809592006</v>
      </c>
      <c r="AC208" s="103"/>
      <c r="AD208" s="103"/>
      <c r="AE208" s="339">
        <f t="shared" si="26"/>
        <v>0.16784755335792823</v>
      </c>
      <c r="AF208">
        <f t="shared" si="27"/>
        <v>1.1459999999999999</v>
      </c>
      <c r="AG208">
        <f t="shared" si="28"/>
        <v>0.11459999999999999</v>
      </c>
      <c r="AH208">
        <f t="shared" si="29"/>
        <v>4.4693999999999994</v>
      </c>
    </row>
    <row r="209" spans="1:34" x14ac:dyDescent="0.45">
      <c r="A209" s="1">
        <v>10.199999999999999</v>
      </c>
      <c r="B209" s="1">
        <v>63</v>
      </c>
      <c r="C209" s="1">
        <v>66</v>
      </c>
      <c r="D209" s="76">
        <v>5</v>
      </c>
      <c r="E209" s="126">
        <f t="shared" si="8"/>
        <v>98.76124999999999</v>
      </c>
      <c r="F209" s="216">
        <v>0.3</v>
      </c>
      <c r="G209" s="215">
        <f t="shared" si="9"/>
        <v>0.87157676649772942</v>
      </c>
      <c r="H209" s="217">
        <f t="shared" si="10"/>
        <v>0.28578838324886474</v>
      </c>
      <c r="I209" s="215">
        <f t="shared" si="11"/>
        <v>0.25980762113533157</v>
      </c>
      <c r="J209" s="93">
        <f t="shared" si="6"/>
        <v>1.3333333333333333E-3</v>
      </c>
      <c r="K209" s="1">
        <f t="shared" si="12"/>
        <v>263.10000000000002</v>
      </c>
      <c r="L209" s="94">
        <f t="shared" si="31"/>
        <v>262.81321161675112</v>
      </c>
      <c r="M209" s="328">
        <f t="shared" si="30"/>
        <v>262.80654495008446</v>
      </c>
      <c r="N209" s="94">
        <f t="shared" si="13"/>
        <v>263.09233333333333</v>
      </c>
      <c r="O209" s="1">
        <f t="shared" si="14"/>
        <v>263.10000000000002</v>
      </c>
      <c r="P209" s="332">
        <f t="shared" si="15"/>
        <v>7.6666666666937999E-3</v>
      </c>
      <c r="Q209" s="332">
        <f t="shared" si="16"/>
        <v>0.88691009983111702</v>
      </c>
      <c r="R209" s="1" t="str">
        <f t="shared" si="17"/>
        <v>OK</v>
      </c>
      <c r="S209" s="13">
        <f t="shared" si="18"/>
        <v>172.27318945266666</v>
      </c>
      <c r="T209" s="192">
        <f t="shared" si="7"/>
        <v>0.7443399051011067</v>
      </c>
      <c r="U209" s="13">
        <f t="shared" si="19"/>
        <v>0.28678838324890421</v>
      </c>
      <c r="V209" s="13">
        <f t="shared" si="20"/>
        <v>0.29345504991556481</v>
      </c>
      <c r="W209" s="13">
        <f t="shared" si="21"/>
        <v>0.83705757487329713</v>
      </c>
      <c r="X209" s="13">
        <f t="shared" si="22"/>
        <v>0.87357676649780847</v>
      </c>
      <c r="Y209" s="13">
        <f t="shared" si="23"/>
        <v>0.88024343316446907</v>
      </c>
      <c r="Z209" s="13">
        <f t="shared" si="24"/>
        <v>0.84142045870595816</v>
      </c>
      <c r="AA209" s="13">
        <f t="shared" si="25"/>
        <v>0.85603562703646385</v>
      </c>
      <c r="AC209" s="103"/>
      <c r="AD209" s="103"/>
      <c r="AE209" s="339">
        <f t="shared" si="26"/>
        <v>0.17120712540729277</v>
      </c>
      <c r="AF209">
        <f t="shared" si="27"/>
        <v>1.1459999999999999</v>
      </c>
      <c r="AG209">
        <f t="shared" si="28"/>
        <v>0.11459999999999999</v>
      </c>
      <c r="AH209">
        <f t="shared" si="29"/>
        <v>0.57299999999999995</v>
      </c>
    </row>
    <row r="210" spans="1:34" x14ac:dyDescent="0.45">
      <c r="A210" s="1">
        <v>10.3</v>
      </c>
      <c r="B210" s="1">
        <v>60</v>
      </c>
      <c r="C210" s="1">
        <v>61</v>
      </c>
      <c r="D210" s="76">
        <v>48</v>
      </c>
      <c r="E210" s="126">
        <f t="shared" si="8"/>
        <v>144.07500000000002</v>
      </c>
      <c r="F210" s="216">
        <v>0.3</v>
      </c>
      <c r="G210" s="215">
        <f t="shared" si="9"/>
        <v>0.87157676649772942</v>
      </c>
      <c r="H210" s="217">
        <f t="shared" si="10"/>
        <v>0.28578838324886474</v>
      </c>
      <c r="I210" s="215">
        <f t="shared" si="11"/>
        <v>0.25980762113533157</v>
      </c>
      <c r="J210" s="93">
        <f t="shared" si="6"/>
        <v>1.3333333333333333E-3</v>
      </c>
      <c r="K210" s="1">
        <f t="shared" si="12"/>
        <v>263.154</v>
      </c>
      <c r="L210" s="94">
        <f>K210-H210</f>
        <v>262.86821161675113</v>
      </c>
      <c r="M210" s="328">
        <f t="shared" si="30"/>
        <v>262.8042116167511</v>
      </c>
      <c r="N210" s="94">
        <f t="shared" si="13"/>
        <v>263.08999999999997</v>
      </c>
      <c r="O210" s="1">
        <f t="shared" si="14"/>
        <v>263.10000000000002</v>
      </c>
      <c r="P210" s="332">
        <f t="shared" si="15"/>
        <v>1.0000000000047748E-2</v>
      </c>
      <c r="Q210" s="332">
        <f t="shared" si="16"/>
        <v>0.89157676649782491</v>
      </c>
      <c r="R210" s="1" t="str">
        <f t="shared" si="17"/>
        <v>OK</v>
      </c>
      <c r="S210" s="13">
        <f t="shared" si="18"/>
        <v>172.27318945266666</v>
      </c>
      <c r="T210" s="192">
        <f t="shared" si="7"/>
        <v>0.19571882320087897</v>
      </c>
      <c r="U210" s="13">
        <f t="shared" si="19"/>
        <v>0.28578838324887101</v>
      </c>
      <c r="V210" s="13">
        <f t="shared" si="20"/>
        <v>0.29578838324891876</v>
      </c>
      <c r="W210" s="13">
        <f t="shared" si="21"/>
        <v>8.0357527187836517</v>
      </c>
      <c r="X210" s="13">
        <f t="shared" si="22"/>
        <v>0.87157676649774207</v>
      </c>
      <c r="Y210" s="13">
        <f t="shared" si="23"/>
        <v>0.88157676649778982</v>
      </c>
      <c r="Z210" s="13">
        <f t="shared" si="24"/>
        <v>8.0357527187839146</v>
      </c>
      <c r="AA210" s="13">
        <f t="shared" si="25"/>
        <v>8.2461311427443817</v>
      </c>
      <c r="AC210" s="103"/>
      <c r="AD210" s="103"/>
      <c r="AE210" s="339">
        <f t="shared" si="26"/>
        <v>0.17179439880717462</v>
      </c>
      <c r="AF210">
        <f t="shared" si="27"/>
        <v>1.1459999999999999</v>
      </c>
      <c r="AG210">
        <f t="shared" si="28"/>
        <v>0.11459999999999999</v>
      </c>
      <c r="AH210">
        <f t="shared" si="29"/>
        <v>5.5007999999999999</v>
      </c>
    </row>
    <row r="211" spans="1:34" x14ac:dyDescent="0.45">
      <c r="A211" s="1">
        <v>10.4</v>
      </c>
      <c r="B211" s="1">
        <v>59</v>
      </c>
      <c r="C211" s="1">
        <v>61</v>
      </c>
      <c r="D211" s="76">
        <v>52</v>
      </c>
      <c r="E211" s="126">
        <f t="shared" si="8"/>
        <v>146.00075000000001</v>
      </c>
      <c r="F211" s="216">
        <v>0.3</v>
      </c>
      <c r="G211" s="215">
        <f t="shared" si="9"/>
        <v>0.87157676649772942</v>
      </c>
      <c r="H211" s="217">
        <f t="shared" si="10"/>
        <v>0.28578838324886474</v>
      </c>
      <c r="I211" s="215">
        <f t="shared" si="11"/>
        <v>0.25980762113533157</v>
      </c>
      <c r="J211" s="93">
        <f t="shared" si="6"/>
        <v>1.3333333333333333E-3</v>
      </c>
      <c r="K211" s="1">
        <f t="shared" si="12"/>
        <v>263.10000000000002</v>
      </c>
      <c r="L211" s="94">
        <f>K211-H211</f>
        <v>262.81421161675115</v>
      </c>
      <c r="M211" s="327">
        <f t="shared" si="30"/>
        <v>262.74487828341779</v>
      </c>
      <c r="N211" s="94">
        <f t="shared" si="13"/>
        <v>263.03066666666666</v>
      </c>
      <c r="O211" s="1">
        <f t="shared" si="14"/>
        <v>263.10000000000002</v>
      </c>
      <c r="P211" s="332">
        <f t="shared" si="15"/>
        <v>6.9333333333361225E-2</v>
      </c>
      <c r="Q211" s="332">
        <f t="shared" si="16"/>
        <v>1.0102434331644519</v>
      </c>
      <c r="R211" s="1" t="str">
        <f t="shared" si="17"/>
        <v>OK</v>
      </c>
      <c r="S211" s="13">
        <f t="shared" si="18"/>
        <v>172.27318945266666</v>
      </c>
      <c r="T211" s="192">
        <f t="shared" si="7"/>
        <v>0.17994729104245452</v>
      </c>
      <c r="U211" s="13">
        <f t="shared" si="19"/>
        <v>0.28578838324887101</v>
      </c>
      <c r="V211" s="13">
        <f t="shared" si="20"/>
        <v>0.35512171658223224</v>
      </c>
      <c r="W211" s="13">
        <f t="shared" si="21"/>
        <v>8.7053987786822891</v>
      </c>
      <c r="X211" s="13">
        <f t="shared" si="22"/>
        <v>0.87157676649774207</v>
      </c>
      <c r="Y211" s="13">
        <f t="shared" si="23"/>
        <v>0.9409100998311033</v>
      </c>
      <c r="Z211" s="13">
        <f t="shared" si="24"/>
        <v>8.7053987786825751</v>
      </c>
      <c r="AA211" s="13">
        <f t="shared" si="25"/>
        <v>10.339053607534296</v>
      </c>
      <c r="AC211" s="103"/>
      <c r="AD211" s="103"/>
      <c r="AE211" s="339">
        <f t="shared" si="26"/>
        <v>0.19882795399104417</v>
      </c>
      <c r="AF211">
        <f t="shared" si="27"/>
        <v>1.1459999999999999</v>
      </c>
      <c r="AG211">
        <f t="shared" si="28"/>
        <v>0.11459999999999999</v>
      </c>
      <c r="AH211">
        <f t="shared" si="29"/>
        <v>5.9592000000000001</v>
      </c>
    </row>
    <row r="212" spans="1:34" x14ac:dyDescent="0.45">
      <c r="A212" s="1">
        <v>10.5</v>
      </c>
      <c r="B212" s="1">
        <v>68</v>
      </c>
      <c r="C212" s="1">
        <v>69</v>
      </c>
      <c r="D212" s="76">
        <v>86</v>
      </c>
      <c r="E212" s="126">
        <f t="shared" si="8"/>
        <v>180.14974999999998</v>
      </c>
      <c r="F212" s="216">
        <v>0.4</v>
      </c>
      <c r="G212" s="215">
        <f t="shared" si="9"/>
        <v>1.162102355330306</v>
      </c>
      <c r="H212" s="217">
        <f t="shared" si="10"/>
        <v>0.38105117766515306</v>
      </c>
      <c r="I212" s="215">
        <f t="shared" si="11"/>
        <v>0.34641016151377546</v>
      </c>
      <c r="J212" s="93">
        <f t="shared" si="6"/>
        <v>1.3333333333333333E-3</v>
      </c>
      <c r="K212" s="1">
        <f t="shared" si="12"/>
        <v>263.19</v>
      </c>
      <c r="L212" s="94">
        <f>K212-H212</f>
        <v>262.80894882233486</v>
      </c>
      <c r="M212" s="327">
        <f t="shared" si="30"/>
        <v>262.69428215566819</v>
      </c>
      <c r="N212" s="94">
        <f t="shared" si="13"/>
        <v>263.07533333333333</v>
      </c>
      <c r="O212" s="1">
        <f t="shared" si="14"/>
        <v>263.19</v>
      </c>
      <c r="P212" s="332">
        <f t="shared" si="15"/>
        <v>0.1146666666666647</v>
      </c>
      <c r="Q212" s="332">
        <f t="shared" si="16"/>
        <v>1.3914356886636354</v>
      </c>
      <c r="R212" s="1" t="str">
        <f t="shared" si="17"/>
        <v>OK</v>
      </c>
      <c r="S212" s="13">
        <f t="shared" si="18"/>
        <v>371.01174535977839</v>
      </c>
      <c r="T212" s="192">
        <f t="shared" si="7"/>
        <v>1.0594630043049098</v>
      </c>
      <c r="U212" s="13">
        <f t="shared" si="19"/>
        <v>0.3810511776651424</v>
      </c>
      <c r="V212" s="13">
        <f t="shared" si="20"/>
        <v>0.4957178443318071</v>
      </c>
      <c r="W212" s="13">
        <f t="shared" si="21"/>
        <v>25.595360511681267</v>
      </c>
      <c r="X212" s="13">
        <f t="shared" si="22"/>
        <v>1.1621023553302847</v>
      </c>
      <c r="Y212" s="13">
        <f t="shared" si="23"/>
        <v>1.2767690219969494</v>
      </c>
      <c r="Z212" s="13">
        <f t="shared" si="24"/>
        <v>25.595360511680205</v>
      </c>
      <c r="AA212" s="13">
        <f t="shared" si="25"/>
        <v>31.60799141391751</v>
      </c>
      <c r="AC212" s="103"/>
      <c r="AD212" s="103"/>
      <c r="AE212" s="339">
        <f t="shared" si="26"/>
        <v>0.36753478388276173</v>
      </c>
      <c r="AF212">
        <f t="shared" si="27"/>
        <v>1.528</v>
      </c>
      <c r="AG212">
        <f t="shared" si="28"/>
        <v>0.15280000000000002</v>
      </c>
      <c r="AH212">
        <f t="shared" si="29"/>
        <v>13.140800000000002</v>
      </c>
    </row>
    <row r="213" spans="1:34" x14ac:dyDescent="0.45">
      <c r="A213" s="1">
        <v>10.5</v>
      </c>
      <c r="B213" s="1">
        <v>69</v>
      </c>
      <c r="C213" s="1">
        <v>67</v>
      </c>
      <c r="D213" s="76">
        <v>6</v>
      </c>
      <c r="E213" s="126">
        <f t="shared" si="8"/>
        <v>180.14974999999998</v>
      </c>
      <c r="F213" s="216">
        <v>0.4</v>
      </c>
      <c r="G213" s="215">
        <f t="shared" si="9"/>
        <v>1.162102355330306</v>
      </c>
      <c r="H213" s="217">
        <f t="shared" si="10"/>
        <v>0.38105117766515306</v>
      </c>
      <c r="I213" s="215">
        <f t="shared" si="11"/>
        <v>0.34641016151377546</v>
      </c>
      <c r="J213" s="93">
        <f t="shared" si="6"/>
        <v>1.3333333333333333E-3</v>
      </c>
      <c r="K213" s="1">
        <f t="shared" si="12"/>
        <v>263.19</v>
      </c>
      <c r="L213" s="94">
        <f t="shared" si="31"/>
        <v>262.69428215566819</v>
      </c>
      <c r="M213" s="328">
        <f t="shared" si="30"/>
        <v>262.68628215566821</v>
      </c>
      <c r="N213" s="94">
        <f t="shared" si="13"/>
        <v>263.06733333333335</v>
      </c>
      <c r="O213" s="1">
        <f t="shared" si="14"/>
        <v>263.19</v>
      </c>
      <c r="P213" s="332">
        <f t="shared" si="15"/>
        <v>0.12266666666664605</v>
      </c>
      <c r="Q213" s="332">
        <f t="shared" si="16"/>
        <v>1.4074356886635981</v>
      </c>
      <c r="R213" s="1" t="str">
        <f t="shared" si="17"/>
        <v>OK</v>
      </c>
      <c r="S213" s="13">
        <f t="shared" si="18"/>
        <v>371.01174535977839</v>
      </c>
      <c r="T213" s="192">
        <f t="shared" si="7"/>
        <v>1.0594630043049098</v>
      </c>
      <c r="U213" s="13">
        <f t="shared" si="19"/>
        <v>0.4957178443318071</v>
      </c>
      <c r="V213" s="13">
        <f t="shared" si="20"/>
        <v>0.50371784433178846</v>
      </c>
      <c r="W213" s="13">
        <f t="shared" si="21"/>
        <v>1.7857228263963676</v>
      </c>
      <c r="X213" s="13">
        <f t="shared" si="22"/>
        <v>1.3914356886636141</v>
      </c>
      <c r="Y213" s="13">
        <f t="shared" si="23"/>
        <v>1.3994356886635955</v>
      </c>
      <c r="Z213" s="13">
        <f t="shared" si="24"/>
        <v>2.6641399135301791</v>
      </c>
      <c r="AA213" s="13">
        <f t="shared" si="25"/>
        <v>2.697630370058028</v>
      </c>
      <c r="AC213" s="103"/>
      <c r="AD213" s="103"/>
      <c r="AE213" s="339">
        <f t="shared" si="26"/>
        <v>0.44960506167633801</v>
      </c>
      <c r="AF213">
        <f t="shared" si="27"/>
        <v>1.528</v>
      </c>
      <c r="AG213">
        <f t="shared" si="28"/>
        <v>0.15280000000000002</v>
      </c>
      <c r="AH213">
        <f t="shared" si="29"/>
        <v>0.91680000000000006</v>
      </c>
    </row>
    <row r="214" spans="1:34" x14ac:dyDescent="0.45">
      <c r="A214" s="1">
        <v>10.6</v>
      </c>
      <c r="B214" s="1">
        <v>71</v>
      </c>
      <c r="C214" s="1">
        <v>72</v>
      </c>
      <c r="D214" s="76">
        <v>86</v>
      </c>
      <c r="E214" s="126">
        <f t="shared" si="8"/>
        <v>243.40700000000001</v>
      </c>
      <c r="F214" s="216">
        <v>0.4</v>
      </c>
      <c r="G214" s="215">
        <f t="shared" si="9"/>
        <v>1.162102355330306</v>
      </c>
      <c r="H214" s="217">
        <f t="shared" si="10"/>
        <v>0.38105117766515306</v>
      </c>
      <c r="I214" s="215">
        <f t="shared" si="11"/>
        <v>0.34641016151377546</v>
      </c>
      <c r="J214" s="93">
        <f t="shared" si="6"/>
        <v>1.3333333333333333E-3</v>
      </c>
      <c r="K214" s="1">
        <f t="shared" si="12"/>
        <v>262.904</v>
      </c>
      <c r="L214" s="94">
        <f>K214-H214</f>
        <v>262.52294882233485</v>
      </c>
      <c r="M214" s="327">
        <f t="shared" si="30"/>
        <v>262.40828215566819</v>
      </c>
      <c r="N214" s="94">
        <f t="shared" si="13"/>
        <v>262.78933333333333</v>
      </c>
      <c r="O214" s="1">
        <f t="shared" si="14"/>
        <v>262.904</v>
      </c>
      <c r="P214" s="332">
        <f t="shared" si="15"/>
        <v>0.1146666666666647</v>
      </c>
      <c r="Q214" s="332">
        <f t="shared" si="16"/>
        <v>1.3914356886636354</v>
      </c>
      <c r="R214" s="1" t="str">
        <f t="shared" si="17"/>
        <v>OK</v>
      </c>
      <c r="S214" s="13">
        <f t="shared" si="18"/>
        <v>371.01174535977839</v>
      </c>
      <c r="T214" s="192">
        <f t="shared" si="7"/>
        <v>0.52424435353041765</v>
      </c>
      <c r="U214" s="13">
        <f t="shared" si="19"/>
        <v>0.3810511776651424</v>
      </c>
      <c r="V214" s="13">
        <f t="shared" si="20"/>
        <v>0.4957178443318071</v>
      </c>
      <c r="W214" s="13">
        <f t="shared" si="21"/>
        <v>25.595360511681267</v>
      </c>
      <c r="X214" s="13">
        <f t="shared" si="22"/>
        <v>1.1621023553302847</v>
      </c>
      <c r="Y214" s="13">
        <f t="shared" si="23"/>
        <v>1.2767690219969494</v>
      </c>
      <c r="Z214" s="13">
        <f t="shared" si="24"/>
        <v>25.595360511680205</v>
      </c>
      <c r="AA214" s="13">
        <f t="shared" si="25"/>
        <v>31.60799141391751</v>
      </c>
      <c r="AC214" s="103"/>
      <c r="AD214" s="103"/>
      <c r="AE214" s="339">
        <f t="shared" si="26"/>
        <v>0.36753478388276173</v>
      </c>
      <c r="AF214">
        <f t="shared" si="27"/>
        <v>1.528</v>
      </c>
      <c r="AG214">
        <f t="shared" si="28"/>
        <v>0.15280000000000002</v>
      </c>
      <c r="AH214">
        <f t="shared" si="29"/>
        <v>13.140800000000002</v>
      </c>
    </row>
    <row r="215" spans="1:34" x14ac:dyDescent="0.45">
      <c r="A215" s="1">
        <v>10.6</v>
      </c>
      <c r="B215" s="1">
        <v>72</v>
      </c>
      <c r="C215" s="1">
        <v>70</v>
      </c>
      <c r="D215" s="76">
        <v>11</v>
      </c>
      <c r="E215" s="126">
        <f t="shared" si="8"/>
        <v>243.40700000000001</v>
      </c>
      <c r="F215" s="216">
        <v>0.4</v>
      </c>
      <c r="G215" s="215">
        <f t="shared" si="9"/>
        <v>1.162102355330306</v>
      </c>
      <c r="H215" s="217">
        <f t="shared" si="10"/>
        <v>0.38105117766515306</v>
      </c>
      <c r="I215" s="215">
        <f t="shared" si="11"/>
        <v>0.34641016151377546</v>
      </c>
      <c r="J215" s="93">
        <f t="shared" si="6"/>
        <v>1.3333333333333333E-3</v>
      </c>
      <c r="K215" s="1">
        <f t="shared" si="12"/>
        <v>262.904</v>
      </c>
      <c r="L215" s="94">
        <f t="shared" si="31"/>
        <v>262.40828215566819</v>
      </c>
      <c r="M215" s="327">
        <f t="shared" si="30"/>
        <v>262.39361548900155</v>
      </c>
      <c r="N215" s="94">
        <f t="shared" si="13"/>
        <v>262.77466666666669</v>
      </c>
      <c r="O215" s="1">
        <f t="shared" si="14"/>
        <v>263.19</v>
      </c>
      <c r="P215" s="332">
        <f t="shared" si="15"/>
        <v>0.41533333333330802</v>
      </c>
      <c r="Q215" s="332">
        <f t="shared" si="16"/>
        <v>1.9927690219969221</v>
      </c>
      <c r="R215" s="1" t="str">
        <f t="shared" si="17"/>
        <v>OK</v>
      </c>
      <c r="S215" s="13">
        <f t="shared" si="18"/>
        <v>371.01174535977839</v>
      </c>
      <c r="T215" s="192">
        <f t="shared" si="7"/>
        <v>0.52424435353041765</v>
      </c>
      <c r="U215" s="13">
        <f t="shared" si="19"/>
        <v>0.4957178443318071</v>
      </c>
      <c r="V215" s="13">
        <f t="shared" si="20"/>
        <v>0.79638451099845042</v>
      </c>
      <c r="W215" s="13">
        <f t="shared" si="21"/>
        <v>3.2738251817266741</v>
      </c>
      <c r="X215" s="13">
        <f t="shared" si="22"/>
        <v>1.3914356886636141</v>
      </c>
      <c r="Y215" s="13">
        <f t="shared" si="23"/>
        <v>1.6921023553302574</v>
      </c>
      <c r="Z215" s="13">
        <f t="shared" si="24"/>
        <v>4.8842565081386624</v>
      </c>
      <c r="AA215" s="13">
        <f t="shared" si="25"/>
        <v>7.4338285475140644</v>
      </c>
      <c r="AC215" s="103"/>
      <c r="AD215" s="103"/>
      <c r="AE215" s="339">
        <f t="shared" si="26"/>
        <v>0.67580259522855135</v>
      </c>
      <c r="AF215">
        <f t="shared" si="27"/>
        <v>1.528</v>
      </c>
      <c r="AG215">
        <f t="shared" si="28"/>
        <v>0.15280000000000002</v>
      </c>
      <c r="AH215">
        <f t="shared" si="29"/>
        <v>1.6808000000000003</v>
      </c>
    </row>
    <row r="216" spans="1:34" x14ac:dyDescent="0.45">
      <c r="A216" s="1">
        <v>10</v>
      </c>
      <c r="B216" s="1">
        <v>61</v>
      </c>
      <c r="C216" s="1">
        <v>66</v>
      </c>
      <c r="D216" s="76">
        <v>11</v>
      </c>
      <c r="E216" s="126">
        <f t="shared" si="8"/>
        <v>290.07575000000003</v>
      </c>
      <c r="F216" s="216">
        <v>0.4</v>
      </c>
      <c r="G216" s="215">
        <f t="shared" si="9"/>
        <v>1.162102355330306</v>
      </c>
      <c r="H216" s="217">
        <f t="shared" si="10"/>
        <v>0.38105117766515306</v>
      </c>
      <c r="I216" s="215">
        <f t="shared" si="11"/>
        <v>0.34641016151377546</v>
      </c>
      <c r="J216" s="93">
        <f t="shared" si="6"/>
        <v>1.3333333333333333E-3</v>
      </c>
      <c r="K216" s="1">
        <f t="shared" si="12"/>
        <v>263.10000000000002</v>
      </c>
      <c r="L216" s="329">
        <f>_xlfn.MINIFS($M$155:$M$239,$C$155:$C$239,B216)-0.012</f>
        <v>262.73287828341779</v>
      </c>
      <c r="M216" s="328">
        <f t="shared" si="30"/>
        <v>262.71821161675115</v>
      </c>
      <c r="N216" s="94">
        <f t="shared" si="13"/>
        <v>263.09926279441629</v>
      </c>
      <c r="O216" s="1">
        <f t="shared" si="14"/>
        <v>263.10000000000002</v>
      </c>
      <c r="P216" s="332">
        <f t="shared" si="15"/>
        <v>7.3720558373224776E-4</v>
      </c>
      <c r="Q216" s="332">
        <f t="shared" si="16"/>
        <v>1.1635767664977705</v>
      </c>
      <c r="R216" s="1" t="str">
        <f t="shared" si="17"/>
        <v>OK</v>
      </c>
      <c r="S216" s="13">
        <f t="shared" si="18"/>
        <v>371.01174535977839</v>
      </c>
      <c r="T216" s="192">
        <f t="shared" si="7"/>
        <v>0.27901675807018805</v>
      </c>
      <c r="U216" s="13">
        <f t="shared" si="19"/>
        <v>0.36712171658223269</v>
      </c>
      <c r="V216" s="13">
        <f t="shared" si="20"/>
        <v>0.38178838324887465</v>
      </c>
      <c r="W216" s="13">
        <f t="shared" si="21"/>
        <v>3.2738251817266741</v>
      </c>
      <c r="X216" s="13">
        <f t="shared" si="22"/>
        <v>1.1342434331644653</v>
      </c>
      <c r="Y216" s="13">
        <f t="shared" si="23"/>
        <v>1.1489100998311073</v>
      </c>
      <c r="Z216" s="13">
        <f t="shared" si="24"/>
        <v>3.0978974556109611</v>
      </c>
      <c r="AA216" s="13">
        <f t="shared" si="25"/>
        <v>3.1899846481082936</v>
      </c>
      <c r="AC216" s="103"/>
      <c r="AD216" s="103"/>
      <c r="AE216" s="339">
        <f t="shared" si="26"/>
        <v>0.28999860437348124</v>
      </c>
      <c r="AF216">
        <f t="shared" si="27"/>
        <v>1.528</v>
      </c>
      <c r="AG216">
        <f t="shared" si="28"/>
        <v>0.15280000000000002</v>
      </c>
      <c r="AH216">
        <f t="shared" si="29"/>
        <v>1.6808000000000003</v>
      </c>
    </row>
    <row r="217" spans="1:34" x14ac:dyDescent="0.45">
      <c r="A217" s="1">
        <v>10</v>
      </c>
      <c r="B217" s="1">
        <v>66</v>
      </c>
      <c r="C217" s="1">
        <v>67</v>
      </c>
      <c r="D217" s="76">
        <v>82</v>
      </c>
      <c r="E217" s="126">
        <f t="shared" si="8"/>
        <v>645.74275000000011</v>
      </c>
      <c r="F217" s="216">
        <v>0.6</v>
      </c>
      <c r="G217" s="215">
        <f t="shared" si="9"/>
        <v>1.7431535329954588</v>
      </c>
      <c r="H217" s="217">
        <f t="shared" si="10"/>
        <v>0.57157676649772948</v>
      </c>
      <c r="I217" s="215">
        <f t="shared" si="11"/>
        <v>0.51961524227066314</v>
      </c>
      <c r="J217" s="93">
        <f t="shared" si="6"/>
        <v>1.3333333333333333E-3</v>
      </c>
      <c r="K217" s="1">
        <f t="shared" si="12"/>
        <v>263.10000000000002</v>
      </c>
      <c r="L217" s="94">
        <f t="shared" si="31"/>
        <v>262.49761548900153</v>
      </c>
      <c r="M217" s="327">
        <f t="shared" si="30"/>
        <v>262.38828215566821</v>
      </c>
      <c r="N217" s="94">
        <f t="shared" si="13"/>
        <v>262.95985892216595</v>
      </c>
      <c r="O217" s="1">
        <f t="shared" si="14"/>
        <v>263.19</v>
      </c>
      <c r="P217" s="332">
        <f t="shared" si="15"/>
        <v>0.23014107783404825</v>
      </c>
      <c r="Q217" s="332">
        <f t="shared" si="16"/>
        <v>2.2034356886635553</v>
      </c>
      <c r="R217" s="1" t="str">
        <f t="shared" si="17"/>
        <v>OK</v>
      </c>
      <c r="S217" s="13">
        <f t="shared" si="18"/>
        <v>1093.8665686523198</v>
      </c>
      <c r="T217" s="192">
        <f t="shared" si="7"/>
        <v>0.6939664729527657</v>
      </c>
      <c r="U217" s="13">
        <f t="shared" si="19"/>
        <v>0.60238451099849044</v>
      </c>
      <c r="V217" s="13">
        <f t="shared" si="20"/>
        <v>0.80171784433179027</v>
      </c>
      <c r="W217" s="13">
        <f t="shared" si="21"/>
        <v>54.910976911688287</v>
      </c>
      <c r="X217" s="13">
        <f t="shared" si="22"/>
        <v>1.804769021996981</v>
      </c>
      <c r="Y217" s="13">
        <f t="shared" si="23"/>
        <v>2.0041023553302808</v>
      </c>
      <c r="Z217" s="13">
        <f t="shared" si="24"/>
        <v>59.392420066578744</v>
      </c>
      <c r="AA217" s="13">
        <f t="shared" si="25"/>
        <v>74.956738138127761</v>
      </c>
      <c r="AC217" s="103"/>
      <c r="AD217" s="103"/>
      <c r="AE217" s="339">
        <f t="shared" si="26"/>
        <v>0.9141065626600946</v>
      </c>
      <c r="AF217">
        <f t="shared" si="27"/>
        <v>2.2919999999999998</v>
      </c>
      <c r="AG217">
        <f t="shared" si="28"/>
        <v>0.22919999999999999</v>
      </c>
      <c r="AH217">
        <f t="shared" si="29"/>
        <v>18.7944</v>
      </c>
    </row>
    <row r="218" spans="1:34" x14ac:dyDescent="0.45">
      <c r="A218" s="1">
        <v>10</v>
      </c>
      <c r="B218" s="1">
        <v>67</v>
      </c>
      <c r="C218" s="1">
        <v>70</v>
      </c>
      <c r="D218" s="76">
        <v>10</v>
      </c>
      <c r="E218" s="126">
        <f t="shared" si="8"/>
        <v>875.72725000000014</v>
      </c>
      <c r="F218" s="216">
        <v>0.6</v>
      </c>
      <c r="G218" s="215">
        <f t="shared" si="9"/>
        <v>1.7431535329954588</v>
      </c>
      <c r="H218" s="217">
        <f t="shared" si="10"/>
        <v>0.57157676649772948</v>
      </c>
      <c r="I218" s="215">
        <f t="shared" si="11"/>
        <v>0.51961524227066314</v>
      </c>
      <c r="J218" s="93">
        <f t="shared" si="6"/>
        <v>1.3333333333333333E-3</v>
      </c>
      <c r="K218" s="1">
        <f t="shared" si="12"/>
        <v>263.19</v>
      </c>
      <c r="L218" s="94">
        <f t="shared" si="31"/>
        <v>262.38828215566821</v>
      </c>
      <c r="M218" s="328">
        <f t="shared" si="30"/>
        <v>262.37494882233489</v>
      </c>
      <c r="N218" s="94">
        <f t="shared" si="13"/>
        <v>262.94652558883263</v>
      </c>
      <c r="O218" s="1">
        <f t="shared" si="14"/>
        <v>263.19</v>
      </c>
      <c r="P218" s="332">
        <f t="shared" si="15"/>
        <v>0.24347441116736945</v>
      </c>
      <c r="Q218" s="332">
        <f t="shared" si="16"/>
        <v>2.2301023553301977</v>
      </c>
      <c r="R218" s="1" t="str">
        <f t="shared" si="17"/>
        <v>OK</v>
      </c>
      <c r="S218" s="13">
        <f t="shared" si="18"/>
        <v>1093.8665686523198</v>
      </c>
      <c r="T218" s="192">
        <f t="shared" si="7"/>
        <v>0.24909504489248174</v>
      </c>
      <c r="U218" s="13">
        <f t="shared" si="19"/>
        <v>0.80171784433179027</v>
      </c>
      <c r="V218" s="13">
        <f t="shared" si="20"/>
        <v>0.81505117766511148</v>
      </c>
      <c r="W218" s="13">
        <f t="shared" si="21"/>
        <v>6.696460598986377</v>
      </c>
      <c r="X218" s="13">
        <f t="shared" si="22"/>
        <v>2.2034356886635806</v>
      </c>
      <c r="Y218" s="13">
        <f t="shared" si="23"/>
        <v>2.2167690219969018</v>
      </c>
      <c r="Z218" s="13">
        <f t="shared" si="24"/>
        <v>11.237822085190869</v>
      </c>
      <c r="AA218" s="13">
        <f t="shared" si="25"/>
        <v>11.385162242212751</v>
      </c>
      <c r="AC218" s="103"/>
      <c r="AD218" s="103"/>
      <c r="AE218" s="339">
        <f t="shared" si="26"/>
        <v>1.138516224221275</v>
      </c>
      <c r="AF218">
        <f t="shared" si="27"/>
        <v>2.2919999999999998</v>
      </c>
      <c r="AG218">
        <f t="shared" si="28"/>
        <v>0.22919999999999999</v>
      </c>
      <c r="AH218">
        <f t="shared" si="29"/>
        <v>2.2919999999999998</v>
      </c>
    </row>
    <row r="219" spans="1:34" x14ac:dyDescent="0.45">
      <c r="A219" s="1">
        <v>10</v>
      </c>
      <c r="B219" s="1">
        <v>70</v>
      </c>
      <c r="C219" s="1" t="s">
        <v>1060</v>
      </c>
      <c r="D219" s="76">
        <v>10</v>
      </c>
      <c r="E219" s="126">
        <f t="shared" si="8"/>
        <v>1119.1342500000001</v>
      </c>
      <c r="F219" s="216">
        <v>0.7</v>
      </c>
      <c r="G219" s="215">
        <f t="shared" si="9"/>
        <v>2.0336791218280355</v>
      </c>
      <c r="H219" s="217">
        <f t="shared" si="10"/>
        <v>0.66683956091401775</v>
      </c>
      <c r="I219" s="215">
        <f t="shared" si="11"/>
        <v>0.60621778264910697</v>
      </c>
      <c r="J219" s="93">
        <f t="shared" si="6"/>
        <v>1.3333333333333333E-3</v>
      </c>
      <c r="K219" s="1">
        <f t="shared" si="12"/>
        <v>263.19</v>
      </c>
      <c r="L219" s="94">
        <f t="shared" si="31"/>
        <v>262.37494882233489</v>
      </c>
      <c r="M219" s="327">
        <f t="shared" si="30"/>
        <v>262.36161548900157</v>
      </c>
      <c r="N219" s="94">
        <f t="shared" si="13"/>
        <v>263.02845504991558</v>
      </c>
      <c r="O219" s="1">
        <f t="shared" si="14"/>
        <v>263.19</v>
      </c>
      <c r="P219" s="332">
        <f t="shared" si="15"/>
        <v>0.16154495008441927</v>
      </c>
      <c r="Q219" s="332">
        <f t="shared" si="16"/>
        <v>2.356769021996874</v>
      </c>
      <c r="R219" s="1" t="str">
        <f t="shared" si="17"/>
        <v>OK</v>
      </c>
      <c r="S219" s="13">
        <f t="shared" si="18"/>
        <v>1650.0196709076884</v>
      </c>
      <c r="T219" s="192">
        <f t="shared" ref="T219:T244" si="32">(S219-E219)/E219</f>
        <v>0.47437152504955349</v>
      </c>
      <c r="U219" s="13">
        <f t="shared" si="19"/>
        <v>0.81505117766511148</v>
      </c>
      <c r="V219" s="13">
        <f t="shared" si="20"/>
        <v>0.82838451099843269</v>
      </c>
      <c r="W219" s="13">
        <f t="shared" si="21"/>
        <v>9.1146269263981239</v>
      </c>
      <c r="X219" s="13">
        <f t="shared" si="22"/>
        <v>2.3301023553302231</v>
      </c>
      <c r="Y219" s="13">
        <f t="shared" si="23"/>
        <v>2.3434356886635443</v>
      </c>
      <c r="Z219" s="13">
        <f t="shared" si="24"/>
        <v>12.348442465788631</v>
      </c>
      <c r="AA219" s="13">
        <f t="shared" si="25"/>
        <v>12.504227067254948</v>
      </c>
      <c r="AC219" s="103"/>
      <c r="AD219" s="103"/>
      <c r="AE219" s="339">
        <f t="shared" si="26"/>
        <v>1.2504227067254949</v>
      </c>
      <c r="AF219">
        <f t="shared" si="27"/>
        <v>2.6739999999999999</v>
      </c>
      <c r="AG219">
        <f t="shared" si="28"/>
        <v>0.26740000000000003</v>
      </c>
      <c r="AH219">
        <f t="shared" si="29"/>
        <v>2.6740000000000004</v>
      </c>
    </row>
    <row r="220" spans="1:34" x14ac:dyDescent="0.45">
      <c r="A220" s="1">
        <v>11.1</v>
      </c>
      <c r="B220" s="1">
        <v>28</v>
      </c>
      <c r="C220" s="1">
        <v>30</v>
      </c>
      <c r="D220" s="76">
        <v>64</v>
      </c>
      <c r="E220" s="126">
        <f t="shared" ref="E220:E244" si="33">SUMIFS($G$44:$G$148,$H$44:$H$148,B220)+SUMIFS($E$155:$E$244,$C$155:$C$244,B220)</f>
        <v>165</v>
      </c>
      <c r="F220" s="216">
        <v>0.3</v>
      </c>
      <c r="G220" s="215">
        <f t="shared" ref="G220:G244" si="34">F220+2*H220</f>
        <v>0.87157676649772942</v>
      </c>
      <c r="H220" s="217">
        <f t="shared" ref="H220:H244" si="35">2*F220/4*(3)^(0.5)*1.1</f>
        <v>0.28578838324886474</v>
      </c>
      <c r="I220" s="215">
        <f t="shared" ref="I220:I244" si="36">H220/1.1</f>
        <v>0.25980762113533157</v>
      </c>
      <c r="J220" s="93">
        <f t="shared" ref="J220:J244" si="37">1/750</f>
        <v>1.3333333333333333E-3</v>
      </c>
      <c r="K220" s="1">
        <f t="shared" ref="K220:K244" si="38">VLOOKUP(B220,$A$266:$B$368,2,FALSE)</f>
        <v>263.45</v>
      </c>
      <c r="L220" s="94">
        <f>K220-H220</f>
        <v>263.16421161675112</v>
      </c>
      <c r="M220" s="328">
        <f t="shared" si="30"/>
        <v>263.07887828341779</v>
      </c>
      <c r="N220" s="94">
        <f t="shared" ref="N220:N244" si="39">M220+H220</f>
        <v>263.36466666666666</v>
      </c>
      <c r="O220" s="1">
        <f t="shared" ref="O220:O244" si="40">VLOOKUP(C220,$A$267:$B$368,2,FALSE)</f>
        <v>263.435</v>
      </c>
      <c r="P220" s="332">
        <f t="shared" ref="P220:P244" si="41">O220-N220</f>
        <v>7.0333333333337578E-2</v>
      </c>
      <c r="Q220" s="332">
        <f t="shared" ref="Q220:Q244" si="42">G220+P220*2</f>
        <v>1.0122434331644046</v>
      </c>
      <c r="R220" s="1" t="str">
        <f t="shared" ref="R220:R244" si="43">IF(N220&lt;O220,"OK","Filling Required")</f>
        <v>OK</v>
      </c>
      <c r="S220" s="13">
        <f t="shared" ref="S220:S244" si="44">1/0.03*3600*(J220^(0.5))*(((F220*H220/1.1)+((H220/1.1)^2))^(5/3))*((F220+((2^(3/2))*H220/1.1))^(-2/3))</f>
        <v>172.27318945266666</v>
      </c>
      <c r="T220" s="192">
        <f t="shared" si="32"/>
        <v>4.4079936076767613E-2</v>
      </c>
      <c r="U220" s="13">
        <f t="shared" ref="U220:U244" si="45">K220-L220</f>
        <v>0.28578838324887101</v>
      </c>
      <c r="V220" s="13">
        <f t="shared" ref="V220:V244" si="46">-M220+O220</f>
        <v>0.35612171658220859</v>
      </c>
      <c r="W220" s="13">
        <f t="shared" ref="W220:W244" si="47">((F220*H220)+(H220^2))*D220</f>
        <v>10.714336958378203</v>
      </c>
      <c r="X220" s="13">
        <f t="shared" ref="X220:X244" si="48">2*MIN(U220:V220)+F220</f>
        <v>0.87157676649774207</v>
      </c>
      <c r="Y220" s="13">
        <f t="shared" ref="Y220:Y244" si="49">2*AVERAGE(U220:V220)+F220</f>
        <v>0.94191009983107965</v>
      </c>
      <c r="Z220" s="13">
        <f t="shared" ref="Z220:Z244" si="50">(MIN(U220:V220)*F220+MIN(U220:V220)^2)*D220</f>
        <v>10.714336958378553</v>
      </c>
      <c r="AA220" s="13">
        <f t="shared" ref="AA220:AA244" si="51">(AVERAGE(U220:V220)*F220+AVERAGE(U220:V220)^2)*D220</f>
        <v>12.755114178620708</v>
      </c>
      <c r="AC220" s="103"/>
      <c r="AD220" s="103"/>
      <c r="AE220" s="339">
        <f t="shared" ref="AE220:AE244" si="52">AA220/D220</f>
        <v>0.19929865904094857</v>
      </c>
      <c r="AF220">
        <f t="shared" ref="AF220:AF244" si="53">3.82*F220</f>
        <v>1.1459999999999999</v>
      </c>
      <c r="AG220">
        <f t="shared" ref="AG220:AG244" si="54">AF220*0.1</f>
        <v>0.11459999999999999</v>
      </c>
      <c r="AH220">
        <f t="shared" ref="AH220:AH244" si="55">AG220*D220</f>
        <v>7.3343999999999996</v>
      </c>
    </row>
    <row r="221" spans="1:34" x14ac:dyDescent="0.45">
      <c r="A221" s="1">
        <v>11.2</v>
      </c>
      <c r="B221" s="1">
        <v>29</v>
      </c>
      <c r="C221" s="1">
        <v>30</v>
      </c>
      <c r="D221" s="76">
        <v>37</v>
      </c>
      <c r="E221" s="126">
        <f t="shared" si="33"/>
        <v>95.1</v>
      </c>
      <c r="F221" s="216">
        <v>0.3</v>
      </c>
      <c r="G221" s="215">
        <f t="shared" si="34"/>
        <v>0.87157676649772942</v>
      </c>
      <c r="H221" s="217">
        <f t="shared" si="35"/>
        <v>0.28578838324886474</v>
      </c>
      <c r="I221" s="215">
        <f t="shared" si="36"/>
        <v>0.25980762113533157</v>
      </c>
      <c r="J221" s="93">
        <f t="shared" si="37"/>
        <v>1.3333333333333333E-3</v>
      </c>
      <c r="K221" s="1">
        <f t="shared" si="38"/>
        <v>263.154</v>
      </c>
      <c r="L221" s="94">
        <f>K221-H221</f>
        <v>262.86821161675113</v>
      </c>
      <c r="M221" s="327">
        <f t="shared" ref="M221:M244" si="56">L221-D221*J221</f>
        <v>262.8188782834178</v>
      </c>
      <c r="N221" s="94">
        <f t="shared" si="39"/>
        <v>263.10466666666667</v>
      </c>
      <c r="O221" s="1">
        <f t="shared" si="40"/>
        <v>263.435</v>
      </c>
      <c r="P221" s="332">
        <f t="shared" si="41"/>
        <v>0.33033333333332848</v>
      </c>
      <c r="Q221" s="332">
        <f t="shared" si="42"/>
        <v>1.5322434331643864</v>
      </c>
      <c r="R221" s="1" t="str">
        <f t="shared" si="43"/>
        <v>OK</v>
      </c>
      <c r="S221" s="13">
        <f t="shared" si="44"/>
        <v>172.27318945266666</v>
      </c>
      <c r="T221" s="192">
        <f t="shared" si="32"/>
        <v>0.81149515723098498</v>
      </c>
      <c r="U221" s="13">
        <f t="shared" si="45"/>
        <v>0.28578838324887101</v>
      </c>
      <c r="V221" s="13">
        <f t="shared" si="46"/>
        <v>0.6161217165821995</v>
      </c>
      <c r="W221" s="13">
        <f t="shared" si="47"/>
        <v>6.1942260540623986</v>
      </c>
      <c r="X221" s="13">
        <f t="shared" si="48"/>
        <v>0.87157676649774207</v>
      </c>
      <c r="Y221" s="13">
        <f t="shared" si="49"/>
        <v>1.2019100998310706</v>
      </c>
      <c r="Z221" s="13">
        <f t="shared" si="50"/>
        <v>6.1942260540626011</v>
      </c>
      <c r="AA221" s="13">
        <f t="shared" si="51"/>
        <v>12.529937964702388</v>
      </c>
      <c r="AC221" s="103"/>
      <c r="AD221" s="103"/>
      <c r="AE221" s="339">
        <f t="shared" si="52"/>
        <v>0.33864697201898347</v>
      </c>
      <c r="AF221">
        <f t="shared" si="53"/>
        <v>1.1459999999999999</v>
      </c>
      <c r="AG221">
        <f t="shared" si="54"/>
        <v>0.11459999999999999</v>
      </c>
      <c r="AH221">
        <f t="shared" si="55"/>
        <v>4.2401999999999997</v>
      </c>
    </row>
    <row r="222" spans="1:34" x14ac:dyDescent="0.45">
      <c r="A222" s="1">
        <v>11.3</v>
      </c>
      <c r="B222" s="1">
        <v>31</v>
      </c>
      <c r="C222" s="1">
        <v>32</v>
      </c>
      <c r="D222" s="76">
        <v>86</v>
      </c>
      <c r="E222" s="126">
        <f t="shared" si="33"/>
        <v>223.12075000000002</v>
      </c>
      <c r="F222" s="216">
        <v>0.4</v>
      </c>
      <c r="G222" s="215">
        <f t="shared" si="34"/>
        <v>1.162102355330306</v>
      </c>
      <c r="H222" s="217">
        <f t="shared" si="35"/>
        <v>0.38105117766515306</v>
      </c>
      <c r="I222" s="215">
        <f t="shared" si="36"/>
        <v>0.34641016151377546</v>
      </c>
      <c r="J222" s="93">
        <f t="shared" si="37"/>
        <v>1.3333333333333333E-3</v>
      </c>
      <c r="K222" s="1">
        <f t="shared" si="38"/>
        <v>263.45</v>
      </c>
      <c r="L222" s="94">
        <f>K222-H222</f>
        <v>263.06894882233485</v>
      </c>
      <c r="M222" s="327">
        <f t="shared" si="56"/>
        <v>262.95428215566818</v>
      </c>
      <c r="N222" s="94">
        <f t="shared" si="39"/>
        <v>263.33533333333332</v>
      </c>
      <c r="O222" s="1">
        <f t="shared" si="40"/>
        <v>263.35000000000002</v>
      </c>
      <c r="P222" s="332">
        <f t="shared" si="41"/>
        <v>1.4666666666698802E-2</v>
      </c>
      <c r="Q222" s="332">
        <f t="shared" si="42"/>
        <v>1.1914356886637036</v>
      </c>
      <c r="R222" s="1" t="str">
        <f t="shared" si="43"/>
        <v>OK</v>
      </c>
      <c r="S222" s="13">
        <f t="shared" si="44"/>
        <v>371.01174535977839</v>
      </c>
      <c r="T222" s="192">
        <f t="shared" si="32"/>
        <v>0.66282941124829653</v>
      </c>
      <c r="U222" s="13">
        <f t="shared" si="45"/>
        <v>0.3810511776651424</v>
      </c>
      <c r="V222" s="13">
        <f t="shared" si="46"/>
        <v>0.39571784433184121</v>
      </c>
      <c r="W222" s="13">
        <f t="shared" si="47"/>
        <v>25.595360511681267</v>
      </c>
      <c r="X222" s="13">
        <f t="shared" si="48"/>
        <v>1.1621023553302847</v>
      </c>
      <c r="Y222" s="13">
        <f t="shared" si="49"/>
        <v>1.1767690219969835</v>
      </c>
      <c r="Z222" s="13">
        <f t="shared" si="50"/>
        <v>25.595360511680205</v>
      </c>
      <c r="AA222" s="13">
        <f t="shared" si="51"/>
        <v>26.332884619332354</v>
      </c>
      <c r="AC222" s="103"/>
      <c r="AD222" s="103"/>
      <c r="AE222" s="339">
        <f t="shared" si="52"/>
        <v>0.30619633278293434</v>
      </c>
      <c r="AF222">
        <f t="shared" si="53"/>
        <v>1.528</v>
      </c>
      <c r="AG222">
        <f t="shared" si="54"/>
        <v>0.15280000000000002</v>
      </c>
      <c r="AH222">
        <f t="shared" si="55"/>
        <v>13.140800000000002</v>
      </c>
    </row>
    <row r="223" spans="1:34" x14ac:dyDescent="0.45">
      <c r="A223" s="1">
        <v>11.3</v>
      </c>
      <c r="B223" s="1">
        <v>32</v>
      </c>
      <c r="C223" s="1">
        <v>35</v>
      </c>
      <c r="D223" s="76">
        <v>6</v>
      </c>
      <c r="E223" s="126">
        <f t="shared" si="33"/>
        <v>223.12075000000002</v>
      </c>
      <c r="F223" s="216">
        <v>0.4</v>
      </c>
      <c r="G223" s="215">
        <f t="shared" si="34"/>
        <v>1.162102355330306</v>
      </c>
      <c r="H223" s="217">
        <f t="shared" si="35"/>
        <v>0.38105117766515306</v>
      </c>
      <c r="I223" s="215">
        <f t="shared" si="36"/>
        <v>0.34641016151377546</v>
      </c>
      <c r="J223" s="93">
        <f t="shared" si="37"/>
        <v>1.3333333333333333E-3</v>
      </c>
      <c r="K223" s="1">
        <f t="shared" si="38"/>
        <v>263.35000000000002</v>
      </c>
      <c r="L223" s="94">
        <f t="shared" ref="L223:L237" si="57">_xlfn.MINIFS($M$155:$M$239,$C$155:$C$239,B223)</f>
        <v>262.95428215566818</v>
      </c>
      <c r="M223" s="328">
        <f>L223-D223*J223-0.038</f>
        <v>262.90828215566819</v>
      </c>
      <c r="N223" s="94">
        <f t="shared" si="39"/>
        <v>263.28933333333333</v>
      </c>
      <c r="O223" s="1">
        <f t="shared" si="40"/>
        <v>263.35000000000002</v>
      </c>
      <c r="P223" s="332">
        <f t="shared" si="41"/>
        <v>6.0666666666691071E-2</v>
      </c>
      <c r="Q223" s="332">
        <f t="shared" si="42"/>
        <v>1.2834356886636882</v>
      </c>
      <c r="R223" s="1" t="str">
        <f t="shared" si="43"/>
        <v>OK</v>
      </c>
      <c r="S223" s="13">
        <f t="shared" si="44"/>
        <v>371.01174535977839</v>
      </c>
      <c r="T223" s="192">
        <f t="shared" si="32"/>
        <v>0.66282941124829653</v>
      </c>
      <c r="U223" s="13">
        <f t="shared" si="45"/>
        <v>0.39571784433184121</v>
      </c>
      <c r="V223" s="13">
        <f t="shared" si="46"/>
        <v>0.44171784433183348</v>
      </c>
      <c r="W223" s="13">
        <f t="shared" si="47"/>
        <v>1.7857228263963676</v>
      </c>
      <c r="X223" s="13">
        <f t="shared" si="48"/>
        <v>1.1914356886636823</v>
      </c>
      <c r="Y223" s="13">
        <f t="shared" si="49"/>
        <v>1.2374356886636746</v>
      </c>
      <c r="Z223" s="13">
        <f t="shared" si="50"/>
        <v>1.889278500332255</v>
      </c>
      <c r="AA223" s="13">
        <f t="shared" si="51"/>
        <v>2.0568706253678144</v>
      </c>
      <c r="AC223" s="103"/>
      <c r="AD223" s="103"/>
      <c r="AE223" s="339">
        <f t="shared" si="52"/>
        <v>0.34281177089463571</v>
      </c>
      <c r="AF223">
        <f t="shared" si="53"/>
        <v>1.528</v>
      </c>
      <c r="AG223">
        <f t="shared" si="54"/>
        <v>0.15280000000000002</v>
      </c>
      <c r="AH223">
        <f t="shared" si="55"/>
        <v>0.91680000000000006</v>
      </c>
    </row>
    <row r="224" spans="1:34" x14ac:dyDescent="0.45">
      <c r="A224" s="1">
        <v>11.4</v>
      </c>
      <c r="B224" s="1">
        <v>33</v>
      </c>
      <c r="C224" s="1">
        <v>34</v>
      </c>
      <c r="D224" s="76">
        <v>39</v>
      </c>
      <c r="E224" s="126">
        <f t="shared" si="33"/>
        <v>92.58274999999999</v>
      </c>
      <c r="F224" s="216">
        <v>0.3</v>
      </c>
      <c r="G224" s="215">
        <f t="shared" si="34"/>
        <v>0.87157676649772942</v>
      </c>
      <c r="H224" s="217">
        <f t="shared" si="35"/>
        <v>0.28578838324886474</v>
      </c>
      <c r="I224" s="215">
        <f t="shared" si="36"/>
        <v>0.25980762113533157</v>
      </c>
      <c r="J224" s="93">
        <f t="shared" si="37"/>
        <v>1.3333333333333333E-3</v>
      </c>
      <c r="K224" s="1">
        <f t="shared" si="38"/>
        <v>263.154</v>
      </c>
      <c r="L224" s="94">
        <f>K224-H224</f>
        <v>262.86821161675113</v>
      </c>
      <c r="M224" s="327">
        <f t="shared" si="56"/>
        <v>262.8162116167511</v>
      </c>
      <c r="N224" s="94">
        <f t="shared" si="39"/>
        <v>263.10199999999998</v>
      </c>
      <c r="O224" s="1">
        <f t="shared" si="40"/>
        <v>263.3</v>
      </c>
      <c r="P224" s="332">
        <f t="shared" si="41"/>
        <v>0.19800000000003593</v>
      </c>
      <c r="Q224" s="332">
        <f t="shared" si="42"/>
        <v>1.2675767664978013</v>
      </c>
      <c r="R224" s="1" t="str">
        <f t="shared" si="43"/>
        <v>OK</v>
      </c>
      <c r="S224" s="13">
        <f t="shared" si="44"/>
        <v>172.27318945266666</v>
      </c>
      <c r="T224" s="192">
        <f t="shared" si="32"/>
        <v>0.86074824362709768</v>
      </c>
      <c r="U224" s="13">
        <f t="shared" si="45"/>
        <v>0.28578838324887101</v>
      </c>
      <c r="V224" s="13">
        <f t="shared" si="46"/>
        <v>0.48378838324890694</v>
      </c>
      <c r="W224" s="13">
        <f t="shared" si="47"/>
        <v>6.5290490840117172</v>
      </c>
      <c r="X224" s="13">
        <f t="shared" si="48"/>
        <v>0.87157676649774207</v>
      </c>
      <c r="Y224" s="13">
        <f t="shared" si="49"/>
        <v>1.069576766497778</v>
      </c>
      <c r="Z224" s="13">
        <f t="shared" si="50"/>
        <v>6.5290490840119304</v>
      </c>
      <c r="AA224" s="13">
        <f t="shared" si="51"/>
        <v>10.276445979460462</v>
      </c>
      <c r="AC224" s="103"/>
      <c r="AD224" s="103"/>
      <c r="AE224" s="339">
        <f t="shared" si="52"/>
        <v>0.26349861485796056</v>
      </c>
      <c r="AF224">
        <f t="shared" si="53"/>
        <v>1.1459999999999999</v>
      </c>
      <c r="AG224">
        <f t="shared" si="54"/>
        <v>0.11459999999999999</v>
      </c>
      <c r="AH224">
        <f t="shared" si="55"/>
        <v>4.4693999999999994</v>
      </c>
    </row>
    <row r="225" spans="1:34" x14ac:dyDescent="0.45">
      <c r="A225" s="1">
        <v>11.4</v>
      </c>
      <c r="B225" s="1">
        <v>34</v>
      </c>
      <c r="C225" s="1">
        <v>35</v>
      </c>
      <c r="D225" s="76">
        <v>6</v>
      </c>
      <c r="E225" s="126">
        <f t="shared" si="33"/>
        <v>92.58274999999999</v>
      </c>
      <c r="F225" s="216">
        <v>0.3</v>
      </c>
      <c r="G225" s="215">
        <f t="shared" si="34"/>
        <v>0.87157676649772942</v>
      </c>
      <c r="H225" s="217">
        <f t="shared" si="35"/>
        <v>0.28578838324886474</v>
      </c>
      <c r="I225" s="215">
        <f t="shared" si="36"/>
        <v>0.25980762113533157</v>
      </c>
      <c r="J225" s="93">
        <f t="shared" si="37"/>
        <v>1.3333333333333333E-3</v>
      </c>
      <c r="K225" s="1">
        <f t="shared" si="38"/>
        <v>263.3</v>
      </c>
      <c r="L225" s="94">
        <f t="shared" si="57"/>
        <v>262.8162116167511</v>
      </c>
      <c r="M225" s="328">
        <f t="shared" si="56"/>
        <v>262.80821161675112</v>
      </c>
      <c r="N225" s="94">
        <f t="shared" si="39"/>
        <v>263.09399999999999</v>
      </c>
      <c r="O225" s="1">
        <f t="shared" si="40"/>
        <v>263.35000000000002</v>
      </c>
      <c r="P225" s="332">
        <f t="shared" si="41"/>
        <v>0.25600000000002865</v>
      </c>
      <c r="Q225" s="332">
        <f t="shared" si="42"/>
        <v>1.3835767664977867</v>
      </c>
      <c r="R225" s="1" t="str">
        <f t="shared" si="43"/>
        <v>OK</v>
      </c>
      <c r="S225" s="13">
        <f t="shared" si="44"/>
        <v>172.27318945266666</v>
      </c>
      <c r="T225" s="192">
        <f t="shared" si="32"/>
        <v>0.86074824362709768</v>
      </c>
      <c r="U225" s="13">
        <f t="shared" si="45"/>
        <v>0.48378838324890694</v>
      </c>
      <c r="V225" s="13">
        <f t="shared" si="46"/>
        <v>0.54178838324889966</v>
      </c>
      <c r="W225" s="13">
        <f t="shared" si="47"/>
        <v>1.0044690898479565</v>
      </c>
      <c r="X225" s="13">
        <f t="shared" si="48"/>
        <v>1.2675767664978139</v>
      </c>
      <c r="Y225" s="13">
        <f t="shared" si="49"/>
        <v>1.3255767664978066</v>
      </c>
      <c r="Z225" s="13">
        <f t="shared" si="50"/>
        <v>2.2751262884475798</v>
      </c>
      <c r="AA225" s="13">
        <f t="shared" si="51"/>
        <v>2.5007306458181708</v>
      </c>
      <c r="AC225" s="103"/>
      <c r="AD225" s="103"/>
      <c r="AE225" s="339">
        <f t="shared" si="52"/>
        <v>0.41678844096969514</v>
      </c>
      <c r="AF225">
        <f t="shared" si="53"/>
        <v>1.1459999999999999</v>
      </c>
      <c r="AG225">
        <f t="shared" si="54"/>
        <v>0.11459999999999999</v>
      </c>
      <c r="AH225">
        <f t="shared" si="55"/>
        <v>0.68759999999999999</v>
      </c>
    </row>
    <row r="226" spans="1:34" x14ac:dyDescent="0.45">
      <c r="A226" s="1">
        <v>11.5</v>
      </c>
      <c r="B226" s="1">
        <v>37</v>
      </c>
      <c r="C226" s="1">
        <v>38</v>
      </c>
      <c r="D226" s="76">
        <v>46</v>
      </c>
      <c r="E226" s="126">
        <f t="shared" si="33"/>
        <v>58.072000000000003</v>
      </c>
      <c r="F226" s="216">
        <v>0.2</v>
      </c>
      <c r="G226" s="215">
        <f t="shared" si="34"/>
        <v>0.58105117766515302</v>
      </c>
      <c r="H226" s="217">
        <f t="shared" si="35"/>
        <v>0.19052558883257653</v>
      </c>
      <c r="I226" s="215">
        <f t="shared" si="36"/>
        <v>0.17320508075688773</v>
      </c>
      <c r="J226" s="93">
        <f t="shared" si="37"/>
        <v>1.3333333333333333E-3</v>
      </c>
      <c r="K226" s="1">
        <f t="shared" si="38"/>
        <v>263.55</v>
      </c>
      <c r="L226" s="329">
        <f>K226-H226-0.2</f>
        <v>263.15947441116742</v>
      </c>
      <c r="M226" s="327">
        <f t="shared" si="56"/>
        <v>263.0981410778341</v>
      </c>
      <c r="N226" s="94">
        <f t="shared" si="39"/>
        <v>263.2886666666667</v>
      </c>
      <c r="O226" s="1">
        <f t="shared" si="40"/>
        <v>263.55</v>
      </c>
      <c r="P226" s="332">
        <f t="shared" si="41"/>
        <v>0.26133333333331166</v>
      </c>
      <c r="Q226" s="332">
        <f t="shared" si="42"/>
        <v>1.1037178443317763</v>
      </c>
      <c r="R226" s="1" t="str">
        <f t="shared" si="43"/>
        <v>OK</v>
      </c>
      <c r="S226" s="13">
        <f t="shared" si="44"/>
        <v>58.430688467127666</v>
      </c>
      <c r="T226" s="192">
        <f t="shared" si="32"/>
        <v>6.1766163921969887E-3</v>
      </c>
      <c r="U226" s="13">
        <f t="shared" si="45"/>
        <v>0.39052558883258826</v>
      </c>
      <c r="V226" s="13">
        <f t="shared" si="46"/>
        <v>0.45185892216591128</v>
      </c>
      <c r="W226" s="13">
        <f t="shared" si="47"/>
        <v>3.4226354172597047</v>
      </c>
      <c r="X226" s="13">
        <f t="shared" si="48"/>
        <v>0.98105117766517647</v>
      </c>
      <c r="Y226" s="13">
        <f t="shared" si="49"/>
        <v>1.0423845109984995</v>
      </c>
      <c r="Z226" s="13">
        <f t="shared" si="50"/>
        <v>10.608306251779641</v>
      </c>
      <c r="AA226" s="13">
        <f t="shared" si="51"/>
        <v>12.035502890850182</v>
      </c>
      <c r="AC226" s="103"/>
      <c r="AD226" s="103"/>
      <c r="AE226" s="339">
        <f t="shared" si="52"/>
        <v>0.26164136719239528</v>
      </c>
      <c r="AF226">
        <f t="shared" si="53"/>
        <v>0.76400000000000001</v>
      </c>
      <c r="AG226">
        <f t="shared" si="54"/>
        <v>7.640000000000001E-2</v>
      </c>
      <c r="AH226">
        <f t="shared" si="55"/>
        <v>3.5144000000000006</v>
      </c>
    </row>
    <row r="227" spans="1:34" x14ac:dyDescent="0.45">
      <c r="A227" s="1">
        <v>11.5</v>
      </c>
      <c r="B227" s="1">
        <v>38</v>
      </c>
      <c r="C227" s="1">
        <v>39</v>
      </c>
      <c r="D227" s="76">
        <v>24</v>
      </c>
      <c r="E227" s="126">
        <f t="shared" si="33"/>
        <v>75.002750000000006</v>
      </c>
      <c r="F227" s="216">
        <v>0.3</v>
      </c>
      <c r="G227" s="215">
        <f t="shared" si="34"/>
        <v>0.87157676649772942</v>
      </c>
      <c r="H227" s="217">
        <f t="shared" si="35"/>
        <v>0.28578838324886474</v>
      </c>
      <c r="I227" s="215">
        <f t="shared" si="36"/>
        <v>0.25980762113533157</v>
      </c>
      <c r="J227" s="93">
        <f t="shared" si="37"/>
        <v>1.3333333333333333E-3</v>
      </c>
      <c r="K227" s="1">
        <f t="shared" si="38"/>
        <v>263.55</v>
      </c>
      <c r="L227" s="329">
        <f>_xlfn.MINIFS($M$155:$M$239,$C$155:$C$239,B227)-0.202</f>
        <v>262.8961410778341</v>
      </c>
      <c r="M227" s="327">
        <f t="shared" si="56"/>
        <v>262.86414107783412</v>
      </c>
      <c r="N227" s="94">
        <f t="shared" si="39"/>
        <v>263.14992946108299</v>
      </c>
      <c r="O227" s="1">
        <f t="shared" si="40"/>
        <v>263.23500000000001</v>
      </c>
      <c r="P227" s="332">
        <f t="shared" si="41"/>
        <v>8.5070538917022986E-2</v>
      </c>
      <c r="Q227" s="332">
        <f t="shared" si="42"/>
        <v>1.0417178443317754</v>
      </c>
      <c r="R227" s="1" t="str">
        <f t="shared" si="43"/>
        <v>OK</v>
      </c>
      <c r="S227" s="13">
        <f t="shared" si="44"/>
        <v>172.27318945266666</v>
      </c>
      <c r="T227" s="192">
        <f t="shared" si="32"/>
        <v>1.2968916400087549</v>
      </c>
      <c r="U227" s="13">
        <f t="shared" si="45"/>
        <v>0.65385892216590946</v>
      </c>
      <c r="V227" s="13">
        <f t="shared" si="46"/>
        <v>0.370858922165894</v>
      </c>
      <c r="W227" s="13">
        <f t="shared" si="47"/>
        <v>4.0178763593918259</v>
      </c>
      <c r="X227" s="13">
        <f t="shared" si="48"/>
        <v>1.041717844331788</v>
      </c>
      <c r="Y227" s="13">
        <f t="shared" si="49"/>
        <v>1.3247178443318035</v>
      </c>
      <c r="Z227" s="13">
        <f t="shared" si="50"/>
        <v>5.9710564031956039</v>
      </c>
      <c r="AA227" s="13">
        <f t="shared" si="51"/>
        <v>9.9892642025466021</v>
      </c>
      <c r="AC227" s="103"/>
      <c r="AD227" s="103"/>
      <c r="AE227" s="339">
        <f t="shared" si="52"/>
        <v>0.41621934177277509</v>
      </c>
      <c r="AF227">
        <f t="shared" si="53"/>
        <v>1.1459999999999999</v>
      </c>
      <c r="AG227">
        <f t="shared" si="54"/>
        <v>0.11459999999999999</v>
      </c>
      <c r="AH227">
        <f t="shared" si="55"/>
        <v>2.7504</v>
      </c>
    </row>
    <row r="228" spans="1:34" x14ac:dyDescent="0.45">
      <c r="A228" s="1">
        <v>11.5</v>
      </c>
      <c r="B228" s="1">
        <v>39</v>
      </c>
      <c r="C228" s="1">
        <v>40</v>
      </c>
      <c r="D228" s="76">
        <v>40</v>
      </c>
      <c r="E228" s="126">
        <f t="shared" si="33"/>
        <v>156.70275000000001</v>
      </c>
      <c r="F228" s="216">
        <v>0.3</v>
      </c>
      <c r="G228" s="215">
        <f t="shared" si="34"/>
        <v>0.87157676649772942</v>
      </c>
      <c r="H228" s="217">
        <f t="shared" si="35"/>
        <v>0.28578838324886474</v>
      </c>
      <c r="I228" s="215">
        <f t="shared" si="36"/>
        <v>0.25980762113533157</v>
      </c>
      <c r="J228" s="93">
        <f t="shared" si="37"/>
        <v>1.3333333333333333E-3</v>
      </c>
      <c r="K228" s="1">
        <f t="shared" si="38"/>
        <v>263.23500000000001</v>
      </c>
      <c r="L228" s="94">
        <f t="shared" si="57"/>
        <v>262.86414107783412</v>
      </c>
      <c r="M228" s="327">
        <f t="shared" si="56"/>
        <v>262.81080774450078</v>
      </c>
      <c r="N228" s="94">
        <f t="shared" si="39"/>
        <v>263.09659612774965</v>
      </c>
      <c r="O228" s="1">
        <f t="shared" si="40"/>
        <v>263.23500000000001</v>
      </c>
      <c r="P228" s="332">
        <f t="shared" si="41"/>
        <v>0.13840387225036466</v>
      </c>
      <c r="Q228" s="332">
        <f t="shared" si="42"/>
        <v>1.1483845109984587</v>
      </c>
      <c r="R228" s="1" t="str">
        <f t="shared" si="43"/>
        <v>OK</v>
      </c>
      <c r="S228" s="13">
        <f t="shared" si="44"/>
        <v>172.27318945266666</v>
      </c>
      <c r="T228" s="192">
        <f t="shared" si="32"/>
        <v>9.9362898562192728E-2</v>
      </c>
      <c r="U228" s="13">
        <f t="shared" si="45"/>
        <v>0.370858922165894</v>
      </c>
      <c r="V228" s="13">
        <f t="shared" si="46"/>
        <v>0.42419225549923567</v>
      </c>
      <c r="W228" s="13">
        <f t="shared" si="47"/>
        <v>6.696460598986377</v>
      </c>
      <c r="X228" s="13">
        <f t="shared" si="48"/>
        <v>1.041717844331788</v>
      </c>
      <c r="Y228" s="13">
        <f t="shared" si="49"/>
        <v>1.0950511776651297</v>
      </c>
      <c r="Z228" s="13">
        <f t="shared" si="50"/>
        <v>9.9517606719926732</v>
      </c>
      <c r="AA228" s="13">
        <f t="shared" si="51"/>
        <v>11.091370817057875</v>
      </c>
      <c r="AC228" s="103"/>
      <c r="AD228" s="103"/>
      <c r="AE228" s="339">
        <f t="shared" si="52"/>
        <v>0.27728427042644688</v>
      </c>
      <c r="AF228">
        <f t="shared" si="53"/>
        <v>1.1459999999999999</v>
      </c>
      <c r="AG228">
        <f t="shared" si="54"/>
        <v>0.11459999999999999</v>
      </c>
      <c r="AH228">
        <f t="shared" si="55"/>
        <v>4.5839999999999996</v>
      </c>
    </row>
    <row r="229" spans="1:34" x14ac:dyDescent="0.45">
      <c r="A229" s="1">
        <v>11</v>
      </c>
      <c r="B229" s="1">
        <v>30</v>
      </c>
      <c r="C229" s="1">
        <v>35</v>
      </c>
      <c r="D229" s="76">
        <v>11</v>
      </c>
      <c r="E229" s="126">
        <f t="shared" si="33"/>
        <v>260.10000000000002</v>
      </c>
      <c r="F229" s="216">
        <v>0.4</v>
      </c>
      <c r="G229" s="215">
        <f t="shared" si="34"/>
        <v>1.162102355330306</v>
      </c>
      <c r="H229" s="217">
        <f t="shared" si="35"/>
        <v>0.38105117766515306</v>
      </c>
      <c r="I229" s="215">
        <f t="shared" si="36"/>
        <v>0.34641016151377546</v>
      </c>
      <c r="J229" s="93">
        <f t="shared" si="37"/>
        <v>1.3333333333333333E-3</v>
      </c>
      <c r="K229" s="1">
        <f t="shared" si="38"/>
        <v>263.435</v>
      </c>
      <c r="L229" s="94">
        <f t="shared" si="57"/>
        <v>262.8188782834178</v>
      </c>
      <c r="M229" s="327">
        <f t="shared" si="56"/>
        <v>262.80421161675116</v>
      </c>
      <c r="N229" s="94">
        <f t="shared" si="39"/>
        <v>263.1852627944163</v>
      </c>
      <c r="O229" s="1">
        <f t="shared" si="40"/>
        <v>263.35000000000002</v>
      </c>
      <c r="P229" s="332">
        <f t="shared" si="41"/>
        <v>0.16473720558371951</v>
      </c>
      <c r="Q229" s="332">
        <f t="shared" si="42"/>
        <v>1.4915767664977451</v>
      </c>
      <c r="R229" s="1" t="str">
        <f t="shared" si="43"/>
        <v>OK</v>
      </c>
      <c r="S229" s="13">
        <f t="shared" si="44"/>
        <v>371.01174535977839</v>
      </c>
      <c r="T229" s="192">
        <f t="shared" si="32"/>
        <v>0.42641962844974379</v>
      </c>
      <c r="U229" s="13">
        <f t="shared" si="45"/>
        <v>0.6161217165821995</v>
      </c>
      <c r="V229" s="13">
        <f t="shared" si="46"/>
        <v>0.54578838324886192</v>
      </c>
      <c r="W229" s="13">
        <f t="shared" si="47"/>
        <v>3.2738251817266741</v>
      </c>
      <c r="X229" s="13">
        <f t="shared" si="48"/>
        <v>1.4915767664977237</v>
      </c>
      <c r="Y229" s="13">
        <f t="shared" si="49"/>
        <v>1.5619100998310613</v>
      </c>
      <c r="Z229" s="13">
        <f t="shared" si="50"/>
        <v>5.678203438478465</v>
      </c>
      <c r="AA229" s="13">
        <f t="shared" si="51"/>
        <v>6.2687986898742603</v>
      </c>
      <c r="AC229" s="103"/>
      <c r="AD229" s="103"/>
      <c r="AE229" s="339">
        <f t="shared" si="52"/>
        <v>0.56989078998856912</v>
      </c>
      <c r="AF229">
        <f t="shared" si="53"/>
        <v>1.528</v>
      </c>
      <c r="AG229">
        <f t="shared" si="54"/>
        <v>0.15280000000000002</v>
      </c>
      <c r="AH229">
        <f t="shared" si="55"/>
        <v>1.6808000000000003</v>
      </c>
    </row>
    <row r="230" spans="1:34" x14ac:dyDescent="0.45">
      <c r="A230" s="1">
        <v>11</v>
      </c>
      <c r="B230" s="1">
        <v>35</v>
      </c>
      <c r="C230" s="1">
        <v>40</v>
      </c>
      <c r="D230" s="76">
        <v>90</v>
      </c>
      <c r="E230" s="126">
        <f t="shared" si="33"/>
        <v>597.25274999999999</v>
      </c>
      <c r="F230" s="216">
        <v>0.5</v>
      </c>
      <c r="G230" s="215">
        <f t="shared" si="34"/>
        <v>1.4526279441628827</v>
      </c>
      <c r="H230" s="217">
        <f t="shared" si="35"/>
        <v>0.47631397208144127</v>
      </c>
      <c r="I230" s="215">
        <f t="shared" si="36"/>
        <v>0.4330127018922193</v>
      </c>
      <c r="J230" s="93">
        <f t="shared" si="37"/>
        <v>1.3333333333333333E-3</v>
      </c>
      <c r="K230" s="1">
        <f t="shared" si="38"/>
        <v>263.35000000000002</v>
      </c>
      <c r="L230" s="94">
        <f t="shared" si="57"/>
        <v>262.80421161675116</v>
      </c>
      <c r="M230" s="328">
        <f t="shared" si="56"/>
        <v>262.68421161675116</v>
      </c>
      <c r="N230" s="94">
        <f t="shared" si="39"/>
        <v>263.16052558883257</v>
      </c>
      <c r="O230" s="1">
        <f t="shared" si="40"/>
        <v>263.23500000000001</v>
      </c>
      <c r="P230" s="332">
        <f t="shared" si="41"/>
        <v>7.4474411167443577E-2</v>
      </c>
      <c r="Q230" s="332">
        <f t="shared" si="42"/>
        <v>1.6015767664977698</v>
      </c>
      <c r="R230" s="1" t="str">
        <f t="shared" si="43"/>
        <v>OK</v>
      </c>
      <c r="S230" s="13">
        <f t="shared" si="44"/>
        <v>672.68905250044338</v>
      </c>
      <c r="T230" s="192">
        <f t="shared" si="32"/>
        <v>0.12630549210605291</v>
      </c>
      <c r="U230" s="13">
        <f t="shared" si="45"/>
        <v>0.54578838324886192</v>
      </c>
      <c r="V230" s="13">
        <f t="shared" si="46"/>
        <v>0.55078838324885737</v>
      </c>
      <c r="W230" s="13">
        <f t="shared" si="47"/>
        <v>41.85287874366486</v>
      </c>
      <c r="X230" s="13">
        <f t="shared" si="48"/>
        <v>1.5915767664977238</v>
      </c>
      <c r="Y230" s="13">
        <f t="shared" si="49"/>
        <v>1.5965767664977193</v>
      </c>
      <c r="Z230" s="13">
        <f t="shared" si="50"/>
        <v>51.370123582245384</v>
      </c>
      <c r="AA230" s="13">
        <f t="shared" si="51"/>
        <v>51.728790854707036</v>
      </c>
      <c r="AC230" s="103"/>
      <c r="AD230" s="103"/>
      <c r="AE230" s="339">
        <f t="shared" si="52"/>
        <v>0.57476434283007816</v>
      </c>
      <c r="AF230">
        <f t="shared" si="53"/>
        <v>1.91</v>
      </c>
      <c r="AG230">
        <f t="shared" si="54"/>
        <v>0.191</v>
      </c>
      <c r="AH230">
        <f t="shared" si="55"/>
        <v>17.190000000000001</v>
      </c>
    </row>
    <row r="231" spans="1:34" x14ac:dyDescent="0.45">
      <c r="A231" s="1">
        <v>11</v>
      </c>
      <c r="B231" s="1">
        <v>40</v>
      </c>
      <c r="C231" s="1">
        <v>36</v>
      </c>
      <c r="D231" s="76">
        <v>20</v>
      </c>
      <c r="E231" s="126">
        <f t="shared" si="33"/>
        <v>753.95550000000003</v>
      </c>
      <c r="F231" s="216">
        <v>0.6</v>
      </c>
      <c r="G231" s="215">
        <f t="shared" si="34"/>
        <v>1.7431535329954588</v>
      </c>
      <c r="H231" s="217">
        <f t="shared" si="35"/>
        <v>0.57157676649772948</v>
      </c>
      <c r="I231" s="215">
        <f t="shared" si="36"/>
        <v>0.51961524227066314</v>
      </c>
      <c r="J231" s="93">
        <f t="shared" si="37"/>
        <v>1.3333333333333333E-3</v>
      </c>
      <c r="K231" s="1">
        <f t="shared" si="38"/>
        <v>263.23500000000001</v>
      </c>
      <c r="L231" s="329">
        <f>_xlfn.MINIFS($M$155:$M$239,$C$155:$C$239,B231)-0</f>
        <v>262.68421161675116</v>
      </c>
      <c r="M231" s="327">
        <f t="shared" si="56"/>
        <v>262.65754495008451</v>
      </c>
      <c r="N231" s="94">
        <f t="shared" si="39"/>
        <v>263.22912171658226</v>
      </c>
      <c r="O231" s="1">
        <f t="shared" si="40"/>
        <v>263.23500000000001</v>
      </c>
      <c r="P231" s="332">
        <f t="shared" si="41"/>
        <v>5.878283417757757E-3</v>
      </c>
      <c r="Q231" s="332">
        <f t="shared" si="42"/>
        <v>1.7549100998309743</v>
      </c>
      <c r="R231" s="1" t="str">
        <f t="shared" si="43"/>
        <v>OK</v>
      </c>
      <c r="S231" s="13">
        <f t="shared" si="44"/>
        <v>1093.8665686523198</v>
      </c>
      <c r="T231" s="192">
        <f t="shared" si="32"/>
        <v>0.45083704363496219</v>
      </c>
      <c r="U231" s="13">
        <f t="shared" si="45"/>
        <v>0.55078838324885737</v>
      </c>
      <c r="V231" s="13">
        <f t="shared" si="46"/>
        <v>0.57745504991549979</v>
      </c>
      <c r="W231" s="13">
        <f t="shared" si="47"/>
        <v>13.392921197972754</v>
      </c>
      <c r="X231" s="13">
        <f t="shared" si="48"/>
        <v>1.7015767664977148</v>
      </c>
      <c r="Y231" s="13">
        <f t="shared" si="49"/>
        <v>1.7282434331643572</v>
      </c>
      <c r="Z231" s="13">
        <f t="shared" si="50"/>
        <v>12.676817461424093</v>
      </c>
      <c r="AA231" s="13">
        <f t="shared" si="51"/>
        <v>13.134126821378619</v>
      </c>
      <c r="AC231" s="103"/>
      <c r="AD231" s="103"/>
      <c r="AE231" s="339">
        <f t="shared" si="52"/>
        <v>0.65670634106893089</v>
      </c>
      <c r="AF231">
        <f t="shared" si="53"/>
        <v>2.2919999999999998</v>
      </c>
      <c r="AG231">
        <f t="shared" si="54"/>
        <v>0.22919999999999999</v>
      </c>
      <c r="AH231">
        <f t="shared" si="55"/>
        <v>4.5839999999999996</v>
      </c>
    </row>
    <row r="232" spans="1:34" x14ac:dyDescent="0.45">
      <c r="A232" s="1">
        <v>11</v>
      </c>
      <c r="B232" s="1">
        <v>36</v>
      </c>
      <c r="C232" s="1" t="s">
        <v>1020</v>
      </c>
      <c r="D232" s="76">
        <v>10</v>
      </c>
      <c r="E232" s="126">
        <f t="shared" si="33"/>
        <v>808.49375000000009</v>
      </c>
      <c r="F232" s="216">
        <v>0.6</v>
      </c>
      <c r="G232" s="215">
        <f t="shared" si="34"/>
        <v>1.7431535329954588</v>
      </c>
      <c r="H232" s="217">
        <f t="shared" si="35"/>
        <v>0.57157676649772948</v>
      </c>
      <c r="I232" s="215">
        <f t="shared" si="36"/>
        <v>0.51961524227066314</v>
      </c>
      <c r="J232" s="93">
        <f t="shared" si="37"/>
        <v>1.3333333333333333E-3</v>
      </c>
      <c r="K232" s="1">
        <f t="shared" si="38"/>
        <v>263.23500000000001</v>
      </c>
      <c r="L232" s="94">
        <f t="shared" si="57"/>
        <v>262.65754495008451</v>
      </c>
      <c r="M232" s="327">
        <f t="shared" si="56"/>
        <v>262.64421161675119</v>
      </c>
      <c r="N232" s="94">
        <f t="shared" si="39"/>
        <v>263.21578838324893</v>
      </c>
      <c r="O232" s="1">
        <f t="shared" si="40"/>
        <v>263.23500000000001</v>
      </c>
      <c r="P232" s="332">
        <f t="shared" si="41"/>
        <v>1.9211616751078964E-2</v>
      </c>
      <c r="Q232" s="332">
        <f t="shared" si="42"/>
        <v>1.7815767664976168</v>
      </c>
      <c r="R232" s="1" t="str">
        <f t="shared" si="43"/>
        <v>OK</v>
      </c>
      <c r="S232" s="13">
        <f t="shared" si="44"/>
        <v>1093.8665686523198</v>
      </c>
      <c r="T232" s="192">
        <f t="shared" si="32"/>
        <v>0.35296849066838132</v>
      </c>
      <c r="U232" s="13">
        <f t="shared" si="45"/>
        <v>0.57745504991549979</v>
      </c>
      <c r="V232" s="13">
        <f t="shared" si="46"/>
        <v>0.59078838324882099</v>
      </c>
      <c r="W232" s="13">
        <f t="shared" si="47"/>
        <v>6.696460598986377</v>
      </c>
      <c r="X232" s="13">
        <f t="shared" si="48"/>
        <v>1.7549100998309997</v>
      </c>
      <c r="Y232" s="13">
        <f t="shared" si="49"/>
        <v>1.7682434331643209</v>
      </c>
      <c r="Z232" s="13">
        <f t="shared" si="50"/>
        <v>6.7992736462221215</v>
      </c>
      <c r="AA232" s="13">
        <f t="shared" si="51"/>
        <v>6.9167120973218594</v>
      </c>
      <c r="AC232" s="103"/>
      <c r="AD232" s="103"/>
      <c r="AE232" s="339">
        <f t="shared" si="52"/>
        <v>0.69167120973218599</v>
      </c>
      <c r="AF232">
        <f t="shared" si="53"/>
        <v>2.2919999999999998</v>
      </c>
      <c r="AG232">
        <f t="shared" si="54"/>
        <v>0.22919999999999999</v>
      </c>
      <c r="AH232">
        <f t="shared" si="55"/>
        <v>2.2919999999999998</v>
      </c>
    </row>
    <row r="233" spans="1:34" x14ac:dyDescent="0.45">
      <c r="A233" s="1">
        <v>12.1</v>
      </c>
      <c r="B233" s="1">
        <v>19</v>
      </c>
      <c r="C233" s="1">
        <v>18</v>
      </c>
      <c r="D233" s="76">
        <v>108</v>
      </c>
      <c r="E233" s="126">
        <f t="shared" si="33"/>
        <v>195.02499999999998</v>
      </c>
      <c r="F233" s="216">
        <v>0.4</v>
      </c>
      <c r="G233" s="215">
        <f t="shared" si="34"/>
        <v>1.162102355330306</v>
      </c>
      <c r="H233" s="217">
        <f t="shared" si="35"/>
        <v>0.38105117766515306</v>
      </c>
      <c r="I233" s="215">
        <f t="shared" si="36"/>
        <v>0.34641016151377546</v>
      </c>
      <c r="J233" s="93">
        <f t="shared" si="37"/>
        <v>1.3333333333333333E-3</v>
      </c>
      <c r="K233" s="1">
        <f t="shared" si="38"/>
        <v>263.64999999999998</v>
      </c>
      <c r="L233" s="94">
        <f>K233-H233</f>
        <v>263.26894882233483</v>
      </c>
      <c r="M233" s="327">
        <f t="shared" si="56"/>
        <v>263.12494882233483</v>
      </c>
      <c r="N233" s="94">
        <f t="shared" si="39"/>
        <v>263.50599999999997</v>
      </c>
      <c r="O233" s="1">
        <f t="shared" si="40"/>
        <v>263.64999999999998</v>
      </c>
      <c r="P233" s="332">
        <f t="shared" si="41"/>
        <v>0.14400000000000546</v>
      </c>
      <c r="Q233" s="332">
        <f t="shared" si="42"/>
        <v>1.4501023553303169</v>
      </c>
      <c r="R233" s="1" t="str">
        <f t="shared" si="43"/>
        <v>OK</v>
      </c>
      <c r="S233" s="13">
        <f t="shared" si="44"/>
        <v>371.01174535977839</v>
      </c>
      <c r="T233" s="192">
        <f t="shared" si="32"/>
        <v>0.90238044025011377</v>
      </c>
      <c r="U233" s="13">
        <f t="shared" si="45"/>
        <v>0.3810511776651424</v>
      </c>
      <c r="V233" s="13">
        <f t="shared" si="46"/>
        <v>0.52505117766514786</v>
      </c>
      <c r="W233" s="13">
        <f t="shared" si="47"/>
        <v>32.143010875134614</v>
      </c>
      <c r="X233" s="13">
        <f t="shared" si="48"/>
        <v>1.1621023553302847</v>
      </c>
      <c r="Y233" s="13">
        <f t="shared" si="49"/>
        <v>1.3061023553302902</v>
      </c>
      <c r="Z233" s="13">
        <f t="shared" si="50"/>
        <v>32.143010875133278</v>
      </c>
      <c r="AA233" s="13">
        <f t="shared" si="51"/>
        <v>41.739390790181965</v>
      </c>
      <c r="AC233" s="103"/>
      <c r="AD233" s="103"/>
      <c r="AE233" s="339">
        <f t="shared" si="52"/>
        <v>0.38647584064983298</v>
      </c>
      <c r="AF233">
        <f t="shared" si="53"/>
        <v>1.528</v>
      </c>
      <c r="AG233">
        <f t="shared" si="54"/>
        <v>0.15280000000000002</v>
      </c>
      <c r="AH233">
        <f t="shared" si="55"/>
        <v>16.502400000000002</v>
      </c>
    </row>
    <row r="234" spans="1:34" x14ac:dyDescent="0.45">
      <c r="A234" s="1">
        <v>12.2</v>
      </c>
      <c r="B234" s="1">
        <v>20</v>
      </c>
      <c r="C234" s="1">
        <v>21</v>
      </c>
      <c r="D234" s="76">
        <v>102</v>
      </c>
      <c r="E234" s="126">
        <f t="shared" si="33"/>
        <v>202.72499999999999</v>
      </c>
      <c r="F234" s="216">
        <v>0.4</v>
      </c>
      <c r="G234" s="215">
        <f t="shared" si="34"/>
        <v>1.162102355330306</v>
      </c>
      <c r="H234" s="217">
        <f t="shared" si="35"/>
        <v>0.38105117766515306</v>
      </c>
      <c r="I234" s="215">
        <f t="shared" si="36"/>
        <v>0.34641016151377546</v>
      </c>
      <c r="J234" s="93">
        <f t="shared" si="37"/>
        <v>1.3333333333333333E-3</v>
      </c>
      <c r="K234" s="1">
        <f t="shared" si="38"/>
        <v>263.45</v>
      </c>
      <c r="L234" s="94">
        <f>K234-H234</f>
        <v>263.06894882233485</v>
      </c>
      <c r="M234" s="327">
        <f t="shared" si="56"/>
        <v>262.93294882233482</v>
      </c>
      <c r="N234" s="94">
        <f t="shared" si="39"/>
        <v>263.31399999999996</v>
      </c>
      <c r="O234" s="1">
        <f t="shared" si="40"/>
        <v>263.55</v>
      </c>
      <c r="P234" s="332">
        <f t="shared" si="41"/>
        <v>0.23600000000004684</v>
      </c>
      <c r="Q234" s="332">
        <f t="shared" si="42"/>
        <v>1.6341023553303997</v>
      </c>
      <c r="R234" s="1" t="str">
        <f t="shared" si="43"/>
        <v>OK</v>
      </c>
      <c r="S234" s="13">
        <f t="shared" si="44"/>
        <v>371.01174535977839</v>
      </c>
      <c r="T234" s="192">
        <f t="shared" si="32"/>
        <v>0.83012329687891673</v>
      </c>
      <c r="U234" s="13">
        <f t="shared" si="45"/>
        <v>0.3810511776651424</v>
      </c>
      <c r="V234" s="13">
        <f t="shared" si="46"/>
        <v>0.61705117766518924</v>
      </c>
      <c r="W234" s="13">
        <f t="shared" si="47"/>
        <v>30.357288048738248</v>
      </c>
      <c r="X234" s="13">
        <f t="shared" si="48"/>
        <v>1.1621023553302847</v>
      </c>
      <c r="Y234" s="13">
        <f t="shared" si="49"/>
        <v>1.3981023553303316</v>
      </c>
      <c r="Z234" s="13">
        <f t="shared" si="50"/>
        <v>30.357288048736986</v>
      </c>
      <c r="AA234" s="13">
        <f t="shared" si="51"/>
        <v>45.764599997495637</v>
      </c>
      <c r="AC234" s="103"/>
      <c r="AD234" s="103"/>
      <c r="AE234" s="339">
        <f t="shared" si="52"/>
        <v>0.44867254899505526</v>
      </c>
      <c r="AF234">
        <f t="shared" si="53"/>
        <v>1.528</v>
      </c>
      <c r="AG234">
        <f t="shared" si="54"/>
        <v>0.15280000000000002</v>
      </c>
      <c r="AH234">
        <f t="shared" si="55"/>
        <v>15.585600000000001</v>
      </c>
    </row>
    <row r="235" spans="1:34" x14ac:dyDescent="0.45">
      <c r="A235" s="1">
        <v>12.2</v>
      </c>
      <c r="B235" s="1">
        <v>21</v>
      </c>
      <c r="C235" s="1">
        <v>22</v>
      </c>
      <c r="D235" s="76">
        <v>14</v>
      </c>
      <c r="E235" s="126">
        <f t="shared" si="33"/>
        <v>229.97924999999998</v>
      </c>
      <c r="F235" s="216">
        <v>0.4</v>
      </c>
      <c r="G235" s="215">
        <f t="shared" si="34"/>
        <v>1.162102355330306</v>
      </c>
      <c r="H235" s="217">
        <f t="shared" si="35"/>
        <v>0.38105117766515306</v>
      </c>
      <c r="I235" s="215">
        <f t="shared" si="36"/>
        <v>0.34641016151377546</v>
      </c>
      <c r="J235" s="93">
        <f t="shared" si="37"/>
        <v>1.3333333333333333E-3</v>
      </c>
      <c r="K235" s="1">
        <f t="shared" si="38"/>
        <v>263.55</v>
      </c>
      <c r="L235" s="94">
        <f t="shared" si="57"/>
        <v>262.93294882233482</v>
      </c>
      <c r="M235" s="327">
        <f t="shared" si="56"/>
        <v>262.91428215566816</v>
      </c>
      <c r="N235" s="94">
        <f t="shared" si="39"/>
        <v>263.2953333333333</v>
      </c>
      <c r="O235" s="1">
        <f t="shared" si="40"/>
        <v>263.55</v>
      </c>
      <c r="P235" s="332">
        <f t="shared" si="41"/>
        <v>0.2546666666667079</v>
      </c>
      <c r="Q235" s="332">
        <f t="shared" si="42"/>
        <v>1.6714356886637218</v>
      </c>
      <c r="R235" s="1" t="str">
        <f t="shared" si="43"/>
        <v>OK</v>
      </c>
      <c r="S235" s="13">
        <f t="shared" si="44"/>
        <v>371.01174535977839</v>
      </c>
      <c r="T235" s="192">
        <f t="shared" si="32"/>
        <v>0.61324008735474367</v>
      </c>
      <c r="U235" s="13">
        <f t="shared" si="45"/>
        <v>0.61705117766518924</v>
      </c>
      <c r="V235" s="13">
        <f t="shared" si="46"/>
        <v>0.6357178443318503</v>
      </c>
      <c r="W235" s="13">
        <f t="shared" si="47"/>
        <v>4.1666865949248582</v>
      </c>
      <c r="X235" s="13">
        <f t="shared" si="48"/>
        <v>1.6341023553303784</v>
      </c>
      <c r="Y235" s="13">
        <f t="shared" si="49"/>
        <v>1.6527690219970395</v>
      </c>
      <c r="Z235" s="13">
        <f t="shared" si="50"/>
        <v>8.7860167769370179</v>
      </c>
      <c r="AA235" s="13">
        <f t="shared" si="51"/>
        <v>9.0007590402556765</v>
      </c>
      <c r="AC235" s="103"/>
      <c r="AD235" s="103"/>
      <c r="AE235" s="339">
        <f t="shared" si="52"/>
        <v>0.64291136001826266</v>
      </c>
      <c r="AF235">
        <f t="shared" si="53"/>
        <v>1.528</v>
      </c>
      <c r="AG235">
        <f t="shared" si="54"/>
        <v>0.15280000000000002</v>
      </c>
      <c r="AH235">
        <f t="shared" si="55"/>
        <v>2.1392000000000002</v>
      </c>
    </row>
    <row r="236" spans="1:34" x14ac:dyDescent="0.45">
      <c r="A236" s="1">
        <v>12.3</v>
      </c>
      <c r="B236" s="1">
        <v>23</v>
      </c>
      <c r="C236" s="1">
        <v>24</v>
      </c>
      <c r="D236" s="76">
        <v>94</v>
      </c>
      <c r="E236" s="126">
        <f t="shared" si="33"/>
        <v>194.58975000000001</v>
      </c>
      <c r="F236" s="216">
        <v>0.4</v>
      </c>
      <c r="G236" s="215">
        <f t="shared" si="34"/>
        <v>1.162102355330306</v>
      </c>
      <c r="H236" s="217">
        <f t="shared" si="35"/>
        <v>0.38105117766515306</v>
      </c>
      <c r="I236" s="215">
        <f t="shared" si="36"/>
        <v>0.34641016151377546</v>
      </c>
      <c r="J236" s="93">
        <f t="shared" si="37"/>
        <v>1.3333333333333333E-3</v>
      </c>
      <c r="K236" s="1">
        <f t="shared" si="38"/>
        <v>263.55</v>
      </c>
      <c r="L236" s="94">
        <f>K236-H236</f>
        <v>263.16894882233487</v>
      </c>
      <c r="M236" s="327">
        <f t="shared" si="56"/>
        <v>263.04361548900152</v>
      </c>
      <c r="N236" s="94">
        <f t="shared" si="39"/>
        <v>263.42466666666667</v>
      </c>
      <c r="O236" s="1">
        <f t="shared" si="40"/>
        <v>263.55</v>
      </c>
      <c r="P236" s="332">
        <f t="shared" si="41"/>
        <v>0.1253333333333444</v>
      </c>
      <c r="Q236" s="332">
        <f t="shared" si="42"/>
        <v>1.4127690219969948</v>
      </c>
      <c r="R236" s="1" t="str">
        <f t="shared" si="43"/>
        <v>OK</v>
      </c>
      <c r="S236" s="13">
        <f t="shared" si="44"/>
        <v>371.01174535977839</v>
      </c>
      <c r="T236" s="192">
        <f t="shared" si="32"/>
        <v>0.90663560315884251</v>
      </c>
      <c r="U236" s="13">
        <f t="shared" si="45"/>
        <v>0.3810511776651424</v>
      </c>
      <c r="V236" s="13">
        <f t="shared" si="46"/>
        <v>0.5063845109984868</v>
      </c>
      <c r="W236" s="13">
        <f t="shared" si="47"/>
        <v>27.976324280209759</v>
      </c>
      <c r="X236" s="13">
        <f t="shared" si="48"/>
        <v>1.1621023553302847</v>
      </c>
      <c r="Y236" s="13">
        <f t="shared" si="49"/>
        <v>1.2874356886636291</v>
      </c>
      <c r="Z236" s="13">
        <f t="shared" si="50"/>
        <v>27.976324280208594</v>
      </c>
      <c r="AA236" s="13">
        <f t="shared" si="51"/>
        <v>35.191030332452641</v>
      </c>
      <c r="AC236" s="103"/>
      <c r="AD236" s="103"/>
      <c r="AE236" s="339">
        <f t="shared" si="52"/>
        <v>0.37437266311119832</v>
      </c>
      <c r="AF236">
        <f t="shared" si="53"/>
        <v>1.528</v>
      </c>
      <c r="AG236">
        <f t="shared" si="54"/>
        <v>0.15280000000000002</v>
      </c>
      <c r="AH236">
        <f t="shared" si="55"/>
        <v>14.363200000000003</v>
      </c>
    </row>
    <row r="237" spans="1:34" x14ac:dyDescent="0.45">
      <c r="A237" s="1">
        <v>12.3</v>
      </c>
      <c r="B237" s="1">
        <v>24</v>
      </c>
      <c r="C237" s="1">
        <v>25</v>
      </c>
      <c r="D237" s="76">
        <v>5</v>
      </c>
      <c r="E237" s="126">
        <f t="shared" si="33"/>
        <v>194.58975000000001</v>
      </c>
      <c r="F237" s="216">
        <v>0.4</v>
      </c>
      <c r="G237" s="215">
        <f t="shared" si="34"/>
        <v>1.162102355330306</v>
      </c>
      <c r="H237" s="217">
        <f t="shared" si="35"/>
        <v>0.38105117766515306</v>
      </c>
      <c r="I237" s="215">
        <f t="shared" si="36"/>
        <v>0.34641016151377546</v>
      </c>
      <c r="J237" s="93">
        <f t="shared" si="37"/>
        <v>1.3333333333333333E-3</v>
      </c>
      <c r="K237" s="1">
        <f t="shared" si="38"/>
        <v>263.55</v>
      </c>
      <c r="L237" s="94">
        <f t="shared" si="57"/>
        <v>263.04361548900152</v>
      </c>
      <c r="M237" s="328">
        <f t="shared" si="56"/>
        <v>263.03694882233486</v>
      </c>
      <c r="N237" s="94">
        <f t="shared" si="39"/>
        <v>263.41800000000001</v>
      </c>
      <c r="O237" s="1">
        <f t="shared" si="40"/>
        <v>263.55</v>
      </c>
      <c r="P237" s="332">
        <f t="shared" si="41"/>
        <v>0.132000000000005</v>
      </c>
      <c r="Q237" s="332">
        <f t="shared" si="42"/>
        <v>1.426102355330316</v>
      </c>
      <c r="R237" s="1" t="str">
        <f t="shared" si="43"/>
        <v>OK</v>
      </c>
      <c r="S237" s="13">
        <f t="shared" si="44"/>
        <v>371.01174535977839</v>
      </c>
      <c r="T237" s="192">
        <f t="shared" si="32"/>
        <v>0.90663560315884251</v>
      </c>
      <c r="U237" s="13">
        <f t="shared" si="45"/>
        <v>0.5063845109984868</v>
      </c>
      <c r="V237" s="13">
        <f t="shared" si="46"/>
        <v>0.51305117766514741</v>
      </c>
      <c r="W237" s="13">
        <f t="shared" si="47"/>
        <v>1.4881023553303063</v>
      </c>
      <c r="X237" s="13">
        <f t="shared" si="48"/>
        <v>1.4127690219969735</v>
      </c>
      <c r="Y237" s="13">
        <f t="shared" si="49"/>
        <v>1.4194356886636341</v>
      </c>
      <c r="Z237" s="13">
        <f t="shared" si="50"/>
        <v>2.2948953868928568</v>
      </c>
      <c r="AA237" s="13">
        <f t="shared" si="51"/>
        <v>2.3184970928150066</v>
      </c>
      <c r="AC237" s="103"/>
      <c r="AD237" s="103"/>
      <c r="AE237" s="339">
        <f t="shared" si="52"/>
        <v>0.46369941856300134</v>
      </c>
      <c r="AF237">
        <f t="shared" si="53"/>
        <v>1.528</v>
      </c>
      <c r="AG237">
        <f t="shared" si="54"/>
        <v>0.15280000000000002</v>
      </c>
      <c r="AH237">
        <f t="shared" si="55"/>
        <v>0.76400000000000012</v>
      </c>
    </row>
    <row r="238" spans="1:34" x14ac:dyDescent="0.45">
      <c r="A238" s="1">
        <v>12.4</v>
      </c>
      <c r="B238" s="1">
        <v>27</v>
      </c>
      <c r="C238" s="1">
        <v>26</v>
      </c>
      <c r="D238" s="76">
        <v>98</v>
      </c>
      <c r="E238" s="126">
        <f t="shared" si="33"/>
        <v>199.995</v>
      </c>
      <c r="F238" s="216">
        <v>0.4</v>
      </c>
      <c r="G238" s="215">
        <f t="shared" si="34"/>
        <v>1.162102355330306</v>
      </c>
      <c r="H238" s="217">
        <f t="shared" si="35"/>
        <v>0.38105117766515306</v>
      </c>
      <c r="I238" s="215">
        <f t="shared" si="36"/>
        <v>0.34641016151377546</v>
      </c>
      <c r="J238" s="93">
        <f t="shared" si="37"/>
        <v>1.3333333333333333E-3</v>
      </c>
      <c r="K238" s="1">
        <f t="shared" si="38"/>
        <v>263.55</v>
      </c>
      <c r="L238" s="94">
        <f>K238-H238</f>
        <v>263.16894882233487</v>
      </c>
      <c r="M238" s="328">
        <f t="shared" si="56"/>
        <v>263.03828215566818</v>
      </c>
      <c r="N238" s="94">
        <f t="shared" si="39"/>
        <v>263.41933333333333</v>
      </c>
      <c r="O238" s="1">
        <f t="shared" si="40"/>
        <v>263.55</v>
      </c>
      <c r="P238" s="332">
        <f t="shared" si="41"/>
        <v>0.13066666666668425</v>
      </c>
      <c r="Q238" s="332">
        <f t="shared" si="42"/>
        <v>1.4234356886636745</v>
      </c>
      <c r="R238" s="1" t="str">
        <f t="shared" si="43"/>
        <v>OK</v>
      </c>
      <c r="S238" s="13">
        <f t="shared" si="44"/>
        <v>371.01174535977839</v>
      </c>
      <c r="T238" s="192">
        <f t="shared" si="32"/>
        <v>0.85510510442650256</v>
      </c>
      <c r="U238" s="13">
        <f t="shared" si="45"/>
        <v>0.3810511776651424</v>
      </c>
      <c r="V238" s="13">
        <f t="shared" si="46"/>
        <v>0.51171784433182665</v>
      </c>
      <c r="W238" s="13">
        <f t="shared" si="47"/>
        <v>29.166806164474004</v>
      </c>
      <c r="X238" s="13">
        <f t="shared" si="48"/>
        <v>1.1621023553302847</v>
      </c>
      <c r="Y238" s="13">
        <f t="shared" si="49"/>
        <v>1.292769021996969</v>
      </c>
      <c r="Z238" s="13">
        <f t="shared" si="50"/>
        <v>29.166806164472792</v>
      </c>
      <c r="AA238" s="13">
        <f t="shared" si="51"/>
        <v>37.025667733757501</v>
      </c>
      <c r="AC238" s="103"/>
      <c r="AD238" s="103"/>
      <c r="AE238" s="339">
        <f t="shared" si="52"/>
        <v>0.37781293605874999</v>
      </c>
      <c r="AF238">
        <f t="shared" si="53"/>
        <v>1.528</v>
      </c>
      <c r="AG238">
        <f t="shared" si="54"/>
        <v>0.15280000000000002</v>
      </c>
      <c r="AH238">
        <f t="shared" si="55"/>
        <v>14.974400000000001</v>
      </c>
    </row>
    <row r="239" spans="1:34" x14ac:dyDescent="0.45">
      <c r="A239" s="1">
        <v>12</v>
      </c>
      <c r="B239" s="1">
        <v>16</v>
      </c>
      <c r="C239" s="1">
        <v>17</v>
      </c>
      <c r="D239" s="76">
        <v>102</v>
      </c>
      <c r="E239" s="126">
        <f t="shared" si="33"/>
        <v>254.49</v>
      </c>
      <c r="F239" s="216">
        <v>0.4</v>
      </c>
      <c r="G239" s="215">
        <f t="shared" si="34"/>
        <v>1.162102355330306</v>
      </c>
      <c r="H239" s="217">
        <f t="shared" si="35"/>
        <v>0.38105117766515306</v>
      </c>
      <c r="I239" s="215">
        <f t="shared" si="36"/>
        <v>0.34641016151377546</v>
      </c>
      <c r="J239" s="93">
        <f t="shared" si="37"/>
        <v>1.3333333333333333E-3</v>
      </c>
      <c r="K239" s="1">
        <f t="shared" si="38"/>
        <v>263.875</v>
      </c>
      <c r="L239" s="94">
        <f>K239-H239</f>
        <v>263.49394882233486</v>
      </c>
      <c r="M239" s="327">
        <f t="shared" si="56"/>
        <v>263.35794882233483</v>
      </c>
      <c r="N239" s="94">
        <f t="shared" si="39"/>
        <v>263.73899999999998</v>
      </c>
      <c r="O239" s="1">
        <f t="shared" si="40"/>
        <v>263.875</v>
      </c>
      <c r="P239" s="332">
        <f t="shared" si="41"/>
        <v>0.1360000000000241</v>
      </c>
      <c r="Q239" s="332">
        <f t="shared" si="42"/>
        <v>1.4341023553303542</v>
      </c>
      <c r="R239" s="1" t="str">
        <f t="shared" si="43"/>
        <v>OK</v>
      </c>
      <c r="S239" s="13">
        <f t="shared" si="44"/>
        <v>371.01174535977839</v>
      </c>
      <c r="T239" s="192">
        <f t="shared" si="32"/>
        <v>0.45786374851577027</v>
      </c>
      <c r="U239" s="13">
        <f t="shared" si="45"/>
        <v>0.3810511776651424</v>
      </c>
      <c r="V239" s="13">
        <f t="shared" si="46"/>
        <v>0.51705117766516651</v>
      </c>
      <c r="W239" s="13">
        <f t="shared" si="47"/>
        <v>30.357288048738248</v>
      </c>
      <c r="X239" s="13">
        <f t="shared" si="48"/>
        <v>1.1621023553302847</v>
      </c>
      <c r="Y239" s="13">
        <f t="shared" si="49"/>
        <v>1.2981023553303088</v>
      </c>
      <c r="Z239" s="13">
        <f t="shared" si="50"/>
        <v>30.357288048736986</v>
      </c>
      <c r="AA239" s="13">
        <f t="shared" si="51"/>
        <v>38.889277985309441</v>
      </c>
      <c r="AC239" s="103"/>
      <c r="AD239" s="103"/>
      <c r="AE239" s="339">
        <f t="shared" si="52"/>
        <v>0.38126743122852391</v>
      </c>
      <c r="AF239">
        <f t="shared" si="53"/>
        <v>1.528</v>
      </c>
      <c r="AG239">
        <f t="shared" si="54"/>
        <v>0.15280000000000002</v>
      </c>
      <c r="AH239">
        <f t="shared" si="55"/>
        <v>15.585600000000001</v>
      </c>
    </row>
    <row r="240" spans="1:34" x14ac:dyDescent="0.45">
      <c r="A240" s="1">
        <v>12</v>
      </c>
      <c r="B240" s="1">
        <v>17</v>
      </c>
      <c r="C240" s="1">
        <v>18</v>
      </c>
      <c r="D240" s="76">
        <v>72</v>
      </c>
      <c r="E240" s="126">
        <f t="shared" si="33"/>
        <v>357.33120000000002</v>
      </c>
      <c r="F240" s="216">
        <v>0.4</v>
      </c>
      <c r="G240" s="215">
        <f t="shared" si="34"/>
        <v>1.162102355330306</v>
      </c>
      <c r="H240" s="217">
        <f t="shared" si="35"/>
        <v>0.38105117766515306</v>
      </c>
      <c r="I240" s="215">
        <f t="shared" si="36"/>
        <v>0.34641016151377546</v>
      </c>
      <c r="J240" s="93">
        <f t="shared" si="37"/>
        <v>1.3333333333333333E-3</v>
      </c>
      <c r="K240" s="1">
        <f t="shared" si="38"/>
        <v>263.875</v>
      </c>
      <c r="L240" s="94">
        <f t="shared" ref="L240:L244" si="58">_xlfn.MINIFS($M$155:$M$244,$C$155:$C$244,B240)</f>
        <v>263.35794882233483</v>
      </c>
      <c r="M240" s="328">
        <f t="shared" si="56"/>
        <v>263.26194882233483</v>
      </c>
      <c r="N240" s="94">
        <f t="shared" si="39"/>
        <v>263.64299999999997</v>
      </c>
      <c r="O240" s="1">
        <f t="shared" si="40"/>
        <v>263.64999999999998</v>
      </c>
      <c r="P240" s="332">
        <f t="shared" si="41"/>
        <v>7.0000000000050022E-3</v>
      </c>
      <c r="Q240" s="332">
        <f t="shared" si="42"/>
        <v>1.176102355330316</v>
      </c>
      <c r="R240" s="1" t="str">
        <f t="shared" si="43"/>
        <v>OK</v>
      </c>
      <c r="S240" s="13">
        <f t="shared" si="44"/>
        <v>371.01174535977839</v>
      </c>
      <c r="T240" s="192">
        <f t="shared" si="32"/>
        <v>3.8285336852137072E-2</v>
      </c>
      <c r="U240" s="13">
        <f t="shared" si="45"/>
        <v>0.51705117766516651</v>
      </c>
      <c r="V240" s="13">
        <f t="shared" si="46"/>
        <v>0.38805117766514741</v>
      </c>
      <c r="W240" s="13">
        <f t="shared" si="47"/>
        <v>21.428673916756409</v>
      </c>
      <c r="X240" s="13">
        <f t="shared" si="48"/>
        <v>1.1761023553302947</v>
      </c>
      <c r="Y240" s="13">
        <f t="shared" si="49"/>
        <v>1.3051023553303138</v>
      </c>
      <c r="Z240" s="13">
        <f t="shared" si="50"/>
        <v>22.017901503842406</v>
      </c>
      <c r="AA240" s="13">
        <f t="shared" si="51"/>
        <v>27.779258841997191</v>
      </c>
      <c r="AC240" s="103"/>
      <c r="AD240" s="103"/>
      <c r="AE240" s="339">
        <f t="shared" si="52"/>
        <v>0.38582303947218322</v>
      </c>
      <c r="AF240">
        <f t="shared" si="53"/>
        <v>1.528</v>
      </c>
      <c r="AG240">
        <f t="shared" si="54"/>
        <v>0.15280000000000002</v>
      </c>
      <c r="AH240">
        <f t="shared" si="55"/>
        <v>11.001600000000002</v>
      </c>
    </row>
    <row r="241" spans="1:35" x14ac:dyDescent="0.45">
      <c r="A241" s="1">
        <v>12</v>
      </c>
      <c r="B241" s="1">
        <v>18</v>
      </c>
      <c r="C241" s="1">
        <v>22</v>
      </c>
      <c r="D241" s="76">
        <v>50</v>
      </c>
      <c r="E241" s="126">
        <f t="shared" si="33"/>
        <v>568.26619999999991</v>
      </c>
      <c r="F241" s="216">
        <v>0.5</v>
      </c>
      <c r="G241" s="215">
        <f t="shared" si="34"/>
        <v>1.4526279441628827</v>
      </c>
      <c r="H241" s="217">
        <f t="shared" si="35"/>
        <v>0.47631397208144127</v>
      </c>
      <c r="I241" s="215">
        <f t="shared" si="36"/>
        <v>0.4330127018922193</v>
      </c>
      <c r="J241" s="93">
        <f t="shared" si="37"/>
        <v>1.3333333333333333E-3</v>
      </c>
      <c r="K241" s="1">
        <f t="shared" si="38"/>
        <v>263.64999999999998</v>
      </c>
      <c r="L241" s="94">
        <f t="shared" si="58"/>
        <v>263.12494882233483</v>
      </c>
      <c r="M241" s="328">
        <f t="shared" si="56"/>
        <v>263.05828215566817</v>
      </c>
      <c r="N241" s="94">
        <f t="shared" si="39"/>
        <v>263.53459612774958</v>
      </c>
      <c r="O241" s="1">
        <f t="shared" si="40"/>
        <v>263.55</v>
      </c>
      <c r="P241" s="332">
        <f t="shared" si="41"/>
        <v>1.540387225043105E-2</v>
      </c>
      <c r="Q241" s="332">
        <f t="shared" si="42"/>
        <v>1.4834356886637448</v>
      </c>
      <c r="R241" s="1" t="str">
        <f t="shared" si="43"/>
        <v>OK</v>
      </c>
      <c r="S241" s="13">
        <f t="shared" si="44"/>
        <v>672.68905250044338</v>
      </c>
      <c r="T241" s="192">
        <f t="shared" si="32"/>
        <v>0.18375693029154908</v>
      </c>
      <c r="U241" s="13">
        <f t="shared" si="45"/>
        <v>0.52505117766514786</v>
      </c>
      <c r="V241" s="13">
        <f t="shared" si="46"/>
        <v>0.49171784433184484</v>
      </c>
      <c r="W241" s="13">
        <f t="shared" si="47"/>
        <v>23.251599302036034</v>
      </c>
      <c r="X241" s="13">
        <f t="shared" si="48"/>
        <v>1.4834356886636897</v>
      </c>
      <c r="Y241" s="13">
        <f t="shared" si="49"/>
        <v>1.5167690219969927</v>
      </c>
      <c r="Z241" s="13">
        <f t="shared" si="50"/>
        <v>24.382268030013943</v>
      </c>
      <c r="AA241" s="13">
        <f t="shared" si="51"/>
        <v>25.632353326121422</v>
      </c>
      <c r="AC241" s="103"/>
      <c r="AD241" s="103"/>
      <c r="AE241" s="339">
        <f t="shared" si="52"/>
        <v>0.51264706652242842</v>
      </c>
      <c r="AF241">
        <f t="shared" si="53"/>
        <v>1.91</v>
      </c>
      <c r="AG241">
        <f t="shared" si="54"/>
        <v>0.191</v>
      </c>
      <c r="AH241">
        <f t="shared" si="55"/>
        <v>9.5500000000000007</v>
      </c>
    </row>
    <row r="242" spans="1:35" x14ac:dyDescent="0.45">
      <c r="A242" s="1">
        <v>12</v>
      </c>
      <c r="B242" s="1">
        <v>22</v>
      </c>
      <c r="C242" s="1">
        <v>25</v>
      </c>
      <c r="D242" s="76">
        <v>18</v>
      </c>
      <c r="E242" s="126">
        <f t="shared" si="33"/>
        <v>798.24544999999989</v>
      </c>
      <c r="F242" s="216">
        <v>0.6</v>
      </c>
      <c r="G242" s="215">
        <f t="shared" si="34"/>
        <v>1.7431535329954588</v>
      </c>
      <c r="H242" s="217">
        <f t="shared" si="35"/>
        <v>0.57157676649772948</v>
      </c>
      <c r="I242" s="215">
        <f t="shared" si="36"/>
        <v>0.51961524227066314</v>
      </c>
      <c r="J242" s="93">
        <f t="shared" si="37"/>
        <v>1.3333333333333333E-3</v>
      </c>
      <c r="K242" s="1">
        <f t="shared" si="38"/>
        <v>263.55</v>
      </c>
      <c r="L242" s="94">
        <f t="shared" si="58"/>
        <v>262.91428215566816</v>
      </c>
      <c r="M242" s="327">
        <f t="shared" si="56"/>
        <v>262.89028215566816</v>
      </c>
      <c r="N242" s="94">
        <f t="shared" si="39"/>
        <v>263.4618589221659</v>
      </c>
      <c r="O242" s="1">
        <f t="shared" si="40"/>
        <v>263.55</v>
      </c>
      <c r="P242" s="332">
        <f t="shared" si="41"/>
        <v>8.8141077834109183E-2</v>
      </c>
      <c r="Q242" s="332">
        <f t="shared" si="42"/>
        <v>1.9194356886636772</v>
      </c>
      <c r="R242" s="1" t="str">
        <f t="shared" si="43"/>
        <v>OK</v>
      </c>
      <c r="S242" s="13">
        <f t="shared" si="44"/>
        <v>1093.8665686523198</v>
      </c>
      <c r="T242" s="192">
        <f t="shared" si="32"/>
        <v>0.37033862034831505</v>
      </c>
      <c r="U242" s="13">
        <f t="shared" si="45"/>
        <v>0.6357178443318503</v>
      </c>
      <c r="V242" s="13">
        <f t="shared" si="46"/>
        <v>0.65971784433185121</v>
      </c>
      <c r="W242" s="13">
        <f t="shared" si="47"/>
        <v>12.053629078175478</v>
      </c>
      <c r="X242" s="13">
        <f t="shared" si="48"/>
        <v>1.8714356886637007</v>
      </c>
      <c r="Y242" s="13">
        <f t="shared" si="49"/>
        <v>1.8954356886637016</v>
      </c>
      <c r="Z242" s="13">
        <f t="shared" si="50"/>
        <v>14.140221915618806</v>
      </c>
      <c r="AA242" s="13">
        <f t="shared" si="51"/>
        <v>14.547044024370182</v>
      </c>
      <c r="AC242" s="103"/>
      <c r="AD242" s="103"/>
      <c r="AE242" s="339">
        <f t="shared" si="52"/>
        <v>0.80816911246501011</v>
      </c>
      <c r="AF242">
        <f t="shared" si="53"/>
        <v>2.2919999999999998</v>
      </c>
      <c r="AG242">
        <f t="shared" si="54"/>
        <v>0.22919999999999999</v>
      </c>
      <c r="AH242">
        <f t="shared" si="55"/>
        <v>4.1255999999999995</v>
      </c>
    </row>
    <row r="243" spans="1:35" x14ac:dyDescent="0.45">
      <c r="A243" s="1">
        <v>12</v>
      </c>
      <c r="B243" s="1">
        <v>25</v>
      </c>
      <c r="C243" s="1">
        <v>26</v>
      </c>
      <c r="D243" s="76">
        <v>78</v>
      </c>
      <c r="E243" s="126">
        <f t="shared" si="33"/>
        <v>1005.9224499999999</v>
      </c>
      <c r="F243" s="216">
        <v>0.6</v>
      </c>
      <c r="G243" s="215">
        <f t="shared" si="34"/>
        <v>1.7431535329954588</v>
      </c>
      <c r="H243" s="217">
        <f t="shared" si="35"/>
        <v>0.57157676649772948</v>
      </c>
      <c r="I243" s="215">
        <f t="shared" si="36"/>
        <v>0.51961524227066314</v>
      </c>
      <c r="J243" s="93">
        <f t="shared" si="37"/>
        <v>1.3333333333333333E-3</v>
      </c>
      <c r="K243" s="1">
        <f t="shared" si="38"/>
        <v>263.55</v>
      </c>
      <c r="L243" s="94">
        <f>_xlfn.MINIFS($M$155:$M$244,$C$155:$C$244,B243)</f>
        <v>262.89028215566816</v>
      </c>
      <c r="M243" s="327">
        <f t="shared" si="56"/>
        <v>262.78628215566818</v>
      </c>
      <c r="N243" s="94">
        <f t="shared" si="39"/>
        <v>263.35785892216592</v>
      </c>
      <c r="O243" s="1">
        <f t="shared" si="40"/>
        <v>263.55</v>
      </c>
      <c r="P243" s="332">
        <f t="shared" si="41"/>
        <v>0.19214107783409418</v>
      </c>
      <c r="Q243" s="332">
        <f t="shared" si="42"/>
        <v>2.1274356886636472</v>
      </c>
      <c r="R243" s="1" t="str">
        <f t="shared" si="43"/>
        <v>OK</v>
      </c>
      <c r="S243" s="13">
        <f t="shared" si="44"/>
        <v>1093.8665686523198</v>
      </c>
      <c r="T243" s="192">
        <f t="shared" si="32"/>
        <v>8.7426340521895948E-2</v>
      </c>
      <c r="U243" s="13">
        <f t="shared" si="45"/>
        <v>0.65971784433185121</v>
      </c>
      <c r="V243" s="13">
        <f t="shared" si="46"/>
        <v>0.7637178443318362</v>
      </c>
      <c r="W243" s="13">
        <f t="shared" si="47"/>
        <v>52.232392672093738</v>
      </c>
      <c r="X243" s="13">
        <f t="shared" si="48"/>
        <v>1.9194356886637025</v>
      </c>
      <c r="Y243" s="13">
        <f t="shared" si="49"/>
        <v>2.0234356886636875</v>
      </c>
      <c r="Z243" s="13">
        <f t="shared" si="50"/>
        <v>64.822550576860081</v>
      </c>
      <c r="AA243" s="13">
        <f t="shared" si="51"/>
        <v>72.818693730078877</v>
      </c>
      <c r="AC243" s="103"/>
      <c r="AD243" s="103"/>
      <c r="AE243" s="339">
        <f t="shared" si="52"/>
        <v>0.93357299653947279</v>
      </c>
      <c r="AF243">
        <f t="shared" si="53"/>
        <v>2.2919999999999998</v>
      </c>
      <c r="AG243">
        <f t="shared" si="54"/>
        <v>0.22919999999999999</v>
      </c>
      <c r="AH243">
        <f t="shared" si="55"/>
        <v>17.877599999999997</v>
      </c>
    </row>
    <row r="244" spans="1:35" ht="14.65" thickBot="1" x14ac:dyDescent="0.5">
      <c r="A244" s="34">
        <v>12</v>
      </c>
      <c r="B244" s="34">
        <v>26</v>
      </c>
      <c r="C244" s="34" t="s">
        <v>1025</v>
      </c>
      <c r="D244" s="356">
        <v>9</v>
      </c>
      <c r="E244" s="287">
        <f t="shared" si="33"/>
        <v>1205.9174499999999</v>
      </c>
      <c r="F244" s="357">
        <v>0.7</v>
      </c>
      <c r="G244" s="358">
        <f t="shared" si="34"/>
        <v>2.0336791218280355</v>
      </c>
      <c r="H244" s="359">
        <f t="shared" si="35"/>
        <v>0.66683956091401775</v>
      </c>
      <c r="I244" s="358">
        <f t="shared" si="36"/>
        <v>0.60621778264910697</v>
      </c>
      <c r="J244" s="360">
        <f t="shared" si="37"/>
        <v>1.3333333333333333E-3</v>
      </c>
      <c r="K244" s="34">
        <f t="shared" si="38"/>
        <v>263.55</v>
      </c>
      <c r="L244" s="361">
        <f t="shared" si="58"/>
        <v>262.78628215566818</v>
      </c>
      <c r="M244" s="362">
        <f t="shared" si="56"/>
        <v>262.77428215566817</v>
      </c>
      <c r="N244" s="361">
        <f t="shared" si="39"/>
        <v>263.44112171658219</v>
      </c>
      <c r="O244" s="34">
        <f t="shared" si="40"/>
        <v>263.55</v>
      </c>
      <c r="P244" s="363">
        <f t="shared" si="41"/>
        <v>0.10887828341782324</v>
      </c>
      <c r="Q244" s="363">
        <f t="shared" si="42"/>
        <v>2.2514356886636819</v>
      </c>
      <c r="R244" s="34" t="str">
        <f t="shared" si="43"/>
        <v>OK</v>
      </c>
      <c r="S244" s="338">
        <f t="shared" si="44"/>
        <v>1650.0196709076884</v>
      </c>
      <c r="T244" s="364">
        <f t="shared" si="32"/>
        <v>0.36826917207947235</v>
      </c>
      <c r="U244" s="338">
        <f t="shared" si="45"/>
        <v>0.7637178443318362</v>
      </c>
      <c r="V244" s="338">
        <f t="shared" si="46"/>
        <v>0.77571784433183666</v>
      </c>
      <c r="W244" s="338">
        <f t="shared" si="47"/>
        <v>8.2031642337583115</v>
      </c>
      <c r="X244" s="338">
        <f t="shared" si="48"/>
        <v>2.2274356886636726</v>
      </c>
      <c r="Y244" s="338">
        <f t="shared" si="49"/>
        <v>2.239435688663673</v>
      </c>
      <c r="Z244" s="338">
        <f t="shared" si="50"/>
        <v>10.06080693104837</v>
      </c>
      <c r="AA244" s="338">
        <f t="shared" si="51"/>
        <v>10.181412458236213</v>
      </c>
      <c r="AC244" s="103"/>
      <c r="AD244" s="103"/>
      <c r="AE244" s="339">
        <f t="shared" si="52"/>
        <v>1.1312680509151347</v>
      </c>
      <c r="AF244">
        <f t="shared" si="53"/>
        <v>2.6739999999999999</v>
      </c>
      <c r="AG244">
        <f t="shared" si="54"/>
        <v>0.26740000000000003</v>
      </c>
      <c r="AH244">
        <f t="shared" si="55"/>
        <v>2.4066000000000001</v>
      </c>
    </row>
    <row r="245" spans="1:35" ht="14.65" thickTop="1" x14ac:dyDescent="0.45">
      <c r="G245" s="347">
        <f>MAX(G155:G244)</f>
        <v>2.0336791218280355</v>
      </c>
      <c r="H245" s="347">
        <f>MAX(H155:H244)</f>
        <v>0.66683956091401775</v>
      </c>
      <c r="J245" s="213"/>
      <c r="K245" s="213"/>
      <c r="L245" s="213"/>
      <c r="N245" s="213"/>
      <c r="W245" s="326">
        <f>SUM(W155:W244)</f>
        <v>1277.2754541388856</v>
      </c>
      <c r="Z245" s="365">
        <f>SUM(Z155:Z244)</f>
        <v>1471.3076236365387</v>
      </c>
      <c r="AA245" s="326">
        <f>SUM(AA155:AA244)</f>
        <v>1817.6182957098201</v>
      </c>
      <c r="AG245">
        <f>SUM(AG155:AG244)</f>
        <v>13.675599999999983</v>
      </c>
      <c r="AH245">
        <f>SUM(AH155:AH244)</f>
        <v>634.04359999999997</v>
      </c>
      <c r="AI245" s="107">
        <f>AH245*5000</f>
        <v>3170218</v>
      </c>
    </row>
    <row r="246" spans="1:35" x14ac:dyDescent="0.45">
      <c r="G246" s="347">
        <f>MIN(G155:G244)</f>
        <v>0.58105117766515302</v>
      </c>
      <c r="H246" s="347">
        <f>MIN(H155:H244)</f>
        <v>0.19052558883257653</v>
      </c>
      <c r="L246" s="213"/>
    </row>
    <row r="247" spans="1:35" x14ac:dyDescent="0.45">
      <c r="A247" s="176" t="s">
        <v>1034</v>
      </c>
      <c r="B247" s="176" t="s">
        <v>1061</v>
      </c>
      <c r="C247" s="176" t="s">
        <v>1316</v>
      </c>
      <c r="D247" s="176" t="s">
        <v>1063</v>
      </c>
    </row>
    <row r="248" spans="1:35" x14ac:dyDescent="0.45">
      <c r="A248" s="479">
        <v>1</v>
      </c>
      <c r="B248" s="479">
        <f>_xlfn.MAXIFS($E$155:$E$244,$A$155:$A$244,A248)</f>
        <v>778.38350000000003</v>
      </c>
      <c r="C248" s="479" t="s">
        <v>1003</v>
      </c>
      <c r="D248" s="110">
        <f t="shared" ref="D248:D259" si="59">VLOOKUP(C248,$C$154:$M$244,11,FALSE)</f>
        <v>-0.81019225549924323</v>
      </c>
    </row>
    <row r="249" spans="1:35" x14ac:dyDescent="0.45">
      <c r="A249" s="479">
        <v>2</v>
      </c>
      <c r="B249" s="479">
        <f t="shared" ref="B249:B259" si="60">_xlfn.MAXIFS($E$155:$E$244,$A$155:$A$244,A249)</f>
        <v>249.50575000000001</v>
      </c>
      <c r="C249" s="479" t="s">
        <v>1005</v>
      </c>
      <c r="D249" s="110">
        <f t="shared" si="59"/>
        <v>-0.51971784433181978</v>
      </c>
    </row>
    <row r="250" spans="1:35" x14ac:dyDescent="0.45">
      <c r="A250" s="479">
        <v>3</v>
      </c>
      <c r="B250" s="479">
        <f t="shared" si="60"/>
        <v>247.8485</v>
      </c>
      <c r="C250" s="479" t="s">
        <v>1009</v>
      </c>
      <c r="D250" s="110">
        <f t="shared" si="59"/>
        <v>-0.51971784433181978</v>
      </c>
    </row>
    <row r="251" spans="1:35" x14ac:dyDescent="0.45">
      <c r="A251" s="479">
        <v>4</v>
      </c>
      <c r="B251" s="479">
        <f t="shared" si="60"/>
        <v>238.37300000000002</v>
      </c>
      <c r="C251" s="479" t="s">
        <v>1011</v>
      </c>
      <c r="D251" s="110">
        <f t="shared" si="59"/>
        <v>-0.5490511776651531</v>
      </c>
    </row>
    <row r="252" spans="1:35" x14ac:dyDescent="0.45">
      <c r="A252" s="479">
        <v>5</v>
      </c>
      <c r="B252" s="479">
        <f t="shared" si="60"/>
        <v>203.54474999999999</v>
      </c>
      <c r="C252" s="479" t="s">
        <v>1012</v>
      </c>
      <c r="D252" s="110">
        <f t="shared" si="59"/>
        <v>263.25994882233482</v>
      </c>
    </row>
    <row r="253" spans="1:35" x14ac:dyDescent="0.45">
      <c r="A253" s="479">
        <v>6</v>
      </c>
      <c r="B253" s="479">
        <f t="shared" si="60"/>
        <v>624.3504999999999</v>
      </c>
      <c r="C253" s="479" t="s">
        <v>1056</v>
      </c>
      <c r="D253" s="110">
        <f t="shared" si="59"/>
        <v>262.79294882233484</v>
      </c>
    </row>
    <row r="254" spans="1:35" x14ac:dyDescent="0.45">
      <c r="A254" s="479">
        <v>7</v>
      </c>
      <c r="B254" s="479">
        <f t="shared" si="60"/>
        <v>721.93970000000002</v>
      </c>
      <c r="C254" s="479" t="s">
        <v>1057</v>
      </c>
      <c r="D254" s="110">
        <f t="shared" si="59"/>
        <v>262.64761548900157</v>
      </c>
    </row>
    <row r="255" spans="1:35" x14ac:dyDescent="0.45">
      <c r="A255" s="479">
        <v>8</v>
      </c>
      <c r="B255" s="479">
        <f t="shared" si="60"/>
        <v>821.08270000000005</v>
      </c>
      <c r="C255" s="479" t="s">
        <v>1058</v>
      </c>
      <c r="D255" s="110">
        <f t="shared" si="59"/>
        <v>262.30894882233486</v>
      </c>
    </row>
    <row r="256" spans="1:35" x14ac:dyDescent="0.45">
      <c r="A256" s="479">
        <v>9</v>
      </c>
      <c r="B256" s="479">
        <f t="shared" si="60"/>
        <v>222.43049999999999</v>
      </c>
      <c r="C256" s="479" t="s">
        <v>1059</v>
      </c>
      <c r="D256" s="110">
        <f t="shared" si="59"/>
        <v>262.35361548900153</v>
      </c>
    </row>
    <row r="257" spans="1:4" x14ac:dyDescent="0.45">
      <c r="A257" s="479">
        <v>10</v>
      </c>
      <c r="B257" s="479">
        <f t="shared" si="60"/>
        <v>1119.1342500000001</v>
      </c>
      <c r="C257" s="479" t="s">
        <v>1060</v>
      </c>
      <c r="D257" s="110">
        <f t="shared" si="59"/>
        <v>262.36161548900157</v>
      </c>
    </row>
    <row r="258" spans="1:4" x14ac:dyDescent="0.45">
      <c r="A258" s="479">
        <v>11</v>
      </c>
      <c r="B258" s="479">
        <f t="shared" si="60"/>
        <v>808.49375000000009</v>
      </c>
      <c r="C258" s="479" t="s">
        <v>1020</v>
      </c>
      <c r="D258" s="110">
        <f t="shared" si="59"/>
        <v>262.64421161675119</v>
      </c>
    </row>
    <row r="259" spans="1:4" x14ac:dyDescent="0.45">
      <c r="A259" s="479">
        <v>12</v>
      </c>
      <c r="B259" s="479">
        <f t="shared" si="60"/>
        <v>1205.9174499999999</v>
      </c>
      <c r="C259" s="479" t="s">
        <v>1025</v>
      </c>
      <c r="D259" s="110">
        <f t="shared" si="59"/>
        <v>262.77428215566817</v>
      </c>
    </row>
    <row r="260" spans="1:4" x14ac:dyDescent="0.45">
      <c r="B260" s="1">
        <f>SUM(B248:B259)</f>
        <v>7241.0043500000002</v>
      </c>
    </row>
    <row r="266" spans="1:4" x14ac:dyDescent="0.45">
      <c r="A266" s="176" t="s">
        <v>1062</v>
      </c>
      <c r="B266" s="176" t="s">
        <v>1063</v>
      </c>
    </row>
    <row r="267" spans="1:4" x14ac:dyDescent="0.45">
      <c r="A267" s="479">
        <v>1</v>
      </c>
      <c r="B267" s="479"/>
    </row>
    <row r="268" spans="1:4" x14ac:dyDescent="0.45">
      <c r="A268" s="479">
        <v>2</v>
      </c>
      <c r="B268" s="479"/>
    </row>
    <row r="269" spans="1:4" x14ac:dyDescent="0.45">
      <c r="A269" s="479">
        <v>3</v>
      </c>
      <c r="B269" s="479"/>
    </row>
    <row r="270" spans="1:4" x14ac:dyDescent="0.45">
      <c r="A270" s="479" t="s">
        <v>997</v>
      </c>
      <c r="B270" s="479"/>
    </row>
    <row r="271" spans="1:4" x14ac:dyDescent="0.45">
      <c r="A271" s="479">
        <v>4</v>
      </c>
      <c r="B271" s="479"/>
    </row>
    <row r="272" spans="1:4" x14ac:dyDescent="0.45">
      <c r="A272" s="479">
        <v>5</v>
      </c>
      <c r="B272" s="479"/>
    </row>
    <row r="273" spans="1:2" x14ac:dyDescent="0.45">
      <c r="A273" s="479">
        <v>6</v>
      </c>
      <c r="B273" s="479"/>
    </row>
    <row r="274" spans="1:2" x14ac:dyDescent="0.45">
      <c r="A274" s="479">
        <v>7</v>
      </c>
      <c r="B274" s="479"/>
    </row>
    <row r="275" spans="1:2" x14ac:dyDescent="0.45">
      <c r="A275" s="479" t="s">
        <v>1003</v>
      </c>
      <c r="B275" s="479"/>
    </row>
    <row r="276" spans="1:2" x14ac:dyDescent="0.45">
      <c r="A276" s="479">
        <v>8</v>
      </c>
      <c r="B276" s="479"/>
    </row>
    <row r="277" spans="1:2" x14ac:dyDescent="0.45">
      <c r="A277" s="479">
        <v>9</v>
      </c>
      <c r="B277" s="479"/>
    </row>
    <row r="278" spans="1:2" x14ac:dyDescent="0.45">
      <c r="A278" s="479" t="s">
        <v>1005</v>
      </c>
      <c r="B278" s="479"/>
    </row>
    <row r="279" spans="1:2" x14ac:dyDescent="0.45">
      <c r="A279" s="479">
        <v>10</v>
      </c>
      <c r="B279" s="479"/>
    </row>
    <row r="280" spans="1:2" x14ac:dyDescent="0.45">
      <c r="A280" s="479">
        <v>11</v>
      </c>
      <c r="B280" s="479"/>
    </row>
    <row r="281" spans="1:2" x14ac:dyDescent="0.45">
      <c r="A281" s="479" t="s">
        <v>1009</v>
      </c>
      <c r="B281" s="479"/>
    </row>
    <row r="282" spans="1:2" x14ac:dyDescent="0.45">
      <c r="A282" s="479">
        <v>12</v>
      </c>
      <c r="B282" s="479"/>
    </row>
    <row r="283" spans="1:2" x14ac:dyDescent="0.45">
      <c r="A283" s="479">
        <v>13</v>
      </c>
      <c r="B283" s="479"/>
    </row>
    <row r="284" spans="1:2" x14ac:dyDescent="0.45">
      <c r="A284" s="479" t="s">
        <v>1011</v>
      </c>
      <c r="B284" s="479"/>
    </row>
    <row r="285" spans="1:2" x14ac:dyDescent="0.45">
      <c r="A285" s="479">
        <v>14</v>
      </c>
      <c r="B285" s="479">
        <v>263.82499999999999</v>
      </c>
    </row>
    <row r="286" spans="1:2" x14ac:dyDescent="0.45">
      <c r="A286" s="479">
        <v>15</v>
      </c>
      <c r="B286" s="479">
        <v>263.82499999999999</v>
      </c>
    </row>
    <row r="287" spans="1:2" x14ac:dyDescent="0.45">
      <c r="A287" s="479" t="s">
        <v>1012</v>
      </c>
      <c r="B287" s="479">
        <v>264</v>
      </c>
    </row>
    <row r="288" spans="1:2" x14ac:dyDescent="0.45">
      <c r="A288" s="479">
        <v>16</v>
      </c>
      <c r="B288" s="479">
        <v>263.875</v>
      </c>
    </row>
    <row r="289" spans="1:2" x14ac:dyDescent="0.45">
      <c r="A289" s="479">
        <v>17</v>
      </c>
      <c r="B289" s="479">
        <v>263.875</v>
      </c>
    </row>
    <row r="290" spans="1:2" x14ac:dyDescent="0.45">
      <c r="A290" s="479">
        <v>18</v>
      </c>
      <c r="B290" s="479">
        <v>263.64999999999998</v>
      </c>
    </row>
    <row r="291" spans="1:2" x14ac:dyDescent="0.45">
      <c r="A291" s="479">
        <v>19</v>
      </c>
      <c r="B291" s="479">
        <v>263.64999999999998</v>
      </c>
    </row>
    <row r="292" spans="1:2" x14ac:dyDescent="0.45">
      <c r="A292" s="479">
        <v>20</v>
      </c>
      <c r="B292" s="479">
        <v>263.45</v>
      </c>
    </row>
    <row r="293" spans="1:2" x14ac:dyDescent="0.45">
      <c r="A293" s="479">
        <v>21</v>
      </c>
      <c r="B293" s="479">
        <v>263.55</v>
      </c>
    </row>
    <row r="294" spans="1:2" x14ac:dyDescent="0.45">
      <c r="A294" s="479">
        <v>22</v>
      </c>
      <c r="B294" s="479">
        <v>263.55</v>
      </c>
    </row>
    <row r="295" spans="1:2" x14ac:dyDescent="0.45">
      <c r="A295" s="479">
        <v>23</v>
      </c>
      <c r="B295" s="479">
        <v>263.55</v>
      </c>
    </row>
    <row r="296" spans="1:2" x14ac:dyDescent="0.45">
      <c r="A296" s="479">
        <v>24</v>
      </c>
      <c r="B296" s="479">
        <v>263.55</v>
      </c>
    </row>
    <row r="297" spans="1:2" x14ac:dyDescent="0.45">
      <c r="A297" s="479">
        <v>25</v>
      </c>
      <c r="B297" s="479">
        <v>263.55</v>
      </c>
    </row>
    <row r="298" spans="1:2" x14ac:dyDescent="0.45">
      <c r="A298" s="479">
        <v>26</v>
      </c>
      <c r="B298" s="479">
        <v>263.55</v>
      </c>
    </row>
    <row r="299" spans="1:2" x14ac:dyDescent="0.45">
      <c r="A299" s="479">
        <v>27</v>
      </c>
      <c r="B299" s="479">
        <v>263.55</v>
      </c>
    </row>
    <row r="300" spans="1:2" x14ac:dyDescent="0.45">
      <c r="A300" s="479" t="s">
        <v>1025</v>
      </c>
      <c r="B300" s="479">
        <v>263.55</v>
      </c>
    </row>
    <row r="301" spans="1:2" x14ac:dyDescent="0.45">
      <c r="A301" s="479">
        <v>28</v>
      </c>
      <c r="B301" s="479">
        <v>263.45</v>
      </c>
    </row>
    <row r="302" spans="1:2" x14ac:dyDescent="0.45">
      <c r="A302" s="479">
        <v>29</v>
      </c>
      <c r="B302" s="479">
        <v>263.154</v>
      </c>
    </row>
    <row r="303" spans="1:2" x14ac:dyDescent="0.45">
      <c r="A303" s="479">
        <v>30</v>
      </c>
      <c r="B303" s="479">
        <v>263.435</v>
      </c>
    </row>
    <row r="304" spans="1:2" x14ac:dyDescent="0.45">
      <c r="A304" s="479">
        <v>31</v>
      </c>
      <c r="B304" s="479">
        <v>263.45</v>
      </c>
    </row>
    <row r="305" spans="1:2" x14ac:dyDescent="0.45">
      <c r="A305" s="479">
        <v>32</v>
      </c>
      <c r="B305" s="479">
        <v>263.35000000000002</v>
      </c>
    </row>
    <row r="306" spans="1:2" x14ac:dyDescent="0.45">
      <c r="A306" s="479">
        <v>33</v>
      </c>
      <c r="B306" s="479">
        <v>263.154</v>
      </c>
    </row>
    <row r="307" spans="1:2" x14ac:dyDescent="0.45">
      <c r="A307" s="479">
        <v>34</v>
      </c>
      <c r="B307" s="479">
        <v>263.3</v>
      </c>
    </row>
    <row r="308" spans="1:2" x14ac:dyDescent="0.45">
      <c r="A308" s="479">
        <v>35</v>
      </c>
      <c r="B308" s="479">
        <v>263.35000000000002</v>
      </c>
    </row>
    <row r="309" spans="1:2" x14ac:dyDescent="0.45">
      <c r="A309" s="479">
        <v>36</v>
      </c>
      <c r="B309" s="479">
        <v>263.23500000000001</v>
      </c>
    </row>
    <row r="310" spans="1:2" x14ac:dyDescent="0.45">
      <c r="A310" s="479" t="s">
        <v>1020</v>
      </c>
      <c r="B310" s="479">
        <v>263.23500000000001</v>
      </c>
    </row>
    <row r="311" spans="1:2" x14ac:dyDescent="0.45">
      <c r="A311" s="479">
        <v>37</v>
      </c>
      <c r="B311" s="479">
        <v>263.55</v>
      </c>
    </row>
    <row r="312" spans="1:2" x14ac:dyDescent="0.45">
      <c r="A312" s="479">
        <v>38</v>
      </c>
      <c r="B312" s="479">
        <v>263.55</v>
      </c>
    </row>
    <row r="313" spans="1:2" x14ac:dyDescent="0.45">
      <c r="A313" s="479">
        <v>39</v>
      </c>
      <c r="B313" s="479">
        <v>263.23500000000001</v>
      </c>
    </row>
    <row r="314" spans="1:2" x14ac:dyDescent="0.45">
      <c r="A314" s="479">
        <v>40</v>
      </c>
      <c r="B314" s="479">
        <v>263.23500000000001</v>
      </c>
    </row>
    <row r="315" spans="1:2" x14ac:dyDescent="0.45">
      <c r="A315" s="479">
        <v>41</v>
      </c>
      <c r="B315" s="479">
        <v>264</v>
      </c>
    </row>
    <row r="316" spans="1:2" x14ac:dyDescent="0.45">
      <c r="A316" s="479">
        <v>42</v>
      </c>
      <c r="B316" s="479">
        <v>264</v>
      </c>
    </row>
    <row r="317" spans="1:2" x14ac:dyDescent="0.45">
      <c r="A317" s="479">
        <v>43</v>
      </c>
      <c r="B317" s="479">
        <v>263.55</v>
      </c>
    </row>
    <row r="318" spans="1:2" x14ac:dyDescent="0.45">
      <c r="A318" s="479">
        <v>44</v>
      </c>
      <c r="B318" s="479">
        <v>263.39999999999998</v>
      </c>
    </row>
    <row r="319" spans="1:2" x14ac:dyDescent="0.45">
      <c r="A319" s="479">
        <v>45</v>
      </c>
      <c r="B319" s="479">
        <v>263.39999999999998</v>
      </c>
    </row>
    <row r="320" spans="1:2" x14ac:dyDescent="0.45">
      <c r="A320" s="479">
        <v>46</v>
      </c>
      <c r="B320" s="479">
        <v>263.25</v>
      </c>
    </row>
    <row r="321" spans="1:2" x14ac:dyDescent="0.45">
      <c r="A321" s="479">
        <v>47</v>
      </c>
      <c r="B321" s="479">
        <v>263.39999999999998</v>
      </c>
    </row>
    <row r="322" spans="1:2" x14ac:dyDescent="0.45">
      <c r="A322" s="479">
        <v>48</v>
      </c>
      <c r="B322" s="479">
        <v>263.25</v>
      </c>
    </row>
    <row r="323" spans="1:2" x14ac:dyDescent="0.45">
      <c r="A323" s="479">
        <v>49</v>
      </c>
      <c r="B323" s="479">
        <v>264</v>
      </c>
    </row>
    <row r="324" spans="1:2" x14ac:dyDescent="0.45">
      <c r="A324" s="479" t="s">
        <v>1056</v>
      </c>
      <c r="B324" s="479">
        <v>264</v>
      </c>
    </row>
    <row r="325" spans="1:2" x14ac:dyDescent="0.45">
      <c r="A325" s="479">
        <v>50</v>
      </c>
      <c r="B325" s="479">
        <v>263.25</v>
      </c>
    </row>
    <row r="326" spans="1:2" x14ac:dyDescent="0.45">
      <c r="A326" s="479">
        <v>51</v>
      </c>
      <c r="B326" s="479">
        <v>263.25</v>
      </c>
    </row>
    <row r="327" spans="1:2" x14ac:dyDescent="0.45">
      <c r="A327" s="479">
        <v>52</v>
      </c>
      <c r="B327" s="479">
        <v>263.25</v>
      </c>
    </row>
    <row r="328" spans="1:2" x14ac:dyDescent="0.45">
      <c r="A328" s="479">
        <v>53</v>
      </c>
      <c r="B328" s="479">
        <v>263.25</v>
      </c>
    </row>
    <row r="329" spans="1:2" x14ac:dyDescent="0.45">
      <c r="A329" s="479">
        <v>54</v>
      </c>
      <c r="B329" s="479">
        <v>263.25</v>
      </c>
    </row>
    <row r="330" spans="1:2" x14ac:dyDescent="0.45">
      <c r="A330" s="479">
        <v>55</v>
      </c>
      <c r="B330" s="479">
        <v>263.25</v>
      </c>
    </row>
    <row r="331" spans="1:2" x14ac:dyDescent="0.45">
      <c r="A331" s="479">
        <v>56</v>
      </c>
      <c r="B331" s="479">
        <v>263.85000000000002</v>
      </c>
    </row>
    <row r="332" spans="1:2" x14ac:dyDescent="0.45">
      <c r="A332" s="479">
        <v>57</v>
      </c>
      <c r="B332" s="479">
        <v>263.85000000000002</v>
      </c>
    </row>
    <row r="333" spans="1:2" x14ac:dyDescent="0.45">
      <c r="A333" s="479">
        <v>58</v>
      </c>
      <c r="B333" s="479">
        <v>263.39999999999998</v>
      </c>
    </row>
    <row r="334" spans="1:2" x14ac:dyDescent="0.45">
      <c r="A334" s="479" t="s">
        <v>1057</v>
      </c>
      <c r="B334" s="479">
        <v>263.39999999999998</v>
      </c>
    </row>
    <row r="335" spans="1:2" x14ac:dyDescent="0.45">
      <c r="A335" s="479">
        <v>59</v>
      </c>
      <c r="B335" s="479">
        <v>263.10000000000002</v>
      </c>
    </row>
    <row r="336" spans="1:2" x14ac:dyDescent="0.45">
      <c r="A336" s="479">
        <v>60</v>
      </c>
      <c r="B336" s="479">
        <v>263.154</v>
      </c>
    </row>
    <row r="337" spans="1:2" x14ac:dyDescent="0.45">
      <c r="A337" s="479">
        <v>61</v>
      </c>
      <c r="B337" s="479">
        <v>263.10000000000002</v>
      </c>
    </row>
    <row r="338" spans="1:2" x14ac:dyDescent="0.45">
      <c r="A338" s="479">
        <v>62</v>
      </c>
      <c r="B338" s="479">
        <v>263.154</v>
      </c>
    </row>
    <row r="339" spans="1:2" x14ac:dyDescent="0.45">
      <c r="A339" s="479">
        <v>63</v>
      </c>
      <c r="B339" s="479">
        <v>263.10000000000002</v>
      </c>
    </row>
    <row r="340" spans="1:2" x14ac:dyDescent="0.45">
      <c r="A340" s="479">
        <v>64</v>
      </c>
      <c r="B340" s="479">
        <v>263</v>
      </c>
    </row>
    <row r="341" spans="1:2" x14ac:dyDescent="0.45">
      <c r="A341" s="479">
        <v>65</v>
      </c>
      <c r="B341" s="479">
        <v>263.10000000000002</v>
      </c>
    </row>
    <row r="342" spans="1:2" x14ac:dyDescent="0.45">
      <c r="A342" s="479">
        <v>66</v>
      </c>
      <c r="B342" s="479">
        <v>263.10000000000002</v>
      </c>
    </row>
    <row r="343" spans="1:2" x14ac:dyDescent="0.45">
      <c r="A343" s="479">
        <v>67</v>
      </c>
      <c r="B343" s="479">
        <v>263.19</v>
      </c>
    </row>
    <row r="344" spans="1:2" x14ac:dyDescent="0.45">
      <c r="A344" s="479">
        <v>68</v>
      </c>
      <c r="B344" s="479">
        <v>263.19</v>
      </c>
    </row>
    <row r="345" spans="1:2" x14ac:dyDescent="0.45">
      <c r="A345" s="479">
        <v>69</v>
      </c>
      <c r="B345" s="479">
        <v>263.19</v>
      </c>
    </row>
    <row r="346" spans="1:2" x14ac:dyDescent="0.45">
      <c r="A346" s="479">
        <v>70</v>
      </c>
      <c r="B346" s="479">
        <v>263.19</v>
      </c>
    </row>
    <row r="347" spans="1:2" x14ac:dyDescent="0.45">
      <c r="A347" s="479" t="s">
        <v>1060</v>
      </c>
      <c r="B347" s="479">
        <v>263.19</v>
      </c>
    </row>
    <row r="348" spans="1:2" x14ac:dyDescent="0.45">
      <c r="A348" s="479">
        <v>71</v>
      </c>
      <c r="B348" s="479">
        <v>262.904</v>
      </c>
    </row>
    <row r="349" spans="1:2" x14ac:dyDescent="0.45">
      <c r="A349" s="479">
        <v>72</v>
      </c>
      <c r="B349" s="479">
        <v>262.904</v>
      </c>
    </row>
    <row r="350" spans="1:2" x14ac:dyDescent="0.45">
      <c r="A350" s="479">
        <v>73</v>
      </c>
      <c r="B350" s="479">
        <v>263.7</v>
      </c>
    </row>
    <row r="351" spans="1:2" x14ac:dyDescent="0.45">
      <c r="A351" s="479">
        <v>74</v>
      </c>
      <c r="B351" s="479">
        <v>263.7</v>
      </c>
    </row>
    <row r="352" spans="1:2" x14ac:dyDescent="0.45">
      <c r="A352" s="479">
        <v>75</v>
      </c>
      <c r="B352" s="479">
        <v>262.95</v>
      </c>
    </row>
    <row r="353" spans="1:2" x14ac:dyDescent="0.45">
      <c r="A353" s="479">
        <v>76</v>
      </c>
      <c r="B353" s="479">
        <v>263.10000000000002</v>
      </c>
    </row>
    <row r="354" spans="1:2" x14ac:dyDescent="0.45">
      <c r="A354" s="479">
        <v>77</v>
      </c>
      <c r="B354" s="479">
        <v>262.95</v>
      </c>
    </row>
    <row r="355" spans="1:2" x14ac:dyDescent="0.45">
      <c r="A355" s="479">
        <v>78</v>
      </c>
      <c r="B355" s="479">
        <v>262.95</v>
      </c>
    </row>
    <row r="356" spans="1:2" x14ac:dyDescent="0.45">
      <c r="A356" s="479">
        <v>79</v>
      </c>
      <c r="B356" s="479">
        <v>263</v>
      </c>
    </row>
    <row r="357" spans="1:2" x14ac:dyDescent="0.45">
      <c r="A357" s="479">
        <v>80</v>
      </c>
      <c r="B357" s="479">
        <v>262.95</v>
      </c>
    </row>
    <row r="358" spans="1:2" x14ac:dyDescent="0.45">
      <c r="A358" s="479">
        <v>81</v>
      </c>
      <c r="B358" s="479">
        <v>262.95</v>
      </c>
    </row>
    <row r="359" spans="1:2" x14ac:dyDescent="0.45">
      <c r="A359" s="479">
        <v>82</v>
      </c>
      <c r="B359" s="479">
        <v>262.92399999999998</v>
      </c>
    </row>
    <row r="360" spans="1:2" x14ac:dyDescent="0.45">
      <c r="A360" s="479">
        <v>83</v>
      </c>
      <c r="B360" s="479">
        <v>262.91399999999999</v>
      </c>
    </row>
    <row r="361" spans="1:2" x14ac:dyDescent="0.45">
      <c r="A361" s="479">
        <v>84</v>
      </c>
      <c r="B361" s="479">
        <v>262.92399999999998</v>
      </c>
    </row>
    <row r="362" spans="1:2" x14ac:dyDescent="0.45">
      <c r="A362" s="479">
        <v>85</v>
      </c>
      <c r="B362" s="479">
        <v>262.904</v>
      </c>
    </row>
    <row r="363" spans="1:2" x14ac:dyDescent="0.45">
      <c r="A363" s="479">
        <v>86</v>
      </c>
      <c r="B363" s="479">
        <v>262.91399999999999</v>
      </c>
    </row>
    <row r="364" spans="1:2" x14ac:dyDescent="0.45">
      <c r="A364" s="479">
        <v>87</v>
      </c>
      <c r="B364" s="479">
        <v>262.92399999999998</v>
      </c>
    </row>
    <row r="365" spans="1:2" x14ac:dyDescent="0.45">
      <c r="A365" s="479" t="s">
        <v>1059</v>
      </c>
      <c r="B365" s="479">
        <v>262.92399999999998</v>
      </c>
    </row>
    <row r="366" spans="1:2" x14ac:dyDescent="0.45">
      <c r="A366" s="479">
        <v>88</v>
      </c>
      <c r="B366" s="479">
        <v>262.92399999999998</v>
      </c>
    </row>
    <row r="367" spans="1:2" x14ac:dyDescent="0.45">
      <c r="A367" s="479">
        <v>89</v>
      </c>
      <c r="B367" s="479">
        <v>263.41399999999999</v>
      </c>
    </row>
    <row r="368" spans="1:2" x14ac:dyDescent="0.45">
      <c r="A368" s="479" t="s">
        <v>1058</v>
      </c>
      <c r="B368" s="479">
        <v>262.92399999999998</v>
      </c>
    </row>
  </sheetData>
  <autoFilter ref="A154:AA260" xr:uid="{7BB0A8C0-2596-4386-AA9B-B07E5D0C3CA6}"/>
  <mergeCells count="2">
    <mergeCell ref="A1:L1"/>
    <mergeCell ref="AC154:AD154"/>
  </mergeCells>
  <conditionalFormatting sqref="E155:E244">
    <cfRule type="dataBar" priority="1">
      <dataBar>
        <cfvo type="min"/>
        <cfvo type="max"/>
        <color rgb="FF008AEF"/>
      </dataBar>
      <extLst>
        <ext xmlns:x14="http://schemas.microsoft.com/office/spreadsheetml/2009/9/main" uri="{B025F937-C7B1-47D3-B67F-A62EFF666E3E}">
          <x14:id>{43A4E6BC-7BB4-4D6C-AFF8-0EAF4355F697}</x14:id>
        </ext>
      </extLst>
    </cfRule>
  </conditionalFormatting>
  <printOptions horizontalCentered="1"/>
  <pageMargins left="0.31496062992125984" right="0.31496062992125984" top="0.59055118110236227" bottom="0.55118110236220474" header="0" footer="0.31496062992125984"/>
  <pageSetup paperSize="8" scale="54" orientation="portrait" horizontalDpi="300" verticalDpi="300" r:id="rId1"/>
  <headerFooter>
    <oddFooter>Page &amp;P of &amp;N</oddFooter>
  </headerFooter>
  <extLst>
    <ext xmlns:x14="http://schemas.microsoft.com/office/spreadsheetml/2009/9/main" uri="{78C0D931-6437-407d-A8EE-F0AAD7539E65}">
      <x14:conditionalFormattings>
        <x14:conditionalFormatting xmlns:xm="http://schemas.microsoft.com/office/excel/2006/main">
          <x14:cfRule type="dataBar" id="{43A4E6BC-7BB4-4D6C-AFF8-0EAF4355F697}">
            <x14:dataBar minLength="0" maxLength="100" border="1" negativeBarBorderColorSameAsPositive="0">
              <x14:cfvo type="autoMin"/>
              <x14:cfvo type="autoMax"/>
              <x14:borderColor rgb="FF008AEF"/>
              <x14:negativeFillColor rgb="FFFF0000"/>
              <x14:negativeBorderColor rgb="FFFF0000"/>
              <x14:axisColor rgb="FF000000"/>
            </x14:dataBar>
          </x14:cfRule>
          <xm:sqref>E155:E244</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3D006-9A5E-4DE4-B648-F10B1B975D72}">
  <sheetPr>
    <tabColor theme="4" tint="0.39997558519241921"/>
  </sheetPr>
  <dimension ref="A1:C23"/>
  <sheetViews>
    <sheetView workbookViewId="0">
      <selection activeCell="P23" sqref="P23"/>
    </sheetView>
  </sheetViews>
  <sheetFormatPr defaultRowHeight="14.25" x14ac:dyDescent="0.45"/>
  <cols>
    <col min="1" max="1" width="10.86328125" bestFit="1" customWidth="1"/>
    <col min="2" max="2" width="28.265625" bestFit="1" customWidth="1"/>
    <col min="3" max="3" width="45.1328125" bestFit="1" customWidth="1"/>
  </cols>
  <sheetData>
    <row r="1" spans="1:3" x14ac:dyDescent="0.45">
      <c r="A1" t="s">
        <v>1317</v>
      </c>
    </row>
    <row r="2" spans="1:3" x14ac:dyDescent="0.45">
      <c r="A2">
        <v>1</v>
      </c>
      <c r="B2" t="s">
        <v>1318</v>
      </c>
    </row>
    <row r="3" spans="1:3" x14ac:dyDescent="0.45">
      <c r="C3" t="s">
        <v>1319</v>
      </c>
    </row>
    <row r="4" spans="1:3" x14ac:dyDescent="0.45">
      <c r="C4" t="s">
        <v>1320</v>
      </c>
    </row>
    <row r="5" spans="1:3" x14ac:dyDescent="0.45">
      <c r="B5" t="s">
        <v>318</v>
      </c>
    </row>
    <row r="6" spans="1:3" x14ac:dyDescent="0.45">
      <c r="C6" t="s">
        <v>1321</v>
      </c>
    </row>
    <row r="7" spans="1:3" x14ac:dyDescent="0.45">
      <c r="C7" t="s">
        <v>1322</v>
      </c>
    </row>
    <row r="8" spans="1:3" x14ac:dyDescent="0.45">
      <c r="B8" t="s">
        <v>1323</v>
      </c>
    </row>
    <row r="9" spans="1:3" x14ac:dyDescent="0.45">
      <c r="C9" t="s">
        <v>1324</v>
      </c>
    </row>
    <row r="10" spans="1:3" x14ac:dyDescent="0.45">
      <c r="C10" t="s">
        <v>1325</v>
      </c>
    </row>
    <row r="11" spans="1:3" x14ac:dyDescent="0.45">
      <c r="C11" t="s">
        <v>1326</v>
      </c>
    </row>
    <row r="12" spans="1:3" x14ac:dyDescent="0.45">
      <c r="B12" t="s">
        <v>1327</v>
      </c>
    </row>
    <row r="13" spans="1:3" x14ac:dyDescent="0.45">
      <c r="C13" t="s">
        <v>1328</v>
      </c>
    </row>
    <row r="14" spans="1:3" x14ac:dyDescent="0.45">
      <c r="B14" t="s">
        <v>1329</v>
      </c>
    </row>
    <row r="15" spans="1:3" x14ac:dyDescent="0.45">
      <c r="C15" t="s">
        <v>1330</v>
      </c>
    </row>
    <row r="16" spans="1:3" x14ac:dyDescent="0.45">
      <c r="C16" t="s">
        <v>1331</v>
      </c>
    </row>
    <row r="17" spans="2:3" x14ac:dyDescent="0.45">
      <c r="B17" t="s">
        <v>1332</v>
      </c>
    </row>
    <row r="18" spans="2:3" x14ac:dyDescent="0.45">
      <c r="C18" t="s">
        <v>1333</v>
      </c>
    </row>
    <row r="19" spans="2:3" x14ac:dyDescent="0.45">
      <c r="C19" t="s">
        <v>1334</v>
      </c>
    </row>
    <row r="20" spans="2:3" x14ac:dyDescent="0.45">
      <c r="C20" t="s">
        <v>1335</v>
      </c>
    </row>
    <row r="21" spans="2:3" x14ac:dyDescent="0.45">
      <c r="C21" t="s">
        <v>1336</v>
      </c>
    </row>
    <row r="22" spans="2:3" x14ac:dyDescent="0.45">
      <c r="C22" t="s">
        <v>1337</v>
      </c>
    </row>
    <row r="23" spans="2:3" x14ac:dyDescent="0.45">
      <c r="C23" t="s">
        <v>1338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3A5FA-45C1-4DBF-91AE-9CB80A058733}">
  <sheetPr>
    <tabColor rgb="FFFFC000"/>
  </sheetPr>
  <dimension ref="A1:AN1047"/>
  <sheetViews>
    <sheetView topLeftCell="D687" zoomScale="84" zoomScaleNormal="166" workbookViewId="0">
      <selection activeCell="K650" sqref="K650"/>
    </sheetView>
  </sheetViews>
  <sheetFormatPr defaultRowHeight="14.25" x14ac:dyDescent="0.45"/>
  <cols>
    <col min="1" max="1" width="7.59765625" customWidth="1"/>
    <col min="2" max="2" width="15.3984375" bestFit="1" customWidth="1"/>
    <col min="3" max="3" width="27.3984375" bestFit="1" customWidth="1"/>
    <col min="4" max="4" width="20.73046875" bestFit="1" customWidth="1"/>
    <col min="5" max="5" width="8" customWidth="1"/>
    <col min="6" max="6" width="7.59765625" customWidth="1"/>
    <col min="7" max="7" width="9.1328125" customWidth="1"/>
    <col min="8" max="8" width="28.86328125" bestFit="1" customWidth="1"/>
    <col min="9" max="10" width="9.86328125" bestFit="1" customWidth="1"/>
    <col min="11" max="11" width="11.86328125" bestFit="1" customWidth="1"/>
    <col min="12" max="12" width="16.3984375" bestFit="1" customWidth="1"/>
    <col min="13" max="13" width="10.265625" bestFit="1" customWidth="1"/>
    <col min="14" max="14" width="11.3984375" bestFit="1" customWidth="1"/>
    <col min="15" max="15" width="10.796875" bestFit="1" customWidth="1"/>
    <col min="16" max="16" width="7.3984375" bestFit="1" customWidth="1"/>
    <col min="17" max="17" width="10" bestFit="1" customWidth="1"/>
    <col min="18" max="18" width="6.86328125" bestFit="1" customWidth="1"/>
    <col min="19" max="19" width="4.3984375" bestFit="1" customWidth="1"/>
    <col min="20" max="20" width="2.1328125" bestFit="1" customWidth="1"/>
    <col min="21" max="21" width="8.1328125" bestFit="1" customWidth="1"/>
    <col min="22" max="22" width="7.3984375" bestFit="1" customWidth="1"/>
    <col min="23" max="23" width="7" bestFit="1" customWidth="1"/>
    <col min="24" max="24" width="6.73046875" bestFit="1" customWidth="1"/>
    <col min="25" max="25" width="8" bestFit="1" customWidth="1"/>
    <col min="26" max="26" width="6.73046875" bestFit="1" customWidth="1"/>
    <col min="27" max="27" width="8.3984375" bestFit="1" customWidth="1"/>
    <col min="28" max="28" width="8.265625" bestFit="1" customWidth="1"/>
    <col min="29" max="29" width="5.73046875" bestFit="1" customWidth="1"/>
    <col min="30" max="30" width="7.73046875" bestFit="1" customWidth="1"/>
    <col min="31" max="31" width="7.86328125" bestFit="1" customWidth="1"/>
    <col min="37" max="37" width="13.59765625" bestFit="1" customWidth="1"/>
    <col min="38" max="38" width="12.59765625" bestFit="1" customWidth="1"/>
    <col min="39" max="39" width="7.73046875" bestFit="1" customWidth="1"/>
    <col min="40" max="40" width="18.265625" bestFit="1" customWidth="1"/>
  </cols>
  <sheetData>
    <row r="1" spans="1:40" ht="21" x14ac:dyDescent="0.65">
      <c r="A1" s="524" t="str">
        <f>"Mangal - "&amp;ROUND(K31/4047,2)&amp;" Acres"</f>
        <v>Mangal - 27.92 Acres</v>
      </c>
      <c r="B1" s="525"/>
      <c r="C1" s="525"/>
      <c r="D1" s="525"/>
      <c r="E1" s="525"/>
      <c r="F1" s="525"/>
      <c r="G1" s="525"/>
      <c r="H1" s="525"/>
      <c r="I1" s="525"/>
      <c r="J1" s="525"/>
      <c r="K1" s="525"/>
      <c r="L1" s="525"/>
      <c r="M1" s="525"/>
      <c r="N1" s="525"/>
      <c r="O1" s="525"/>
      <c r="P1" s="525"/>
      <c r="Q1" s="525"/>
      <c r="R1" s="525"/>
      <c r="S1" s="525"/>
      <c r="T1" s="525"/>
      <c r="U1" s="525"/>
      <c r="V1" s="525"/>
      <c r="W1" s="525"/>
    </row>
    <row r="2" spans="1:40" ht="43.15" thickBot="1" x14ac:dyDescent="0.5">
      <c r="A2" s="481" t="s">
        <v>84</v>
      </c>
      <c r="B2" s="481" t="s">
        <v>85</v>
      </c>
      <c r="C2" s="481" t="s">
        <v>493</v>
      </c>
      <c r="D2" s="481" t="s">
        <v>86</v>
      </c>
      <c r="E2" s="481" t="s">
        <v>87</v>
      </c>
      <c r="F2" s="481" t="s">
        <v>88</v>
      </c>
      <c r="G2" s="481" t="s">
        <v>89</v>
      </c>
      <c r="H2" s="481" t="s">
        <v>90</v>
      </c>
      <c r="I2" s="481" t="s">
        <v>91</v>
      </c>
      <c r="J2" s="481" t="s">
        <v>92</v>
      </c>
      <c r="K2" s="481" t="s">
        <v>93</v>
      </c>
      <c r="L2" s="481" t="s">
        <v>94</v>
      </c>
      <c r="M2" s="481" t="s">
        <v>1339</v>
      </c>
      <c r="N2" s="481" t="s">
        <v>1340</v>
      </c>
      <c r="O2" s="481" t="s">
        <v>1341</v>
      </c>
      <c r="P2" s="481" t="s">
        <v>1342</v>
      </c>
      <c r="Q2" s="481" t="s">
        <v>1343</v>
      </c>
      <c r="R2" s="481"/>
      <c r="S2" s="481"/>
      <c r="T2" s="481" t="s">
        <v>18</v>
      </c>
      <c r="U2" s="481" t="s">
        <v>1344</v>
      </c>
      <c r="V2" s="481" t="s">
        <v>1345</v>
      </c>
      <c r="W2" s="481"/>
      <c r="X2" s="481" t="s">
        <v>1346</v>
      </c>
      <c r="Y2" s="481" t="s">
        <v>1347</v>
      </c>
      <c r="Z2" s="481" t="s">
        <v>1348</v>
      </c>
      <c r="AA2" s="481" t="s">
        <v>1349</v>
      </c>
      <c r="AB2" s="481" t="s">
        <v>1350</v>
      </c>
      <c r="AC2" s="481" t="s">
        <v>1351</v>
      </c>
      <c r="AD2" s="481" t="s">
        <v>1352</v>
      </c>
      <c r="AE2" s="475" t="s">
        <v>1353</v>
      </c>
    </row>
    <row r="3" spans="1:40" ht="16.149999999999999" thickBot="1" x14ac:dyDescent="0.5">
      <c r="A3" s="1">
        <v>1</v>
      </c>
      <c r="B3" s="1" t="s">
        <v>12</v>
      </c>
      <c r="C3" s="1" t="s">
        <v>151</v>
      </c>
      <c r="D3" s="1">
        <v>9</v>
      </c>
      <c r="E3" s="1">
        <v>3</v>
      </c>
      <c r="F3" s="1">
        <f t="shared" ref="F3:F30" si="0">D3*8+3*2</f>
        <v>78</v>
      </c>
      <c r="G3" s="49">
        <v>6</v>
      </c>
      <c r="H3" s="49">
        <v>3</v>
      </c>
      <c r="I3" s="1">
        <v>46</v>
      </c>
      <c r="J3" s="1">
        <v>26</v>
      </c>
      <c r="K3" s="4">
        <f t="shared" ref="K3:K30" si="1">8*(G3*I3+H3*J3)+2*E3*I3</f>
        <v>3108</v>
      </c>
      <c r="L3" s="127">
        <f t="shared" ref="L3:L30" si="2">IF(COUNTIFS($B$3:$B$30,B3)&lt;2,((I3-E3*2)*G3+(J3-E3*2)*H3)*8,((I3-2-E3)*G3+(J3-E3-2)*H3)*8)</f>
        <v>2400</v>
      </c>
      <c r="M3" s="80">
        <f t="shared" ref="M3:M30" si="3">IF(COUNTIF($B$3:$B$30,B3)&lt;2,(I3-2*E3)/4,(I3-E3)/4)</f>
        <v>10</v>
      </c>
      <c r="N3" s="80">
        <f t="shared" ref="N3:N30" si="4">IF(J3&gt;0,IF(COUNTIF($B$3:$B$30,B3)&lt;2,(J3-2*E3)/4,(J3-E3)/4),0)</f>
        <v>5</v>
      </c>
      <c r="O3" s="80">
        <f t="shared" ref="O3:O30" si="5">M3*G3+N3*H3</f>
        <v>75</v>
      </c>
      <c r="P3" s="388">
        <v>120</v>
      </c>
      <c r="Q3" s="389">
        <f t="shared" ref="Q3:Q30" si="6">P3*O3</f>
        <v>9000</v>
      </c>
      <c r="R3" s="1"/>
      <c r="S3" s="126">
        <f t="shared" ref="S3:S30" si="7">Q3/2/1000</f>
        <v>4.5</v>
      </c>
      <c r="T3" s="11">
        <v>2</v>
      </c>
      <c r="U3" s="16">
        <f t="shared" ref="U3:U30" si="8">S3/T3</f>
        <v>2.25</v>
      </c>
      <c r="V3" s="390">
        <f t="shared" ref="V3:V30" si="9">U3^0.5</f>
        <v>1.5</v>
      </c>
      <c r="W3" s="1"/>
      <c r="X3" s="1">
        <f t="shared" ref="X3:X30" si="10">ROUNDUP(((I3+6.5)*G3+(J3+6.5)*H3),0)</f>
        <v>413</v>
      </c>
      <c r="Y3" s="1">
        <f t="shared" ref="Y3:Y30" si="11">ROUNDUP((I3/4*G3+J3/4*H3),0)</f>
        <v>89</v>
      </c>
      <c r="Z3" s="1">
        <f t="shared" ref="Z3:Z30" si="12">D3</f>
        <v>9</v>
      </c>
      <c r="AA3" s="1">
        <f t="shared" ref="AA3:AC30" si="13">Z3</f>
        <v>9</v>
      </c>
      <c r="AB3" s="1">
        <f t="shared" si="13"/>
        <v>9</v>
      </c>
      <c r="AC3" s="1">
        <f t="shared" si="13"/>
        <v>9</v>
      </c>
      <c r="AD3" s="1">
        <f t="shared" ref="AD3:AD30" si="14">Y3</f>
        <v>89</v>
      </c>
      <c r="AE3" s="1">
        <f t="shared" ref="AE3:AE30" si="15">F3+IF(H3&gt;0,I3-J3,0)</f>
        <v>98</v>
      </c>
      <c r="AK3" s="621" t="s">
        <v>1354</v>
      </c>
      <c r="AL3" s="622"/>
      <c r="AM3" s="622"/>
      <c r="AN3" s="622"/>
    </row>
    <row r="4" spans="1:40" ht="15.75" x14ac:dyDescent="0.45">
      <c r="A4" s="1">
        <v>2</v>
      </c>
      <c r="B4" s="1" t="s">
        <v>14</v>
      </c>
      <c r="C4" s="1" t="s">
        <v>152</v>
      </c>
      <c r="D4" s="1">
        <v>10</v>
      </c>
      <c r="E4" s="1">
        <v>3</v>
      </c>
      <c r="F4" s="1">
        <f t="shared" si="0"/>
        <v>86</v>
      </c>
      <c r="G4" s="49">
        <v>8</v>
      </c>
      <c r="H4" s="49">
        <v>2</v>
      </c>
      <c r="I4" s="1">
        <v>51</v>
      </c>
      <c r="J4" s="1">
        <v>47</v>
      </c>
      <c r="K4" s="4">
        <f t="shared" si="1"/>
        <v>4322</v>
      </c>
      <c r="L4" s="127">
        <f t="shared" si="2"/>
        <v>3616</v>
      </c>
      <c r="M4" s="80">
        <f t="shared" si="3"/>
        <v>12</v>
      </c>
      <c r="N4" s="80">
        <f t="shared" si="4"/>
        <v>11</v>
      </c>
      <c r="O4" s="80">
        <f t="shared" si="5"/>
        <v>118</v>
      </c>
      <c r="P4" s="388">
        <v>120</v>
      </c>
      <c r="Q4" s="389">
        <f t="shared" si="6"/>
        <v>14160</v>
      </c>
      <c r="R4" s="1"/>
      <c r="S4" s="126">
        <f t="shared" si="7"/>
        <v>7.08</v>
      </c>
      <c r="T4" s="11">
        <v>2</v>
      </c>
      <c r="U4" s="16">
        <f t="shared" si="8"/>
        <v>3.54</v>
      </c>
      <c r="V4" s="390">
        <f t="shared" si="9"/>
        <v>1.8814887722226779</v>
      </c>
      <c r="W4" s="1"/>
      <c r="X4" s="1">
        <f t="shared" si="10"/>
        <v>567</v>
      </c>
      <c r="Y4" s="1">
        <f t="shared" si="11"/>
        <v>126</v>
      </c>
      <c r="Z4" s="1">
        <f t="shared" si="12"/>
        <v>10</v>
      </c>
      <c r="AA4" s="1">
        <f t="shared" si="13"/>
        <v>10</v>
      </c>
      <c r="AB4" s="1">
        <f t="shared" si="13"/>
        <v>10</v>
      </c>
      <c r="AC4" s="1">
        <f t="shared" si="13"/>
        <v>10</v>
      </c>
      <c r="AD4" s="1">
        <f t="shared" si="14"/>
        <v>126</v>
      </c>
      <c r="AE4" s="1">
        <f t="shared" si="15"/>
        <v>90</v>
      </c>
      <c r="AK4" s="391" t="s">
        <v>1355</v>
      </c>
      <c r="AL4" s="392" t="s">
        <v>1356</v>
      </c>
      <c r="AM4" s="392" t="s">
        <v>1357</v>
      </c>
      <c r="AN4" s="393" t="s">
        <v>1358</v>
      </c>
    </row>
    <row r="5" spans="1:40" x14ac:dyDescent="0.45">
      <c r="A5" s="1">
        <v>3</v>
      </c>
      <c r="B5" s="1" t="s">
        <v>14</v>
      </c>
      <c r="C5" s="1" t="s">
        <v>153</v>
      </c>
      <c r="D5" s="1">
        <v>10</v>
      </c>
      <c r="E5" s="1">
        <v>3</v>
      </c>
      <c r="F5" s="1">
        <f t="shared" si="0"/>
        <v>86</v>
      </c>
      <c r="G5" s="49">
        <v>8</v>
      </c>
      <c r="H5" s="49">
        <v>2</v>
      </c>
      <c r="I5" s="1">
        <v>51</v>
      </c>
      <c r="J5" s="1">
        <v>51</v>
      </c>
      <c r="K5" s="4">
        <f t="shared" si="1"/>
        <v>4386</v>
      </c>
      <c r="L5" s="127">
        <f t="shared" si="2"/>
        <v>3680</v>
      </c>
      <c r="M5" s="80">
        <f t="shared" si="3"/>
        <v>12</v>
      </c>
      <c r="N5" s="80">
        <f t="shared" si="4"/>
        <v>12</v>
      </c>
      <c r="O5" s="80">
        <f t="shared" si="5"/>
        <v>120</v>
      </c>
      <c r="P5" s="388">
        <v>120</v>
      </c>
      <c r="Q5" s="389">
        <f t="shared" si="6"/>
        <v>14400</v>
      </c>
      <c r="R5" s="1"/>
      <c r="S5" s="126">
        <f t="shared" si="7"/>
        <v>7.2</v>
      </c>
      <c r="T5" s="11">
        <v>2</v>
      </c>
      <c r="U5" s="16">
        <f t="shared" si="8"/>
        <v>3.6</v>
      </c>
      <c r="V5" s="390">
        <f t="shared" si="9"/>
        <v>1.8973665961010275</v>
      </c>
      <c r="W5" s="1"/>
      <c r="X5" s="1">
        <f t="shared" si="10"/>
        <v>575</v>
      </c>
      <c r="Y5" s="1">
        <f t="shared" si="11"/>
        <v>128</v>
      </c>
      <c r="Z5" s="1">
        <f t="shared" si="12"/>
        <v>10</v>
      </c>
      <c r="AA5" s="1">
        <f t="shared" si="13"/>
        <v>10</v>
      </c>
      <c r="AB5" s="1">
        <f t="shared" si="13"/>
        <v>10</v>
      </c>
      <c r="AC5" s="1">
        <f t="shared" si="13"/>
        <v>10</v>
      </c>
      <c r="AD5" s="1">
        <f t="shared" si="14"/>
        <v>128</v>
      </c>
      <c r="AE5" s="1">
        <f t="shared" si="15"/>
        <v>86</v>
      </c>
      <c r="AK5" s="394">
        <v>18.63</v>
      </c>
      <c r="AL5" s="395">
        <v>33.799999999999997</v>
      </c>
      <c r="AM5" s="395">
        <v>3</v>
      </c>
      <c r="AN5" s="396">
        <v>45</v>
      </c>
    </row>
    <row r="6" spans="1:40" x14ac:dyDescent="0.45">
      <c r="A6" s="1">
        <v>4</v>
      </c>
      <c r="B6" s="1" t="s">
        <v>16</v>
      </c>
      <c r="C6" s="1" t="s">
        <v>154</v>
      </c>
      <c r="D6" s="1">
        <v>9</v>
      </c>
      <c r="E6" s="1">
        <v>3</v>
      </c>
      <c r="F6" s="1">
        <f t="shared" si="0"/>
        <v>78</v>
      </c>
      <c r="G6" s="49">
        <v>9</v>
      </c>
      <c r="H6" s="49">
        <v>0</v>
      </c>
      <c r="I6" s="1">
        <v>58</v>
      </c>
      <c r="J6" s="1">
        <v>0</v>
      </c>
      <c r="K6" s="4">
        <f t="shared" si="1"/>
        <v>4524</v>
      </c>
      <c r="L6" s="127">
        <f t="shared" si="2"/>
        <v>3744</v>
      </c>
      <c r="M6" s="80">
        <f t="shared" si="3"/>
        <v>13</v>
      </c>
      <c r="N6" s="80">
        <f t="shared" si="4"/>
        <v>0</v>
      </c>
      <c r="O6" s="80">
        <f t="shared" si="5"/>
        <v>117</v>
      </c>
      <c r="P6" s="388">
        <v>120</v>
      </c>
      <c r="Q6" s="389">
        <f t="shared" si="6"/>
        <v>14040</v>
      </c>
      <c r="R6" s="1"/>
      <c r="S6" s="126">
        <f t="shared" si="7"/>
        <v>7.02</v>
      </c>
      <c r="T6" s="11">
        <v>2</v>
      </c>
      <c r="U6" s="16">
        <f t="shared" si="8"/>
        <v>3.51</v>
      </c>
      <c r="V6" s="390">
        <f t="shared" si="9"/>
        <v>1.8734993995195195</v>
      </c>
      <c r="W6" s="1"/>
      <c r="X6" s="1">
        <f t="shared" si="10"/>
        <v>581</v>
      </c>
      <c r="Y6" s="1">
        <f t="shared" si="11"/>
        <v>131</v>
      </c>
      <c r="Z6" s="1">
        <f t="shared" si="12"/>
        <v>9</v>
      </c>
      <c r="AA6" s="1">
        <f t="shared" si="13"/>
        <v>9</v>
      </c>
      <c r="AB6" s="1">
        <f t="shared" si="13"/>
        <v>9</v>
      </c>
      <c r="AC6" s="1">
        <f t="shared" si="13"/>
        <v>9</v>
      </c>
      <c r="AD6" s="1">
        <f t="shared" si="14"/>
        <v>131</v>
      </c>
      <c r="AE6" s="1">
        <f t="shared" si="15"/>
        <v>78</v>
      </c>
      <c r="AK6" s="397"/>
      <c r="AL6" s="398"/>
      <c r="AM6" s="398"/>
      <c r="AN6" s="399"/>
    </row>
    <row r="7" spans="1:40" x14ac:dyDescent="0.45">
      <c r="A7" s="1">
        <v>5</v>
      </c>
      <c r="B7" s="1" t="s">
        <v>18</v>
      </c>
      <c r="C7" s="1" t="s">
        <v>155</v>
      </c>
      <c r="D7" s="1">
        <v>10</v>
      </c>
      <c r="E7" s="1">
        <v>3</v>
      </c>
      <c r="F7" s="1">
        <f t="shared" si="0"/>
        <v>86</v>
      </c>
      <c r="G7" s="49">
        <v>10</v>
      </c>
      <c r="H7" s="49">
        <v>0</v>
      </c>
      <c r="I7" s="1">
        <v>51</v>
      </c>
      <c r="J7" s="1">
        <v>0</v>
      </c>
      <c r="K7" s="4">
        <f t="shared" si="1"/>
        <v>4386</v>
      </c>
      <c r="L7" s="127">
        <f t="shared" si="2"/>
        <v>3680</v>
      </c>
      <c r="M7" s="80">
        <f t="shared" si="3"/>
        <v>12</v>
      </c>
      <c r="N7" s="80">
        <f t="shared" si="4"/>
        <v>0</v>
      </c>
      <c r="O7" s="80">
        <f t="shared" si="5"/>
        <v>120</v>
      </c>
      <c r="P7" s="388">
        <v>120</v>
      </c>
      <c r="Q7" s="389">
        <f t="shared" si="6"/>
        <v>14400</v>
      </c>
      <c r="R7" s="1"/>
      <c r="S7" s="126">
        <f t="shared" si="7"/>
        <v>7.2</v>
      </c>
      <c r="T7" s="11">
        <v>2</v>
      </c>
      <c r="U7" s="16">
        <f t="shared" si="8"/>
        <v>3.6</v>
      </c>
      <c r="V7" s="390">
        <f t="shared" si="9"/>
        <v>1.8973665961010275</v>
      </c>
      <c r="W7" s="1"/>
      <c r="X7" s="1">
        <f t="shared" si="10"/>
        <v>575</v>
      </c>
      <c r="Y7" s="1">
        <f t="shared" si="11"/>
        <v>128</v>
      </c>
      <c r="Z7" s="1">
        <f t="shared" si="12"/>
        <v>10</v>
      </c>
      <c r="AA7" s="1">
        <f t="shared" si="13"/>
        <v>10</v>
      </c>
      <c r="AB7" s="1">
        <f t="shared" si="13"/>
        <v>10</v>
      </c>
      <c r="AC7" s="1">
        <f t="shared" si="13"/>
        <v>10</v>
      </c>
      <c r="AD7" s="1">
        <f t="shared" si="14"/>
        <v>128</v>
      </c>
      <c r="AE7" s="1">
        <f t="shared" si="15"/>
        <v>86</v>
      </c>
      <c r="AK7" s="394" t="s">
        <v>1359</v>
      </c>
      <c r="AL7" s="395" t="s">
        <v>1360</v>
      </c>
      <c r="AM7" s="395" t="s">
        <v>600</v>
      </c>
      <c r="AN7" s="399"/>
    </row>
    <row r="8" spans="1:40" x14ac:dyDescent="0.45">
      <c r="A8" s="1">
        <v>6</v>
      </c>
      <c r="B8" s="1" t="s">
        <v>18</v>
      </c>
      <c r="C8" s="1" t="s">
        <v>156</v>
      </c>
      <c r="D8" s="1">
        <v>10</v>
      </c>
      <c r="E8" s="1">
        <v>3</v>
      </c>
      <c r="F8" s="1">
        <f t="shared" si="0"/>
        <v>86</v>
      </c>
      <c r="G8" s="49">
        <v>10</v>
      </c>
      <c r="H8" s="49">
        <v>0</v>
      </c>
      <c r="I8" s="1">
        <v>51</v>
      </c>
      <c r="J8" s="1">
        <v>0</v>
      </c>
      <c r="K8" s="4">
        <f t="shared" si="1"/>
        <v>4386</v>
      </c>
      <c r="L8" s="127">
        <f t="shared" si="2"/>
        <v>3680</v>
      </c>
      <c r="M8" s="80">
        <f t="shared" si="3"/>
        <v>12</v>
      </c>
      <c r="N8" s="80">
        <f t="shared" si="4"/>
        <v>0</v>
      </c>
      <c r="O8" s="80">
        <f t="shared" si="5"/>
        <v>120</v>
      </c>
      <c r="P8" s="388">
        <v>120</v>
      </c>
      <c r="Q8" s="389">
        <f t="shared" si="6"/>
        <v>14400</v>
      </c>
      <c r="R8" s="1"/>
      <c r="S8" s="126">
        <f t="shared" si="7"/>
        <v>7.2</v>
      </c>
      <c r="T8" s="11">
        <v>2</v>
      </c>
      <c r="U8" s="16">
        <f t="shared" si="8"/>
        <v>3.6</v>
      </c>
      <c r="V8" s="390">
        <f t="shared" si="9"/>
        <v>1.8973665961010275</v>
      </c>
      <c r="W8" s="1"/>
      <c r="X8" s="1">
        <f t="shared" si="10"/>
        <v>575</v>
      </c>
      <c r="Y8" s="1">
        <f t="shared" si="11"/>
        <v>128</v>
      </c>
      <c r="Z8" s="1">
        <f t="shared" si="12"/>
        <v>10</v>
      </c>
      <c r="AA8" s="1">
        <f t="shared" si="13"/>
        <v>10</v>
      </c>
      <c r="AB8" s="1">
        <f t="shared" si="13"/>
        <v>10</v>
      </c>
      <c r="AC8" s="1">
        <f t="shared" si="13"/>
        <v>10</v>
      </c>
      <c r="AD8" s="1">
        <f t="shared" si="14"/>
        <v>128</v>
      </c>
      <c r="AE8" s="1">
        <f t="shared" si="15"/>
        <v>86</v>
      </c>
      <c r="AK8" s="400">
        <f>AK5-2*AM8</f>
        <v>12.629999999999999</v>
      </c>
      <c r="AL8" s="401">
        <f>AL5-2*AM8</f>
        <v>27.799999999999997</v>
      </c>
      <c r="AM8" s="401">
        <f>AM5*TAN(RADIANS(AN5))</f>
        <v>2.9999999999999996</v>
      </c>
      <c r="AN8" s="399"/>
    </row>
    <row r="9" spans="1:40" ht="14.65" thickBot="1" x14ac:dyDescent="0.5">
      <c r="A9" s="1">
        <v>7</v>
      </c>
      <c r="B9" s="1" t="s">
        <v>20</v>
      </c>
      <c r="C9" s="1" t="s">
        <v>157</v>
      </c>
      <c r="D9" s="1">
        <v>10</v>
      </c>
      <c r="E9" s="1">
        <v>3</v>
      </c>
      <c r="F9" s="1">
        <f t="shared" si="0"/>
        <v>86</v>
      </c>
      <c r="G9" s="49">
        <v>10</v>
      </c>
      <c r="H9" s="49">
        <v>0</v>
      </c>
      <c r="I9" s="1">
        <v>39</v>
      </c>
      <c r="J9" s="1">
        <v>0</v>
      </c>
      <c r="K9" s="4">
        <f t="shared" si="1"/>
        <v>3354</v>
      </c>
      <c r="L9" s="127">
        <f t="shared" si="2"/>
        <v>2720</v>
      </c>
      <c r="M9" s="80">
        <f t="shared" si="3"/>
        <v>9</v>
      </c>
      <c r="N9" s="80">
        <f t="shared" si="4"/>
        <v>0</v>
      </c>
      <c r="O9" s="80">
        <f t="shared" si="5"/>
        <v>90</v>
      </c>
      <c r="P9" s="388">
        <v>120</v>
      </c>
      <c r="Q9" s="389">
        <f t="shared" si="6"/>
        <v>10800</v>
      </c>
      <c r="R9" s="1"/>
      <c r="S9" s="126">
        <f t="shared" si="7"/>
        <v>5.4</v>
      </c>
      <c r="T9" s="11">
        <v>2</v>
      </c>
      <c r="U9" s="16">
        <f t="shared" si="8"/>
        <v>2.7</v>
      </c>
      <c r="V9" s="390">
        <f t="shared" si="9"/>
        <v>1.6431676725154984</v>
      </c>
      <c r="W9" s="1"/>
      <c r="X9" s="1">
        <f t="shared" si="10"/>
        <v>455</v>
      </c>
      <c r="Y9" s="1">
        <f t="shared" si="11"/>
        <v>98</v>
      </c>
      <c r="Z9" s="1">
        <f t="shared" si="12"/>
        <v>10</v>
      </c>
      <c r="AA9" s="1">
        <f t="shared" si="13"/>
        <v>10</v>
      </c>
      <c r="AB9" s="1">
        <f t="shared" si="13"/>
        <v>10</v>
      </c>
      <c r="AC9" s="1">
        <f t="shared" si="13"/>
        <v>10</v>
      </c>
      <c r="AD9" s="1">
        <f t="shared" si="14"/>
        <v>98</v>
      </c>
      <c r="AE9" s="1">
        <f t="shared" si="15"/>
        <v>86</v>
      </c>
      <c r="AK9" s="397"/>
      <c r="AL9" s="398"/>
      <c r="AM9" s="402"/>
      <c r="AN9" s="399"/>
    </row>
    <row r="10" spans="1:40" ht="16.149999999999999" thickBot="1" x14ac:dyDescent="0.5">
      <c r="A10" s="1">
        <v>8</v>
      </c>
      <c r="B10" s="1" t="s">
        <v>20</v>
      </c>
      <c r="C10" s="1" t="s">
        <v>158</v>
      </c>
      <c r="D10" s="1">
        <v>10</v>
      </c>
      <c r="E10" s="1">
        <v>3</v>
      </c>
      <c r="F10" s="1">
        <f t="shared" si="0"/>
        <v>86</v>
      </c>
      <c r="G10" s="49">
        <v>10</v>
      </c>
      <c r="H10" s="49">
        <v>0</v>
      </c>
      <c r="I10" s="1">
        <v>39</v>
      </c>
      <c r="J10" s="1">
        <v>0</v>
      </c>
      <c r="K10" s="4">
        <f t="shared" si="1"/>
        <v>3354</v>
      </c>
      <c r="L10" s="127">
        <f t="shared" si="2"/>
        <v>2720</v>
      </c>
      <c r="M10" s="80">
        <f t="shared" si="3"/>
        <v>9</v>
      </c>
      <c r="N10" s="80">
        <f t="shared" si="4"/>
        <v>0</v>
      </c>
      <c r="O10" s="80">
        <f t="shared" si="5"/>
        <v>90</v>
      </c>
      <c r="P10" s="388">
        <v>120</v>
      </c>
      <c r="Q10" s="389">
        <f t="shared" si="6"/>
        <v>10800</v>
      </c>
      <c r="R10" s="1"/>
      <c r="S10" s="126">
        <f t="shared" si="7"/>
        <v>5.4</v>
      </c>
      <c r="T10" s="11">
        <v>2</v>
      </c>
      <c r="U10" s="16">
        <f t="shared" si="8"/>
        <v>2.7</v>
      </c>
      <c r="V10" s="390">
        <f t="shared" si="9"/>
        <v>1.6431676725154984</v>
      </c>
      <c r="W10" s="1"/>
      <c r="X10" s="1">
        <f t="shared" si="10"/>
        <v>455</v>
      </c>
      <c r="Y10" s="1">
        <f t="shared" si="11"/>
        <v>98</v>
      </c>
      <c r="Z10" s="1">
        <f t="shared" si="12"/>
        <v>10</v>
      </c>
      <c r="AA10" s="1">
        <f t="shared" si="13"/>
        <v>10</v>
      </c>
      <c r="AB10" s="1">
        <f t="shared" si="13"/>
        <v>10</v>
      </c>
      <c r="AC10" s="1">
        <f t="shared" si="13"/>
        <v>10</v>
      </c>
      <c r="AD10" s="1">
        <f t="shared" si="14"/>
        <v>98</v>
      </c>
      <c r="AE10" s="1">
        <f t="shared" si="15"/>
        <v>86</v>
      </c>
      <c r="AK10" s="403" t="s">
        <v>1361</v>
      </c>
      <c r="AL10" s="404">
        <f>(AK8*AL8*AM5)+2*(AM8*AM5*AL8/2)+2*(AM8*AM5*AK8/2)+4*(AM8*AM8*AM5/3)</f>
        <v>1453.2119999999995</v>
      </c>
      <c r="AM10" s="402"/>
      <c r="AN10" s="405"/>
    </row>
    <row r="11" spans="1:40" ht="16.149999999999999" thickBot="1" x14ac:dyDescent="0.55000000000000004">
      <c r="A11" s="1">
        <v>9</v>
      </c>
      <c r="B11" s="1" t="s">
        <v>22</v>
      </c>
      <c r="C11" s="1" t="s">
        <v>159</v>
      </c>
      <c r="D11" s="1">
        <v>10</v>
      </c>
      <c r="E11" s="1">
        <v>3</v>
      </c>
      <c r="F11" s="1">
        <f t="shared" si="0"/>
        <v>86</v>
      </c>
      <c r="G11" s="49">
        <v>4</v>
      </c>
      <c r="H11" s="49">
        <v>6</v>
      </c>
      <c r="I11" s="1">
        <v>43</v>
      </c>
      <c r="J11" s="1">
        <v>19</v>
      </c>
      <c r="K11" s="4">
        <f t="shared" si="1"/>
        <v>2546</v>
      </c>
      <c r="L11" s="127">
        <f t="shared" si="2"/>
        <v>1888</v>
      </c>
      <c r="M11" s="80">
        <f t="shared" si="3"/>
        <v>10</v>
      </c>
      <c r="N11" s="80">
        <f t="shared" si="4"/>
        <v>4</v>
      </c>
      <c r="O11" s="80">
        <f t="shared" si="5"/>
        <v>64</v>
      </c>
      <c r="P11" s="388">
        <v>120</v>
      </c>
      <c r="Q11" s="389">
        <f t="shared" si="6"/>
        <v>7680</v>
      </c>
      <c r="R11" s="1"/>
      <c r="S11" s="126">
        <f t="shared" si="7"/>
        <v>3.84</v>
      </c>
      <c r="T11" s="11">
        <v>2</v>
      </c>
      <c r="U11" s="16">
        <f t="shared" si="8"/>
        <v>1.92</v>
      </c>
      <c r="V11" s="390">
        <f t="shared" si="9"/>
        <v>1.3856406460551018</v>
      </c>
      <c r="W11" s="1"/>
      <c r="X11" s="1">
        <f t="shared" si="10"/>
        <v>351</v>
      </c>
      <c r="Y11" s="1">
        <f t="shared" si="11"/>
        <v>72</v>
      </c>
      <c r="Z11" s="1">
        <f t="shared" si="12"/>
        <v>10</v>
      </c>
      <c r="AA11" s="1">
        <f t="shared" si="13"/>
        <v>10</v>
      </c>
      <c r="AB11" s="1">
        <f t="shared" si="13"/>
        <v>10</v>
      </c>
      <c r="AC11" s="1">
        <f t="shared" si="13"/>
        <v>10</v>
      </c>
      <c r="AD11" s="1">
        <f t="shared" si="14"/>
        <v>72</v>
      </c>
      <c r="AE11" s="1">
        <f t="shared" si="15"/>
        <v>110</v>
      </c>
      <c r="AK11" s="406" t="s">
        <v>1362</v>
      </c>
      <c r="AL11" s="407">
        <f>AL10/(AK5*AL5*AM5)*100</f>
        <v>76.926888298125746</v>
      </c>
      <c r="AM11" s="408"/>
      <c r="AN11" s="409" t="s">
        <v>1363</v>
      </c>
    </row>
    <row r="12" spans="1:40" x14ac:dyDescent="0.45">
      <c r="A12" s="1">
        <v>10</v>
      </c>
      <c r="B12" s="1" t="s">
        <v>22</v>
      </c>
      <c r="C12" s="1" t="s">
        <v>160</v>
      </c>
      <c r="D12" s="1">
        <v>10</v>
      </c>
      <c r="E12" s="1">
        <v>3</v>
      </c>
      <c r="F12" s="1">
        <f t="shared" si="0"/>
        <v>86</v>
      </c>
      <c r="G12" s="49">
        <v>4</v>
      </c>
      <c r="H12" s="49">
        <v>6</v>
      </c>
      <c r="I12" s="1">
        <v>43</v>
      </c>
      <c r="J12" s="1">
        <v>43</v>
      </c>
      <c r="K12" s="4">
        <f t="shared" si="1"/>
        <v>3698</v>
      </c>
      <c r="L12" s="127">
        <f t="shared" si="2"/>
        <v>3040</v>
      </c>
      <c r="M12" s="80">
        <f t="shared" si="3"/>
        <v>10</v>
      </c>
      <c r="N12" s="80">
        <f t="shared" si="4"/>
        <v>10</v>
      </c>
      <c r="O12" s="80">
        <f t="shared" si="5"/>
        <v>100</v>
      </c>
      <c r="P12" s="388">
        <v>120</v>
      </c>
      <c r="Q12" s="389">
        <f t="shared" si="6"/>
        <v>12000</v>
      </c>
      <c r="R12" s="1"/>
      <c r="S12" s="126">
        <f t="shared" si="7"/>
        <v>6</v>
      </c>
      <c r="T12" s="11">
        <v>2</v>
      </c>
      <c r="U12" s="16">
        <f t="shared" si="8"/>
        <v>3</v>
      </c>
      <c r="V12" s="390">
        <f t="shared" si="9"/>
        <v>1.7320508075688772</v>
      </c>
      <c r="W12" s="1"/>
      <c r="X12" s="1">
        <f t="shared" si="10"/>
        <v>495</v>
      </c>
      <c r="Y12" s="1">
        <f t="shared" si="11"/>
        <v>108</v>
      </c>
      <c r="Z12" s="1">
        <f t="shared" si="12"/>
        <v>10</v>
      </c>
      <c r="AA12" s="1">
        <f t="shared" si="13"/>
        <v>10</v>
      </c>
      <c r="AB12" s="1">
        <f t="shared" si="13"/>
        <v>10</v>
      </c>
      <c r="AC12" s="1">
        <f t="shared" si="13"/>
        <v>10</v>
      </c>
      <c r="AD12" s="1">
        <f t="shared" si="14"/>
        <v>108</v>
      </c>
      <c r="AE12" s="1">
        <f t="shared" si="15"/>
        <v>86</v>
      </c>
    </row>
    <row r="13" spans="1:40" x14ac:dyDescent="0.45">
      <c r="A13" s="1">
        <v>11</v>
      </c>
      <c r="B13" s="1" t="s">
        <v>24</v>
      </c>
      <c r="C13" s="1" t="s">
        <v>161</v>
      </c>
      <c r="D13" s="1">
        <v>11</v>
      </c>
      <c r="E13" s="1">
        <v>3</v>
      </c>
      <c r="F13" s="1">
        <f t="shared" si="0"/>
        <v>94</v>
      </c>
      <c r="G13" s="49">
        <v>11</v>
      </c>
      <c r="H13" s="49">
        <v>0</v>
      </c>
      <c r="I13" s="1">
        <v>37</v>
      </c>
      <c r="J13" s="1">
        <v>0</v>
      </c>
      <c r="K13" s="4">
        <f t="shared" si="1"/>
        <v>3478</v>
      </c>
      <c r="L13" s="127">
        <f t="shared" si="2"/>
        <v>2816</v>
      </c>
      <c r="M13" s="80">
        <f t="shared" si="3"/>
        <v>8.5</v>
      </c>
      <c r="N13" s="80">
        <f t="shared" si="4"/>
        <v>0</v>
      </c>
      <c r="O13" s="80">
        <f t="shared" si="5"/>
        <v>93.5</v>
      </c>
      <c r="P13" s="388">
        <v>120</v>
      </c>
      <c r="Q13" s="389">
        <f t="shared" si="6"/>
        <v>11220</v>
      </c>
      <c r="R13" s="1"/>
      <c r="S13" s="126">
        <f t="shared" si="7"/>
        <v>5.61</v>
      </c>
      <c r="T13" s="11">
        <v>2</v>
      </c>
      <c r="U13" s="16">
        <f t="shared" si="8"/>
        <v>2.8050000000000002</v>
      </c>
      <c r="V13" s="390">
        <f t="shared" si="9"/>
        <v>1.6748134224444227</v>
      </c>
      <c r="W13" s="1"/>
      <c r="X13" s="1">
        <f t="shared" si="10"/>
        <v>479</v>
      </c>
      <c r="Y13" s="1">
        <f t="shared" si="11"/>
        <v>102</v>
      </c>
      <c r="Z13" s="1">
        <f t="shared" si="12"/>
        <v>11</v>
      </c>
      <c r="AA13" s="1">
        <f t="shared" si="13"/>
        <v>11</v>
      </c>
      <c r="AB13" s="1">
        <f t="shared" si="13"/>
        <v>11</v>
      </c>
      <c r="AC13" s="1">
        <f t="shared" si="13"/>
        <v>11</v>
      </c>
      <c r="AD13" s="1">
        <f t="shared" si="14"/>
        <v>102</v>
      </c>
      <c r="AE13" s="1">
        <f t="shared" si="15"/>
        <v>94</v>
      </c>
    </row>
    <row r="14" spans="1:40" x14ac:dyDescent="0.45">
      <c r="A14" s="1">
        <v>12</v>
      </c>
      <c r="B14" s="1" t="s">
        <v>24</v>
      </c>
      <c r="C14" s="1" t="s">
        <v>162</v>
      </c>
      <c r="D14" s="1">
        <v>11</v>
      </c>
      <c r="E14" s="1">
        <v>3</v>
      </c>
      <c r="F14" s="1">
        <f t="shared" si="0"/>
        <v>94</v>
      </c>
      <c r="G14" s="49">
        <v>11</v>
      </c>
      <c r="H14" s="49">
        <v>0</v>
      </c>
      <c r="I14" s="1">
        <v>37</v>
      </c>
      <c r="J14" s="1">
        <v>0</v>
      </c>
      <c r="K14" s="4">
        <f t="shared" si="1"/>
        <v>3478</v>
      </c>
      <c r="L14" s="127">
        <f t="shared" si="2"/>
        <v>2816</v>
      </c>
      <c r="M14" s="80">
        <f t="shared" si="3"/>
        <v>8.5</v>
      </c>
      <c r="N14" s="80">
        <f t="shared" si="4"/>
        <v>0</v>
      </c>
      <c r="O14" s="80">
        <f t="shared" si="5"/>
        <v>93.5</v>
      </c>
      <c r="P14" s="388">
        <v>120</v>
      </c>
      <c r="Q14" s="389">
        <f t="shared" si="6"/>
        <v>11220</v>
      </c>
      <c r="R14" s="1"/>
      <c r="S14" s="126">
        <f t="shared" si="7"/>
        <v>5.61</v>
      </c>
      <c r="T14" s="11">
        <v>2</v>
      </c>
      <c r="U14" s="16">
        <f t="shared" si="8"/>
        <v>2.8050000000000002</v>
      </c>
      <c r="V14" s="390">
        <f t="shared" si="9"/>
        <v>1.6748134224444227</v>
      </c>
      <c r="W14" s="1"/>
      <c r="X14" s="1">
        <f t="shared" si="10"/>
        <v>479</v>
      </c>
      <c r="Y14" s="1">
        <f t="shared" si="11"/>
        <v>102</v>
      </c>
      <c r="Z14" s="1">
        <f t="shared" si="12"/>
        <v>11</v>
      </c>
      <c r="AA14" s="1">
        <f t="shared" si="13"/>
        <v>11</v>
      </c>
      <c r="AB14" s="1">
        <f t="shared" si="13"/>
        <v>11</v>
      </c>
      <c r="AC14" s="1">
        <f t="shared" si="13"/>
        <v>11</v>
      </c>
      <c r="AD14" s="1">
        <f t="shared" si="14"/>
        <v>102</v>
      </c>
      <c r="AE14" s="1">
        <f t="shared" si="15"/>
        <v>94</v>
      </c>
    </row>
    <row r="15" spans="1:40" x14ac:dyDescent="0.45">
      <c r="A15" s="1">
        <v>13</v>
      </c>
      <c r="B15" s="1" t="s">
        <v>27</v>
      </c>
      <c r="C15" s="1" t="s">
        <v>163</v>
      </c>
      <c r="D15" s="1">
        <v>12</v>
      </c>
      <c r="E15" s="1">
        <v>3</v>
      </c>
      <c r="F15" s="1">
        <f t="shared" si="0"/>
        <v>102</v>
      </c>
      <c r="G15" s="49">
        <v>12</v>
      </c>
      <c r="H15" s="49">
        <v>0</v>
      </c>
      <c r="I15" s="1">
        <v>51</v>
      </c>
      <c r="J15" s="1">
        <v>0</v>
      </c>
      <c r="K15" s="4">
        <f t="shared" si="1"/>
        <v>5202</v>
      </c>
      <c r="L15" s="127">
        <f t="shared" si="2"/>
        <v>4416</v>
      </c>
      <c r="M15" s="80">
        <f t="shared" si="3"/>
        <v>12</v>
      </c>
      <c r="N15" s="80">
        <f t="shared" si="4"/>
        <v>0</v>
      </c>
      <c r="O15" s="80">
        <f t="shared" si="5"/>
        <v>144</v>
      </c>
      <c r="P15" s="388">
        <v>120</v>
      </c>
      <c r="Q15" s="389">
        <f t="shared" si="6"/>
        <v>17280</v>
      </c>
      <c r="R15" s="1"/>
      <c r="S15" s="126">
        <f t="shared" si="7"/>
        <v>8.64</v>
      </c>
      <c r="T15" s="11">
        <v>2</v>
      </c>
      <c r="U15" s="16">
        <f t="shared" si="8"/>
        <v>4.32</v>
      </c>
      <c r="V15" s="390">
        <f t="shared" si="9"/>
        <v>2.078460969082653</v>
      </c>
      <c r="W15" s="1"/>
      <c r="X15" s="1">
        <f t="shared" si="10"/>
        <v>690</v>
      </c>
      <c r="Y15" s="1">
        <f t="shared" si="11"/>
        <v>153</v>
      </c>
      <c r="Z15" s="1">
        <f t="shared" si="12"/>
        <v>12</v>
      </c>
      <c r="AA15" s="1">
        <f t="shared" si="13"/>
        <v>12</v>
      </c>
      <c r="AB15" s="1">
        <f t="shared" si="13"/>
        <v>12</v>
      </c>
      <c r="AC15" s="1">
        <f t="shared" si="13"/>
        <v>12</v>
      </c>
      <c r="AD15" s="1">
        <f t="shared" si="14"/>
        <v>153</v>
      </c>
      <c r="AE15" s="1">
        <f t="shared" si="15"/>
        <v>102</v>
      </c>
    </row>
    <row r="16" spans="1:40" x14ac:dyDescent="0.45">
      <c r="A16" s="1">
        <v>14</v>
      </c>
      <c r="B16" s="1" t="s">
        <v>27</v>
      </c>
      <c r="C16" s="1" t="s">
        <v>164</v>
      </c>
      <c r="D16" s="1">
        <v>12</v>
      </c>
      <c r="E16" s="1">
        <v>3</v>
      </c>
      <c r="F16" s="1">
        <f t="shared" si="0"/>
        <v>102</v>
      </c>
      <c r="G16" s="49">
        <v>12</v>
      </c>
      <c r="H16" s="49">
        <v>0</v>
      </c>
      <c r="I16" s="1">
        <v>51</v>
      </c>
      <c r="J16" s="1">
        <v>0</v>
      </c>
      <c r="K16" s="4">
        <f t="shared" si="1"/>
        <v>5202</v>
      </c>
      <c r="L16" s="127">
        <f t="shared" si="2"/>
        <v>4416</v>
      </c>
      <c r="M16" s="80">
        <f t="shared" si="3"/>
        <v>12</v>
      </c>
      <c r="N16" s="80">
        <f t="shared" si="4"/>
        <v>0</v>
      </c>
      <c r="O16" s="80">
        <f t="shared" si="5"/>
        <v>144</v>
      </c>
      <c r="P16" s="388">
        <v>120</v>
      </c>
      <c r="Q16" s="389">
        <f t="shared" si="6"/>
        <v>17280</v>
      </c>
      <c r="R16" s="1"/>
      <c r="S16" s="126">
        <f t="shared" si="7"/>
        <v>8.64</v>
      </c>
      <c r="T16" s="11">
        <v>2</v>
      </c>
      <c r="U16" s="16">
        <f t="shared" si="8"/>
        <v>4.32</v>
      </c>
      <c r="V16" s="390">
        <f t="shared" si="9"/>
        <v>2.078460969082653</v>
      </c>
      <c r="W16" s="1"/>
      <c r="X16" s="1">
        <f t="shared" si="10"/>
        <v>690</v>
      </c>
      <c r="Y16" s="1">
        <f t="shared" si="11"/>
        <v>153</v>
      </c>
      <c r="Z16" s="1">
        <f t="shared" si="12"/>
        <v>12</v>
      </c>
      <c r="AA16" s="1">
        <f t="shared" si="13"/>
        <v>12</v>
      </c>
      <c r="AB16" s="1">
        <f t="shared" si="13"/>
        <v>12</v>
      </c>
      <c r="AC16" s="1">
        <f t="shared" si="13"/>
        <v>12</v>
      </c>
      <c r="AD16" s="1">
        <f t="shared" si="14"/>
        <v>153</v>
      </c>
      <c r="AE16" s="1">
        <f t="shared" si="15"/>
        <v>102</v>
      </c>
    </row>
    <row r="17" spans="1:31" x14ac:dyDescent="0.45">
      <c r="A17" s="1">
        <v>15</v>
      </c>
      <c r="B17" s="1" t="s">
        <v>29</v>
      </c>
      <c r="C17" s="1" t="s">
        <v>165</v>
      </c>
      <c r="D17" s="1">
        <v>12</v>
      </c>
      <c r="E17" s="1">
        <v>3</v>
      </c>
      <c r="F17" s="1">
        <f t="shared" si="0"/>
        <v>102</v>
      </c>
      <c r="G17" s="49">
        <v>12</v>
      </c>
      <c r="H17" s="49">
        <v>0</v>
      </c>
      <c r="I17" s="1">
        <v>51</v>
      </c>
      <c r="J17" s="1">
        <v>0</v>
      </c>
      <c r="K17" s="4">
        <f t="shared" si="1"/>
        <v>5202</v>
      </c>
      <c r="L17" s="127">
        <f t="shared" si="2"/>
        <v>4416</v>
      </c>
      <c r="M17" s="80">
        <f t="shared" si="3"/>
        <v>12</v>
      </c>
      <c r="N17" s="80">
        <f t="shared" si="4"/>
        <v>0</v>
      </c>
      <c r="O17" s="80">
        <f t="shared" si="5"/>
        <v>144</v>
      </c>
      <c r="P17" s="388">
        <v>120</v>
      </c>
      <c r="Q17" s="389">
        <f t="shared" si="6"/>
        <v>17280</v>
      </c>
      <c r="R17" s="1"/>
      <c r="S17" s="126">
        <f t="shared" si="7"/>
        <v>8.64</v>
      </c>
      <c r="T17" s="11">
        <v>2</v>
      </c>
      <c r="U17" s="16">
        <f t="shared" si="8"/>
        <v>4.32</v>
      </c>
      <c r="V17" s="390">
        <f t="shared" si="9"/>
        <v>2.078460969082653</v>
      </c>
      <c r="W17" s="1"/>
      <c r="X17" s="1">
        <f t="shared" si="10"/>
        <v>690</v>
      </c>
      <c r="Y17" s="1">
        <f t="shared" si="11"/>
        <v>153</v>
      </c>
      <c r="Z17" s="1">
        <f t="shared" si="12"/>
        <v>12</v>
      </c>
      <c r="AA17" s="1">
        <f t="shared" si="13"/>
        <v>12</v>
      </c>
      <c r="AB17" s="1">
        <f t="shared" si="13"/>
        <v>12</v>
      </c>
      <c r="AC17" s="1">
        <f t="shared" si="13"/>
        <v>12</v>
      </c>
      <c r="AD17" s="1">
        <f t="shared" si="14"/>
        <v>153</v>
      </c>
      <c r="AE17" s="1">
        <f t="shared" si="15"/>
        <v>102</v>
      </c>
    </row>
    <row r="18" spans="1:31" x14ac:dyDescent="0.45">
      <c r="A18" s="1">
        <v>16</v>
      </c>
      <c r="B18" s="1" t="s">
        <v>29</v>
      </c>
      <c r="C18" s="1" t="s">
        <v>166</v>
      </c>
      <c r="D18" s="1">
        <v>12</v>
      </c>
      <c r="E18" s="1">
        <v>3</v>
      </c>
      <c r="F18" s="1">
        <f t="shared" si="0"/>
        <v>102</v>
      </c>
      <c r="G18" s="49">
        <v>12</v>
      </c>
      <c r="H18" s="49">
        <v>0</v>
      </c>
      <c r="I18" s="1">
        <v>51</v>
      </c>
      <c r="J18" s="1">
        <v>0</v>
      </c>
      <c r="K18" s="4">
        <f t="shared" si="1"/>
        <v>5202</v>
      </c>
      <c r="L18" s="127">
        <f t="shared" si="2"/>
        <v>4416</v>
      </c>
      <c r="M18" s="80">
        <f t="shared" si="3"/>
        <v>12</v>
      </c>
      <c r="N18" s="80">
        <f t="shared" si="4"/>
        <v>0</v>
      </c>
      <c r="O18" s="80">
        <f t="shared" si="5"/>
        <v>144</v>
      </c>
      <c r="P18" s="388">
        <v>120</v>
      </c>
      <c r="Q18" s="389">
        <f t="shared" si="6"/>
        <v>17280</v>
      </c>
      <c r="R18" s="1"/>
      <c r="S18" s="126">
        <f t="shared" si="7"/>
        <v>8.64</v>
      </c>
      <c r="T18" s="11">
        <v>2</v>
      </c>
      <c r="U18" s="16">
        <f t="shared" si="8"/>
        <v>4.32</v>
      </c>
      <c r="V18" s="390">
        <f t="shared" si="9"/>
        <v>2.078460969082653</v>
      </c>
      <c r="W18" s="1"/>
      <c r="X18" s="1">
        <f t="shared" si="10"/>
        <v>690</v>
      </c>
      <c r="Y18" s="1">
        <f t="shared" si="11"/>
        <v>153</v>
      </c>
      <c r="Z18" s="1">
        <f t="shared" si="12"/>
        <v>12</v>
      </c>
      <c r="AA18" s="1">
        <f t="shared" si="13"/>
        <v>12</v>
      </c>
      <c r="AB18" s="1">
        <f t="shared" si="13"/>
        <v>12</v>
      </c>
      <c r="AC18" s="1">
        <f t="shared" si="13"/>
        <v>12</v>
      </c>
      <c r="AD18" s="1">
        <f t="shared" si="14"/>
        <v>153</v>
      </c>
      <c r="AE18" s="1">
        <f t="shared" si="15"/>
        <v>102</v>
      </c>
    </row>
    <row r="19" spans="1:31" x14ac:dyDescent="0.45">
      <c r="A19" s="1">
        <v>17</v>
      </c>
      <c r="B19" s="1" t="s">
        <v>31</v>
      </c>
      <c r="C19" s="1" t="s">
        <v>167</v>
      </c>
      <c r="D19" s="1">
        <v>12</v>
      </c>
      <c r="E19" s="1">
        <v>3</v>
      </c>
      <c r="F19" s="1">
        <f t="shared" si="0"/>
        <v>102</v>
      </c>
      <c r="G19" s="49">
        <v>12</v>
      </c>
      <c r="H19" s="49">
        <v>0</v>
      </c>
      <c r="I19" s="1">
        <v>37</v>
      </c>
      <c r="J19" s="1">
        <v>0</v>
      </c>
      <c r="K19" s="4">
        <f t="shared" si="1"/>
        <v>3774</v>
      </c>
      <c r="L19" s="127">
        <f t="shared" si="2"/>
        <v>3072</v>
      </c>
      <c r="M19" s="80">
        <f t="shared" si="3"/>
        <v>8.5</v>
      </c>
      <c r="N19" s="80">
        <f t="shared" si="4"/>
        <v>0</v>
      </c>
      <c r="O19" s="80">
        <f t="shared" si="5"/>
        <v>102</v>
      </c>
      <c r="P19" s="388">
        <v>120</v>
      </c>
      <c r="Q19" s="389">
        <f t="shared" si="6"/>
        <v>12240</v>
      </c>
      <c r="R19" s="1"/>
      <c r="S19" s="126">
        <f t="shared" si="7"/>
        <v>6.12</v>
      </c>
      <c r="T19" s="11">
        <v>2</v>
      </c>
      <c r="U19" s="16">
        <f t="shared" si="8"/>
        <v>3.06</v>
      </c>
      <c r="V19" s="390">
        <f t="shared" si="9"/>
        <v>1.7492855684535902</v>
      </c>
      <c r="W19" s="1"/>
      <c r="X19" s="1">
        <f t="shared" si="10"/>
        <v>522</v>
      </c>
      <c r="Y19" s="1">
        <f t="shared" si="11"/>
        <v>111</v>
      </c>
      <c r="Z19" s="1">
        <f t="shared" si="12"/>
        <v>12</v>
      </c>
      <c r="AA19" s="1">
        <f t="shared" si="13"/>
        <v>12</v>
      </c>
      <c r="AB19" s="1">
        <f t="shared" si="13"/>
        <v>12</v>
      </c>
      <c r="AC19" s="1">
        <f t="shared" si="13"/>
        <v>12</v>
      </c>
      <c r="AD19" s="1">
        <f t="shared" si="14"/>
        <v>111</v>
      </c>
      <c r="AE19" s="1">
        <f t="shared" si="15"/>
        <v>102</v>
      </c>
    </row>
    <row r="20" spans="1:31" x14ac:dyDescent="0.45">
      <c r="A20" s="1">
        <v>18</v>
      </c>
      <c r="B20" s="1" t="s">
        <v>31</v>
      </c>
      <c r="C20" s="1" t="s">
        <v>168</v>
      </c>
      <c r="D20" s="1">
        <v>12</v>
      </c>
      <c r="E20" s="1">
        <v>3</v>
      </c>
      <c r="F20" s="1">
        <f t="shared" si="0"/>
        <v>102</v>
      </c>
      <c r="G20" s="49">
        <v>12</v>
      </c>
      <c r="H20" s="49">
        <v>0</v>
      </c>
      <c r="I20" s="1">
        <v>37</v>
      </c>
      <c r="J20" s="1">
        <v>0</v>
      </c>
      <c r="K20" s="4">
        <f t="shared" si="1"/>
        <v>3774</v>
      </c>
      <c r="L20" s="127">
        <f t="shared" si="2"/>
        <v>3072</v>
      </c>
      <c r="M20" s="80">
        <f t="shared" si="3"/>
        <v>8.5</v>
      </c>
      <c r="N20" s="80">
        <f t="shared" si="4"/>
        <v>0</v>
      </c>
      <c r="O20" s="80">
        <f t="shared" si="5"/>
        <v>102</v>
      </c>
      <c r="P20" s="388">
        <v>120</v>
      </c>
      <c r="Q20" s="389">
        <f t="shared" si="6"/>
        <v>12240</v>
      </c>
      <c r="R20" s="1"/>
      <c r="S20" s="126">
        <f t="shared" si="7"/>
        <v>6.12</v>
      </c>
      <c r="T20" s="11">
        <v>2</v>
      </c>
      <c r="U20" s="16">
        <f t="shared" si="8"/>
        <v>3.06</v>
      </c>
      <c r="V20" s="390">
        <f t="shared" si="9"/>
        <v>1.7492855684535902</v>
      </c>
      <c r="W20" s="1"/>
      <c r="X20" s="1">
        <f t="shared" si="10"/>
        <v>522</v>
      </c>
      <c r="Y20" s="1">
        <f t="shared" si="11"/>
        <v>111</v>
      </c>
      <c r="Z20" s="1">
        <f t="shared" si="12"/>
        <v>12</v>
      </c>
      <c r="AA20" s="1">
        <f t="shared" si="13"/>
        <v>12</v>
      </c>
      <c r="AB20" s="1">
        <f t="shared" si="13"/>
        <v>12</v>
      </c>
      <c r="AC20" s="1">
        <f t="shared" si="13"/>
        <v>12</v>
      </c>
      <c r="AD20" s="1">
        <f t="shared" si="14"/>
        <v>111</v>
      </c>
      <c r="AE20" s="1">
        <f t="shared" si="15"/>
        <v>102</v>
      </c>
    </row>
    <row r="21" spans="1:31" x14ac:dyDescent="0.45">
      <c r="A21" s="1">
        <v>19</v>
      </c>
      <c r="B21" s="1" t="s">
        <v>33</v>
      </c>
      <c r="C21" s="1" t="s">
        <v>169</v>
      </c>
      <c r="D21" s="1">
        <v>12</v>
      </c>
      <c r="E21" s="1">
        <v>3</v>
      </c>
      <c r="F21" s="1">
        <f t="shared" si="0"/>
        <v>102</v>
      </c>
      <c r="G21" s="49">
        <v>9</v>
      </c>
      <c r="H21" s="49">
        <v>3</v>
      </c>
      <c r="I21" s="1">
        <v>42</v>
      </c>
      <c r="J21" s="1">
        <v>38</v>
      </c>
      <c r="K21" s="4">
        <f t="shared" si="1"/>
        <v>4188</v>
      </c>
      <c r="L21" s="127">
        <f t="shared" si="2"/>
        <v>3360</v>
      </c>
      <c r="M21" s="80">
        <f t="shared" si="3"/>
        <v>9</v>
      </c>
      <c r="N21" s="80">
        <f t="shared" si="4"/>
        <v>8</v>
      </c>
      <c r="O21" s="80">
        <f t="shared" si="5"/>
        <v>105</v>
      </c>
      <c r="P21" s="388">
        <v>120</v>
      </c>
      <c r="Q21" s="389">
        <f t="shared" si="6"/>
        <v>12600</v>
      </c>
      <c r="R21" s="1"/>
      <c r="S21" s="126">
        <f t="shared" si="7"/>
        <v>6.3</v>
      </c>
      <c r="T21" s="11">
        <v>2</v>
      </c>
      <c r="U21" s="16">
        <f t="shared" si="8"/>
        <v>3.15</v>
      </c>
      <c r="V21" s="390">
        <f t="shared" si="9"/>
        <v>1.7748239349298849</v>
      </c>
      <c r="W21" s="1"/>
      <c r="X21" s="1">
        <f t="shared" si="10"/>
        <v>570</v>
      </c>
      <c r="Y21" s="1">
        <f t="shared" si="11"/>
        <v>123</v>
      </c>
      <c r="Z21" s="1">
        <f t="shared" si="12"/>
        <v>12</v>
      </c>
      <c r="AA21" s="1">
        <f t="shared" si="13"/>
        <v>12</v>
      </c>
      <c r="AB21" s="1">
        <f t="shared" si="13"/>
        <v>12</v>
      </c>
      <c r="AC21" s="1">
        <f t="shared" si="13"/>
        <v>12</v>
      </c>
      <c r="AD21" s="1">
        <f t="shared" si="14"/>
        <v>123</v>
      </c>
      <c r="AE21" s="1">
        <f t="shared" si="15"/>
        <v>106</v>
      </c>
    </row>
    <row r="22" spans="1:31" x14ac:dyDescent="0.45">
      <c r="A22" s="1">
        <v>20</v>
      </c>
      <c r="B22" s="1" t="s">
        <v>35</v>
      </c>
      <c r="C22" s="1" t="s">
        <v>170</v>
      </c>
      <c r="D22" s="1">
        <v>12</v>
      </c>
      <c r="E22" s="1">
        <v>3</v>
      </c>
      <c r="F22" s="1">
        <f t="shared" si="0"/>
        <v>102</v>
      </c>
      <c r="G22" s="49">
        <v>12</v>
      </c>
      <c r="H22" s="49">
        <v>0</v>
      </c>
      <c r="I22" s="1">
        <v>42</v>
      </c>
      <c r="J22" s="1">
        <v>0</v>
      </c>
      <c r="K22" s="4">
        <f t="shared" si="1"/>
        <v>4284</v>
      </c>
      <c r="L22" s="127">
        <f t="shared" si="2"/>
        <v>3456</v>
      </c>
      <c r="M22" s="80">
        <f t="shared" si="3"/>
        <v>9</v>
      </c>
      <c r="N22" s="80">
        <f t="shared" si="4"/>
        <v>0</v>
      </c>
      <c r="O22" s="80">
        <f t="shared" si="5"/>
        <v>108</v>
      </c>
      <c r="P22" s="388">
        <v>120</v>
      </c>
      <c r="Q22" s="389">
        <f t="shared" si="6"/>
        <v>12960</v>
      </c>
      <c r="R22" s="1"/>
      <c r="S22" s="126">
        <f t="shared" si="7"/>
        <v>6.48</v>
      </c>
      <c r="T22" s="11">
        <v>2</v>
      </c>
      <c r="U22" s="16">
        <f t="shared" si="8"/>
        <v>3.24</v>
      </c>
      <c r="V22" s="390">
        <f t="shared" si="9"/>
        <v>1.8</v>
      </c>
      <c r="W22" s="1"/>
      <c r="X22" s="1">
        <f t="shared" si="10"/>
        <v>582</v>
      </c>
      <c r="Y22" s="1">
        <f t="shared" si="11"/>
        <v>126</v>
      </c>
      <c r="Z22" s="1">
        <f t="shared" si="12"/>
        <v>12</v>
      </c>
      <c r="AA22" s="1">
        <f t="shared" si="13"/>
        <v>12</v>
      </c>
      <c r="AB22" s="1">
        <f t="shared" si="13"/>
        <v>12</v>
      </c>
      <c r="AC22" s="1">
        <f t="shared" si="13"/>
        <v>12</v>
      </c>
      <c r="AD22" s="1">
        <f t="shared" si="14"/>
        <v>126</v>
      </c>
      <c r="AE22" s="1">
        <f t="shared" si="15"/>
        <v>102</v>
      </c>
    </row>
    <row r="23" spans="1:31" x14ac:dyDescent="0.45">
      <c r="A23" s="1">
        <v>21</v>
      </c>
      <c r="B23" s="1" t="s">
        <v>37</v>
      </c>
      <c r="C23" s="1" t="s">
        <v>171</v>
      </c>
      <c r="D23" s="1">
        <v>12</v>
      </c>
      <c r="E23" s="1">
        <v>3</v>
      </c>
      <c r="F23" s="1">
        <f t="shared" si="0"/>
        <v>102</v>
      </c>
      <c r="G23" s="49">
        <v>12</v>
      </c>
      <c r="H23" s="49">
        <v>0</v>
      </c>
      <c r="I23" s="1">
        <v>31</v>
      </c>
      <c r="J23" s="1">
        <v>0</v>
      </c>
      <c r="K23" s="4">
        <f t="shared" si="1"/>
        <v>3162</v>
      </c>
      <c r="L23" s="127">
        <f t="shared" si="2"/>
        <v>2496</v>
      </c>
      <c r="M23" s="80">
        <f t="shared" si="3"/>
        <v>7</v>
      </c>
      <c r="N23" s="80">
        <f t="shared" si="4"/>
        <v>0</v>
      </c>
      <c r="O23" s="80">
        <f t="shared" si="5"/>
        <v>84</v>
      </c>
      <c r="P23" s="388">
        <v>120</v>
      </c>
      <c r="Q23" s="389">
        <f t="shared" si="6"/>
        <v>10080</v>
      </c>
      <c r="R23" s="1"/>
      <c r="S23" s="126">
        <f t="shared" si="7"/>
        <v>5.04</v>
      </c>
      <c r="T23" s="11">
        <v>2</v>
      </c>
      <c r="U23" s="16">
        <f t="shared" si="8"/>
        <v>2.52</v>
      </c>
      <c r="V23" s="390">
        <f t="shared" si="9"/>
        <v>1.5874507866387544</v>
      </c>
      <c r="W23" s="1"/>
      <c r="X23" s="1">
        <f t="shared" si="10"/>
        <v>450</v>
      </c>
      <c r="Y23" s="1">
        <f t="shared" si="11"/>
        <v>93</v>
      </c>
      <c r="Z23" s="1">
        <f t="shared" si="12"/>
        <v>12</v>
      </c>
      <c r="AA23" s="1">
        <f t="shared" si="13"/>
        <v>12</v>
      </c>
      <c r="AB23" s="1">
        <f t="shared" si="13"/>
        <v>12</v>
      </c>
      <c r="AC23" s="1">
        <f t="shared" si="13"/>
        <v>12</v>
      </c>
      <c r="AD23" s="1">
        <f t="shared" si="14"/>
        <v>93</v>
      </c>
      <c r="AE23" s="1">
        <f t="shared" si="15"/>
        <v>102</v>
      </c>
    </row>
    <row r="24" spans="1:31" x14ac:dyDescent="0.45">
      <c r="A24" s="1">
        <v>22</v>
      </c>
      <c r="B24" s="1" t="s">
        <v>37</v>
      </c>
      <c r="C24" s="1" t="s">
        <v>172</v>
      </c>
      <c r="D24" s="1">
        <v>12</v>
      </c>
      <c r="E24" s="1">
        <v>3</v>
      </c>
      <c r="F24" s="1">
        <f t="shared" si="0"/>
        <v>102</v>
      </c>
      <c r="G24" s="49">
        <v>12</v>
      </c>
      <c r="H24" s="49">
        <v>0</v>
      </c>
      <c r="I24" s="1">
        <v>31</v>
      </c>
      <c r="J24" s="1">
        <v>0</v>
      </c>
      <c r="K24" s="4">
        <f t="shared" si="1"/>
        <v>3162</v>
      </c>
      <c r="L24" s="127">
        <f t="shared" si="2"/>
        <v>2496</v>
      </c>
      <c r="M24" s="80">
        <f t="shared" si="3"/>
        <v>7</v>
      </c>
      <c r="N24" s="80">
        <f t="shared" si="4"/>
        <v>0</v>
      </c>
      <c r="O24" s="80">
        <f t="shared" si="5"/>
        <v>84</v>
      </c>
      <c r="P24" s="388">
        <v>120</v>
      </c>
      <c r="Q24" s="389">
        <f t="shared" si="6"/>
        <v>10080</v>
      </c>
      <c r="R24" s="1"/>
      <c r="S24" s="126">
        <f t="shared" si="7"/>
        <v>5.04</v>
      </c>
      <c r="T24" s="11">
        <v>2</v>
      </c>
      <c r="U24" s="16">
        <f t="shared" si="8"/>
        <v>2.52</v>
      </c>
      <c r="V24" s="390">
        <f t="shared" si="9"/>
        <v>1.5874507866387544</v>
      </c>
      <c r="W24" s="1"/>
      <c r="X24" s="1">
        <f t="shared" si="10"/>
        <v>450</v>
      </c>
      <c r="Y24" s="1">
        <f t="shared" si="11"/>
        <v>93</v>
      </c>
      <c r="Z24" s="1">
        <f t="shared" si="12"/>
        <v>12</v>
      </c>
      <c r="AA24" s="1">
        <f t="shared" si="13"/>
        <v>12</v>
      </c>
      <c r="AB24" s="1">
        <f t="shared" si="13"/>
        <v>12</v>
      </c>
      <c r="AC24" s="1">
        <f t="shared" si="13"/>
        <v>12</v>
      </c>
      <c r="AD24" s="1">
        <f t="shared" si="14"/>
        <v>93</v>
      </c>
      <c r="AE24" s="1">
        <f t="shared" si="15"/>
        <v>102</v>
      </c>
    </row>
    <row r="25" spans="1:31" x14ac:dyDescent="0.45">
      <c r="A25" s="1">
        <v>23</v>
      </c>
      <c r="B25" s="1" t="s">
        <v>39</v>
      </c>
      <c r="C25" s="1" t="s">
        <v>173</v>
      </c>
      <c r="D25" s="1">
        <v>12</v>
      </c>
      <c r="E25" s="1">
        <v>3</v>
      </c>
      <c r="F25" s="1">
        <f t="shared" si="0"/>
        <v>102</v>
      </c>
      <c r="G25" s="49">
        <v>12</v>
      </c>
      <c r="H25" s="49">
        <v>0</v>
      </c>
      <c r="I25" s="1">
        <v>39</v>
      </c>
      <c r="J25" s="1">
        <v>0</v>
      </c>
      <c r="K25" s="4">
        <f t="shared" si="1"/>
        <v>3978</v>
      </c>
      <c r="L25" s="127">
        <f t="shared" si="2"/>
        <v>3264</v>
      </c>
      <c r="M25" s="80">
        <f t="shared" si="3"/>
        <v>9</v>
      </c>
      <c r="N25" s="80">
        <f t="shared" si="4"/>
        <v>0</v>
      </c>
      <c r="O25" s="80">
        <f t="shared" si="5"/>
        <v>108</v>
      </c>
      <c r="P25" s="388">
        <v>120</v>
      </c>
      <c r="Q25" s="389">
        <f t="shared" si="6"/>
        <v>12960</v>
      </c>
      <c r="R25" s="1"/>
      <c r="S25" s="126">
        <f t="shared" si="7"/>
        <v>6.48</v>
      </c>
      <c r="T25" s="11">
        <v>2</v>
      </c>
      <c r="U25" s="16">
        <f t="shared" si="8"/>
        <v>3.24</v>
      </c>
      <c r="V25" s="390">
        <f t="shared" si="9"/>
        <v>1.8</v>
      </c>
      <c r="W25" s="1"/>
      <c r="X25" s="1">
        <f t="shared" si="10"/>
        <v>546</v>
      </c>
      <c r="Y25" s="1">
        <f t="shared" si="11"/>
        <v>117</v>
      </c>
      <c r="Z25" s="1">
        <f t="shared" si="12"/>
        <v>12</v>
      </c>
      <c r="AA25" s="1">
        <f t="shared" si="13"/>
        <v>12</v>
      </c>
      <c r="AB25" s="1">
        <f t="shared" si="13"/>
        <v>12</v>
      </c>
      <c r="AC25" s="1">
        <f t="shared" si="13"/>
        <v>12</v>
      </c>
      <c r="AD25" s="1">
        <f t="shared" si="14"/>
        <v>117</v>
      </c>
      <c r="AE25" s="1">
        <f t="shared" si="15"/>
        <v>102</v>
      </c>
    </row>
    <row r="26" spans="1:31" x14ac:dyDescent="0.45">
      <c r="A26" s="1">
        <v>24</v>
      </c>
      <c r="B26" s="1" t="s">
        <v>39</v>
      </c>
      <c r="C26" s="1" t="s">
        <v>174</v>
      </c>
      <c r="D26" s="1">
        <v>12</v>
      </c>
      <c r="E26" s="1">
        <v>3</v>
      </c>
      <c r="F26" s="1">
        <f t="shared" si="0"/>
        <v>102</v>
      </c>
      <c r="G26" s="49">
        <v>12</v>
      </c>
      <c r="H26" s="49">
        <v>0</v>
      </c>
      <c r="I26" s="1">
        <v>39</v>
      </c>
      <c r="J26" s="1">
        <v>0</v>
      </c>
      <c r="K26" s="4">
        <f t="shared" si="1"/>
        <v>3978</v>
      </c>
      <c r="L26" s="127">
        <f t="shared" si="2"/>
        <v>3264</v>
      </c>
      <c r="M26" s="80">
        <f t="shared" si="3"/>
        <v>9</v>
      </c>
      <c r="N26" s="80">
        <f t="shared" si="4"/>
        <v>0</v>
      </c>
      <c r="O26" s="80">
        <f t="shared" si="5"/>
        <v>108</v>
      </c>
      <c r="P26" s="388">
        <v>120</v>
      </c>
      <c r="Q26" s="389">
        <f t="shared" si="6"/>
        <v>12960</v>
      </c>
      <c r="R26" s="1"/>
      <c r="S26" s="126">
        <f t="shared" si="7"/>
        <v>6.48</v>
      </c>
      <c r="T26" s="11">
        <v>2</v>
      </c>
      <c r="U26" s="16">
        <f t="shared" si="8"/>
        <v>3.24</v>
      </c>
      <c r="V26" s="390">
        <f t="shared" si="9"/>
        <v>1.8</v>
      </c>
      <c r="W26" s="1"/>
      <c r="X26" s="1">
        <f t="shared" si="10"/>
        <v>546</v>
      </c>
      <c r="Y26" s="1">
        <f t="shared" si="11"/>
        <v>117</v>
      </c>
      <c r="Z26" s="1">
        <f t="shared" si="12"/>
        <v>12</v>
      </c>
      <c r="AA26" s="1">
        <f t="shared" si="13"/>
        <v>12</v>
      </c>
      <c r="AB26" s="1">
        <f t="shared" si="13"/>
        <v>12</v>
      </c>
      <c r="AC26" s="1">
        <f t="shared" si="13"/>
        <v>12</v>
      </c>
      <c r="AD26" s="1">
        <f t="shared" si="14"/>
        <v>117</v>
      </c>
      <c r="AE26" s="1">
        <f t="shared" si="15"/>
        <v>102</v>
      </c>
    </row>
    <row r="27" spans="1:31" x14ac:dyDescent="0.45">
      <c r="A27" s="1">
        <v>25</v>
      </c>
      <c r="B27" s="1" t="s">
        <v>42</v>
      </c>
      <c r="C27" s="1" t="s">
        <v>175</v>
      </c>
      <c r="D27" s="1">
        <v>11</v>
      </c>
      <c r="E27" s="1">
        <v>3</v>
      </c>
      <c r="F27" s="1">
        <f t="shared" si="0"/>
        <v>94</v>
      </c>
      <c r="G27" s="49">
        <v>9</v>
      </c>
      <c r="H27" s="49">
        <v>2</v>
      </c>
      <c r="I27" s="1">
        <v>45</v>
      </c>
      <c r="J27" s="1">
        <v>21</v>
      </c>
      <c r="K27" s="4">
        <f t="shared" si="1"/>
        <v>3846</v>
      </c>
      <c r="L27" s="127">
        <f t="shared" si="2"/>
        <v>3136</v>
      </c>
      <c r="M27" s="80">
        <f t="shared" si="3"/>
        <v>10.5</v>
      </c>
      <c r="N27" s="80">
        <f t="shared" si="4"/>
        <v>4.5</v>
      </c>
      <c r="O27" s="80">
        <f t="shared" si="5"/>
        <v>103.5</v>
      </c>
      <c r="P27" s="388">
        <v>120</v>
      </c>
      <c r="Q27" s="389">
        <f t="shared" si="6"/>
        <v>12420</v>
      </c>
      <c r="R27" s="1"/>
      <c r="S27" s="126">
        <f t="shared" si="7"/>
        <v>6.21</v>
      </c>
      <c r="T27" s="11">
        <v>2</v>
      </c>
      <c r="U27" s="16">
        <f t="shared" si="8"/>
        <v>3.105</v>
      </c>
      <c r="V27" s="390">
        <f t="shared" si="9"/>
        <v>1.7621010186706096</v>
      </c>
      <c r="W27" s="1"/>
      <c r="X27" s="1">
        <f t="shared" si="10"/>
        <v>519</v>
      </c>
      <c r="Y27" s="1">
        <f t="shared" si="11"/>
        <v>112</v>
      </c>
      <c r="Z27" s="1">
        <f t="shared" si="12"/>
        <v>11</v>
      </c>
      <c r="AA27" s="1">
        <f t="shared" si="13"/>
        <v>11</v>
      </c>
      <c r="AB27" s="1">
        <f t="shared" si="13"/>
        <v>11</v>
      </c>
      <c r="AC27" s="1">
        <f t="shared" si="13"/>
        <v>11</v>
      </c>
      <c r="AD27" s="1">
        <f t="shared" si="14"/>
        <v>112</v>
      </c>
      <c r="AE27" s="1">
        <f t="shared" si="15"/>
        <v>118</v>
      </c>
    </row>
    <row r="28" spans="1:31" x14ac:dyDescent="0.45">
      <c r="A28" s="1">
        <v>26</v>
      </c>
      <c r="B28" s="1" t="s">
        <v>42</v>
      </c>
      <c r="C28" s="1" t="s">
        <v>176</v>
      </c>
      <c r="D28" s="1">
        <v>11</v>
      </c>
      <c r="E28" s="1">
        <v>3</v>
      </c>
      <c r="F28" s="1">
        <f t="shared" si="0"/>
        <v>94</v>
      </c>
      <c r="G28" s="49">
        <v>9</v>
      </c>
      <c r="H28" s="49">
        <v>2</v>
      </c>
      <c r="I28" s="1">
        <v>45</v>
      </c>
      <c r="J28" s="1">
        <v>45</v>
      </c>
      <c r="K28" s="4">
        <f t="shared" si="1"/>
        <v>4230</v>
      </c>
      <c r="L28" s="127">
        <f t="shared" si="2"/>
        <v>3520</v>
      </c>
      <c r="M28" s="80">
        <f t="shared" si="3"/>
        <v>10.5</v>
      </c>
      <c r="N28" s="80">
        <f t="shared" si="4"/>
        <v>10.5</v>
      </c>
      <c r="O28" s="80">
        <f t="shared" si="5"/>
        <v>115.5</v>
      </c>
      <c r="P28" s="388">
        <v>120</v>
      </c>
      <c r="Q28" s="389">
        <f t="shared" si="6"/>
        <v>13860</v>
      </c>
      <c r="R28" s="1"/>
      <c r="S28" s="126">
        <f t="shared" si="7"/>
        <v>6.93</v>
      </c>
      <c r="T28" s="11">
        <v>2</v>
      </c>
      <c r="U28" s="16">
        <f t="shared" si="8"/>
        <v>3.4649999999999999</v>
      </c>
      <c r="V28" s="390">
        <f t="shared" si="9"/>
        <v>1.8614510468986285</v>
      </c>
      <c r="W28" s="1"/>
      <c r="X28" s="1">
        <f t="shared" si="10"/>
        <v>567</v>
      </c>
      <c r="Y28" s="1">
        <f t="shared" si="11"/>
        <v>124</v>
      </c>
      <c r="Z28" s="1">
        <f t="shared" si="12"/>
        <v>11</v>
      </c>
      <c r="AA28" s="1">
        <f t="shared" si="13"/>
        <v>11</v>
      </c>
      <c r="AB28" s="1">
        <f t="shared" si="13"/>
        <v>11</v>
      </c>
      <c r="AC28" s="1">
        <f t="shared" si="13"/>
        <v>11</v>
      </c>
      <c r="AD28" s="1">
        <f t="shared" si="14"/>
        <v>124</v>
      </c>
      <c r="AE28" s="1">
        <f t="shared" si="15"/>
        <v>94</v>
      </c>
    </row>
    <row r="29" spans="1:31" x14ac:dyDescent="0.45">
      <c r="A29" s="1">
        <v>27</v>
      </c>
      <c r="B29" s="1" t="s">
        <v>295</v>
      </c>
      <c r="C29" s="1" t="s">
        <v>197</v>
      </c>
      <c r="D29" s="1">
        <v>10</v>
      </c>
      <c r="E29" s="1">
        <v>3</v>
      </c>
      <c r="F29" s="1">
        <f t="shared" si="0"/>
        <v>86</v>
      </c>
      <c r="G29" s="49">
        <v>10</v>
      </c>
      <c r="H29" s="49">
        <v>0</v>
      </c>
      <c r="I29" s="1">
        <v>51</v>
      </c>
      <c r="J29" s="1">
        <v>0</v>
      </c>
      <c r="K29" s="4">
        <f t="shared" si="1"/>
        <v>4386</v>
      </c>
      <c r="L29" s="127">
        <f t="shared" si="2"/>
        <v>3680</v>
      </c>
      <c r="M29" s="80">
        <f t="shared" si="3"/>
        <v>12</v>
      </c>
      <c r="N29" s="80">
        <f t="shared" si="4"/>
        <v>0</v>
      </c>
      <c r="O29" s="80">
        <f t="shared" si="5"/>
        <v>120</v>
      </c>
      <c r="P29" s="388">
        <v>120</v>
      </c>
      <c r="Q29" s="389">
        <f t="shared" si="6"/>
        <v>14400</v>
      </c>
      <c r="R29" s="1"/>
      <c r="S29" s="126">
        <f t="shared" si="7"/>
        <v>7.2</v>
      </c>
      <c r="T29" s="11">
        <v>2</v>
      </c>
      <c r="U29" s="16">
        <f t="shared" si="8"/>
        <v>3.6</v>
      </c>
      <c r="V29" s="390">
        <f t="shared" si="9"/>
        <v>1.8973665961010275</v>
      </c>
      <c r="W29" s="1"/>
      <c r="X29" s="1">
        <f t="shared" si="10"/>
        <v>575</v>
      </c>
      <c r="Y29" s="1">
        <f t="shared" si="11"/>
        <v>128</v>
      </c>
      <c r="Z29" s="1">
        <f t="shared" si="12"/>
        <v>10</v>
      </c>
      <c r="AA29" s="1">
        <f t="shared" si="13"/>
        <v>10</v>
      </c>
      <c r="AB29" s="1">
        <f t="shared" si="13"/>
        <v>10</v>
      </c>
      <c r="AC29" s="1">
        <f t="shared" si="13"/>
        <v>10</v>
      </c>
      <c r="AD29" s="1">
        <f t="shared" si="14"/>
        <v>128</v>
      </c>
      <c r="AE29" s="1">
        <f t="shared" si="15"/>
        <v>86</v>
      </c>
    </row>
    <row r="30" spans="1:31" ht="14.65" thickBot="1" x14ac:dyDescent="0.5">
      <c r="A30" s="34">
        <v>28</v>
      </c>
      <c r="B30" s="34" t="s">
        <v>295</v>
      </c>
      <c r="C30" s="34" t="s">
        <v>198</v>
      </c>
      <c r="D30" s="34">
        <v>10</v>
      </c>
      <c r="E30" s="34">
        <v>3</v>
      </c>
      <c r="F30" s="34">
        <f t="shared" si="0"/>
        <v>86</v>
      </c>
      <c r="G30" s="50">
        <v>10</v>
      </c>
      <c r="H30" s="50">
        <v>0</v>
      </c>
      <c r="I30" s="34">
        <v>51</v>
      </c>
      <c r="J30" s="34">
        <v>0</v>
      </c>
      <c r="K30" s="35">
        <f t="shared" si="1"/>
        <v>4386</v>
      </c>
      <c r="L30" s="128">
        <f t="shared" si="2"/>
        <v>3680</v>
      </c>
      <c r="M30" s="81">
        <f t="shared" si="3"/>
        <v>12</v>
      </c>
      <c r="N30" s="81">
        <f t="shared" si="4"/>
        <v>0</v>
      </c>
      <c r="O30" s="81">
        <f t="shared" si="5"/>
        <v>120</v>
      </c>
      <c r="P30" s="410">
        <v>120</v>
      </c>
      <c r="Q30" s="411">
        <f t="shared" si="6"/>
        <v>14400</v>
      </c>
      <c r="R30" s="34"/>
      <c r="S30" s="287">
        <f t="shared" si="7"/>
        <v>7.2</v>
      </c>
      <c r="T30" s="38">
        <v>2</v>
      </c>
      <c r="U30" s="412">
        <f t="shared" si="8"/>
        <v>3.6</v>
      </c>
      <c r="V30" s="413">
        <f t="shared" si="9"/>
        <v>1.8973665961010275</v>
      </c>
      <c r="W30" s="34"/>
      <c r="X30" s="34">
        <f t="shared" si="10"/>
        <v>575</v>
      </c>
      <c r="Y30" s="34">
        <f t="shared" si="11"/>
        <v>128</v>
      </c>
      <c r="Z30" s="34">
        <f t="shared" si="12"/>
        <v>10</v>
      </c>
      <c r="AA30" s="34">
        <f t="shared" si="13"/>
        <v>10</v>
      </c>
      <c r="AB30" s="34">
        <f t="shared" si="13"/>
        <v>10</v>
      </c>
      <c r="AC30" s="34">
        <f t="shared" si="13"/>
        <v>10</v>
      </c>
      <c r="AD30" s="34">
        <f t="shared" si="14"/>
        <v>128</v>
      </c>
      <c r="AE30" s="34">
        <f t="shared" si="15"/>
        <v>86</v>
      </c>
    </row>
    <row r="31" spans="1:31" ht="14.65" thickTop="1" x14ac:dyDescent="0.45">
      <c r="A31" s="42"/>
      <c r="B31" s="42"/>
      <c r="C31" s="42"/>
      <c r="D31" s="42">
        <f>SUM(D3:D30)</f>
        <v>306</v>
      </c>
      <c r="E31" s="42"/>
      <c r="F31" s="42"/>
      <c r="G31" s="42"/>
      <c r="H31" s="42"/>
      <c r="I31" s="42"/>
      <c r="J31" s="42"/>
      <c r="K31" s="8">
        <f>SUM(K3:K30)</f>
        <v>112976</v>
      </c>
      <c r="L31" s="8">
        <f>SUM(L3:L30)</f>
        <v>92960</v>
      </c>
      <c r="M31" s="80">
        <f>SUM(M3:M30)</f>
        <v>286</v>
      </c>
      <c r="N31" s="80">
        <f>SUM(N3:N30)</f>
        <v>65</v>
      </c>
      <c r="O31" s="80">
        <f>SUM(O3:O30)</f>
        <v>3037</v>
      </c>
      <c r="R31" s="1"/>
      <c r="S31" s="11"/>
      <c r="T31" s="11"/>
      <c r="U31" s="194"/>
      <c r="V31" s="194"/>
      <c r="W31" s="11"/>
      <c r="X31" s="42">
        <f t="shared" ref="X31:AE31" si="16">SUM(X3:X30)</f>
        <v>15184</v>
      </c>
      <c r="Y31" s="42">
        <f t="shared" si="16"/>
        <v>3305</v>
      </c>
      <c r="Z31" s="42">
        <f t="shared" si="16"/>
        <v>306</v>
      </c>
      <c r="AA31" s="42">
        <f t="shared" si="16"/>
        <v>306</v>
      </c>
      <c r="AB31" s="42">
        <f t="shared" si="16"/>
        <v>306</v>
      </c>
      <c r="AC31" s="42">
        <f t="shared" si="16"/>
        <v>306</v>
      </c>
      <c r="AD31" s="42">
        <f t="shared" si="16"/>
        <v>3305</v>
      </c>
      <c r="AE31" s="1">
        <f t="shared" si="16"/>
        <v>2692</v>
      </c>
    </row>
    <row r="32" spans="1:31" x14ac:dyDescent="0.45">
      <c r="D32" s="1">
        <f>D31*5</f>
        <v>1530</v>
      </c>
    </row>
    <row r="43" spans="1:8" ht="15.75" x14ac:dyDescent="0.45">
      <c r="A43" s="612" t="s">
        <v>319</v>
      </c>
      <c r="B43" s="612"/>
      <c r="C43" s="612"/>
      <c r="D43" s="612"/>
      <c r="E43" s="612"/>
      <c r="F43" s="612"/>
      <c r="G43" s="612"/>
      <c r="H43" s="612"/>
    </row>
    <row r="44" spans="1:8" ht="15.75" x14ac:dyDescent="0.45">
      <c r="A44" s="414" t="s">
        <v>501</v>
      </c>
      <c r="B44" s="415" t="s">
        <v>676</v>
      </c>
      <c r="C44" s="415" t="s">
        <v>1082</v>
      </c>
      <c r="D44" s="415" t="s">
        <v>876</v>
      </c>
      <c r="E44" s="415" t="s">
        <v>353</v>
      </c>
      <c r="F44" s="415" t="s">
        <v>105</v>
      </c>
      <c r="G44" s="415" t="s">
        <v>1364</v>
      </c>
      <c r="H44" s="416" t="s">
        <v>505</v>
      </c>
    </row>
    <row r="45" spans="1:8" x14ac:dyDescent="0.45">
      <c r="A45" s="486">
        <v>1</v>
      </c>
      <c r="B45" s="490" t="s">
        <v>1365</v>
      </c>
      <c r="C45" s="490" t="s">
        <v>1303</v>
      </c>
      <c r="D45" s="490" t="s">
        <v>322</v>
      </c>
      <c r="E45" s="490" t="s">
        <v>322</v>
      </c>
      <c r="F45" s="490">
        <v>2</v>
      </c>
      <c r="G45" s="490" t="s">
        <v>508</v>
      </c>
      <c r="H45" s="485" t="s">
        <v>1365</v>
      </c>
    </row>
    <row r="46" spans="1:8" x14ac:dyDescent="0.45">
      <c r="A46" s="486">
        <v>2</v>
      </c>
      <c r="B46" s="490" t="s">
        <v>1366</v>
      </c>
      <c r="C46" s="490" t="s">
        <v>1367</v>
      </c>
      <c r="D46" s="490" t="s">
        <v>1368</v>
      </c>
      <c r="E46" s="490" t="s">
        <v>1369</v>
      </c>
      <c r="F46" s="490">
        <v>4</v>
      </c>
      <c r="G46" s="490" t="s">
        <v>530</v>
      </c>
      <c r="H46" s="485" t="s">
        <v>1370</v>
      </c>
    </row>
    <row r="47" spans="1:8" x14ac:dyDescent="0.45">
      <c r="A47" s="486">
        <v>3</v>
      </c>
      <c r="B47" s="490" t="s">
        <v>1366</v>
      </c>
      <c r="C47" s="490" t="s">
        <v>1371</v>
      </c>
      <c r="D47" s="490" t="s">
        <v>1368</v>
      </c>
      <c r="E47" s="490" t="s">
        <v>1369</v>
      </c>
      <c r="F47" s="490">
        <v>2</v>
      </c>
      <c r="G47" s="490" t="s">
        <v>508</v>
      </c>
      <c r="H47" s="485" t="s">
        <v>1370</v>
      </c>
    </row>
    <row r="48" spans="1:8" x14ac:dyDescent="0.45">
      <c r="A48" s="486">
        <v>4</v>
      </c>
      <c r="B48" s="490" t="s">
        <v>1366</v>
      </c>
      <c r="C48" s="490" t="s">
        <v>1372</v>
      </c>
      <c r="D48" s="490" t="s">
        <v>1368</v>
      </c>
      <c r="E48" s="490" t="s">
        <v>1369</v>
      </c>
      <c r="F48" s="490">
        <v>5</v>
      </c>
      <c r="G48" s="490" t="s">
        <v>508</v>
      </c>
      <c r="H48" s="485" t="s">
        <v>1370</v>
      </c>
    </row>
    <row r="49" spans="1:8" x14ac:dyDescent="0.45">
      <c r="A49" s="486">
        <v>5</v>
      </c>
      <c r="B49" s="490" t="s">
        <v>1366</v>
      </c>
      <c r="C49" s="490" t="s">
        <v>1373</v>
      </c>
      <c r="D49" s="490" t="s">
        <v>1368</v>
      </c>
      <c r="E49" s="490" t="s">
        <v>1369</v>
      </c>
      <c r="F49" s="490">
        <v>2</v>
      </c>
      <c r="G49" s="490" t="s">
        <v>508</v>
      </c>
      <c r="H49" s="485" t="s">
        <v>1370</v>
      </c>
    </row>
    <row r="50" spans="1:8" x14ac:dyDescent="0.45">
      <c r="A50" s="486">
        <v>6</v>
      </c>
      <c r="B50" s="490" t="s">
        <v>1374</v>
      </c>
      <c r="C50" s="490" t="s">
        <v>1375</v>
      </c>
      <c r="D50" s="490" t="s">
        <v>322</v>
      </c>
      <c r="E50" s="490" t="s">
        <v>1369</v>
      </c>
      <c r="F50" s="490">
        <v>2</v>
      </c>
      <c r="G50" s="490" t="s">
        <v>508</v>
      </c>
      <c r="H50" s="485" t="s">
        <v>1370</v>
      </c>
    </row>
    <row r="51" spans="1:8" x14ac:dyDescent="0.45">
      <c r="A51" s="486">
        <v>7</v>
      </c>
      <c r="B51" s="490" t="s">
        <v>1366</v>
      </c>
      <c r="C51" s="490" t="s">
        <v>1376</v>
      </c>
      <c r="D51" s="490" t="s">
        <v>1368</v>
      </c>
      <c r="E51" s="490" t="s">
        <v>1369</v>
      </c>
      <c r="F51" s="490">
        <v>2</v>
      </c>
      <c r="G51" s="490" t="s">
        <v>508</v>
      </c>
      <c r="H51" s="485" t="s">
        <v>1370</v>
      </c>
    </row>
    <row r="52" spans="1:8" x14ac:dyDescent="0.45">
      <c r="A52" s="486">
        <v>8</v>
      </c>
      <c r="B52" s="490" t="s">
        <v>1377</v>
      </c>
      <c r="C52" s="490" t="s">
        <v>1378</v>
      </c>
      <c r="D52" s="490" t="s">
        <v>322</v>
      </c>
      <c r="E52" s="490" t="s">
        <v>1369</v>
      </c>
      <c r="F52" s="490">
        <v>2</v>
      </c>
      <c r="G52" s="490" t="s">
        <v>508</v>
      </c>
      <c r="H52" s="485" t="s">
        <v>1370</v>
      </c>
    </row>
    <row r="53" spans="1:8" x14ac:dyDescent="0.45">
      <c r="A53" s="486">
        <v>9</v>
      </c>
      <c r="B53" s="490" t="s">
        <v>1366</v>
      </c>
      <c r="C53" s="490" t="s">
        <v>1376</v>
      </c>
      <c r="D53" s="490" t="s">
        <v>1368</v>
      </c>
      <c r="E53" s="490" t="s">
        <v>1369</v>
      </c>
      <c r="F53" s="490">
        <v>2</v>
      </c>
      <c r="G53" s="490" t="s">
        <v>508</v>
      </c>
      <c r="H53" s="485" t="s">
        <v>1370</v>
      </c>
    </row>
    <row r="54" spans="1:8" x14ac:dyDescent="0.45">
      <c r="A54" s="486">
        <v>10</v>
      </c>
      <c r="B54" s="490" t="s">
        <v>1366</v>
      </c>
      <c r="C54" s="490" t="s">
        <v>1379</v>
      </c>
      <c r="D54" s="490" t="s">
        <v>1368</v>
      </c>
      <c r="E54" s="490" t="s">
        <v>1369</v>
      </c>
      <c r="F54" s="490">
        <v>20</v>
      </c>
      <c r="G54" s="490" t="s">
        <v>508</v>
      </c>
      <c r="H54" s="485" t="s">
        <v>1370</v>
      </c>
    </row>
    <row r="55" spans="1:8" x14ac:dyDescent="0.45">
      <c r="A55" s="486">
        <v>11</v>
      </c>
      <c r="B55" s="490" t="s">
        <v>1366</v>
      </c>
      <c r="C55" s="490" t="s">
        <v>1379</v>
      </c>
      <c r="D55" s="490" t="s">
        <v>1368</v>
      </c>
      <c r="E55" s="490" t="s">
        <v>1380</v>
      </c>
      <c r="F55" s="490">
        <v>5</v>
      </c>
      <c r="G55" s="490" t="s">
        <v>508</v>
      </c>
      <c r="H55" s="485" t="s">
        <v>1370</v>
      </c>
    </row>
    <row r="56" spans="1:8" x14ac:dyDescent="0.45">
      <c r="A56" s="486">
        <v>12</v>
      </c>
      <c r="B56" s="490" t="s">
        <v>1366</v>
      </c>
      <c r="C56" s="490" t="s">
        <v>1376</v>
      </c>
      <c r="D56" s="490" t="s">
        <v>1368</v>
      </c>
      <c r="E56" s="490" t="s">
        <v>1381</v>
      </c>
      <c r="F56" s="490">
        <v>2</v>
      </c>
      <c r="G56" s="490" t="s">
        <v>508</v>
      </c>
      <c r="H56" s="485" t="s">
        <v>1382</v>
      </c>
    </row>
    <row r="57" spans="1:8" x14ac:dyDescent="0.45">
      <c r="A57" s="486">
        <v>13</v>
      </c>
      <c r="B57" s="490" t="s">
        <v>1366</v>
      </c>
      <c r="C57" s="490" t="s">
        <v>1372</v>
      </c>
      <c r="D57" s="490" t="s">
        <v>1368</v>
      </c>
      <c r="E57" s="490" t="s">
        <v>1381</v>
      </c>
      <c r="F57" s="490">
        <v>4</v>
      </c>
      <c r="G57" s="490" t="s">
        <v>508</v>
      </c>
      <c r="H57" s="485" t="s">
        <v>1382</v>
      </c>
    </row>
    <row r="58" spans="1:8" x14ac:dyDescent="0.45">
      <c r="A58" s="486">
        <v>14</v>
      </c>
      <c r="B58" s="490" t="s">
        <v>1366</v>
      </c>
      <c r="C58" s="490" t="s">
        <v>1383</v>
      </c>
      <c r="D58" s="490" t="s">
        <v>1368</v>
      </c>
      <c r="E58" s="490" t="s">
        <v>1381</v>
      </c>
      <c r="F58" s="490">
        <v>4</v>
      </c>
      <c r="G58" s="490" t="s">
        <v>508</v>
      </c>
      <c r="H58" s="485" t="s">
        <v>1382</v>
      </c>
    </row>
    <row r="59" spans="1:8" x14ac:dyDescent="0.45">
      <c r="A59" s="486">
        <v>15</v>
      </c>
      <c r="B59" s="490" t="s">
        <v>1366</v>
      </c>
      <c r="C59" s="490" t="s">
        <v>1384</v>
      </c>
      <c r="D59" s="490" t="s">
        <v>1368</v>
      </c>
      <c r="E59" s="490" t="s">
        <v>1381</v>
      </c>
      <c r="F59" s="490">
        <v>2</v>
      </c>
      <c r="G59" s="490" t="s">
        <v>508</v>
      </c>
      <c r="H59" s="485" t="s">
        <v>1382</v>
      </c>
    </row>
    <row r="60" spans="1:8" x14ac:dyDescent="0.45">
      <c r="A60" s="486">
        <v>16</v>
      </c>
      <c r="B60" s="490" t="s">
        <v>1366</v>
      </c>
      <c r="C60" s="490" t="s">
        <v>1371</v>
      </c>
      <c r="D60" s="490" t="s">
        <v>1368</v>
      </c>
      <c r="E60" s="490" t="s">
        <v>1381</v>
      </c>
      <c r="F60" s="490">
        <v>4</v>
      </c>
      <c r="G60" s="490" t="s">
        <v>508</v>
      </c>
      <c r="H60" s="485" t="s">
        <v>1382</v>
      </c>
    </row>
    <row r="61" spans="1:8" x14ac:dyDescent="0.45">
      <c r="A61" s="486">
        <v>17</v>
      </c>
      <c r="B61" s="490" t="s">
        <v>1366</v>
      </c>
      <c r="C61" s="490" t="s">
        <v>1373</v>
      </c>
      <c r="D61" s="490" t="s">
        <v>1368</v>
      </c>
      <c r="E61" s="490" t="s">
        <v>1381</v>
      </c>
      <c r="F61" s="490">
        <v>2</v>
      </c>
      <c r="G61" s="490" t="s">
        <v>508</v>
      </c>
      <c r="H61" s="485" t="s">
        <v>1382</v>
      </c>
    </row>
    <row r="62" spans="1:8" x14ac:dyDescent="0.45">
      <c r="A62" s="486">
        <v>18</v>
      </c>
      <c r="B62" s="490" t="s">
        <v>1366</v>
      </c>
      <c r="C62" s="490" t="s">
        <v>1376</v>
      </c>
      <c r="D62" s="490" t="s">
        <v>1368</v>
      </c>
      <c r="E62" s="490" t="s">
        <v>1381</v>
      </c>
      <c r="F62" s="490">
        <v>2</v>
      </c>
      <c r="G62" s="490" t="s">
        <v>508</v>
      </c>
      <c r="H62" s="485" t="s">
        <v>1382</v>
      </c>
    </row>
    <row r="63" spans="1:8" x14ac:dyDescent="0.45">
      <c r="A63" s="486">
        <v>19</v>
      </c>
      <c r="B63" s="490" t="s">
        <v>1366</v>
      </c>
      <c r="C63" s="490" t="s">
        <v>1367</v>
      </c>
      <c r="D63" s="490" t="s">
        <v>1368</v>
      </c>
      <c r="E63" s="490" t="s">
        <v>1381</v>
      </c>
      <c r="F63" s="490">
        <v>12</v>
      </c>
      <c r="G63" s="490" t="s">
        <v>530</v>
      </c>
      <c r="H63" s="485" t="s">
        <v>1382</v>
      </c>
    </row>
    <row r="64" spans="1:8" x14ac:dyDescent="0.45">
      <c r="A64" s="486">
        <v>20</v>
      </c>
      <c r="B64" s="490" t="s">
        <v>1385</v>
      </c>
      <c r="C64" s="490" t="s">
        <v>1386</v>
      </c>
      <c r="D64" s="490" t="s">
        <v>1387</v>
      </c>
      <c r="E64" s="490" t="s">
        <v>1388</v>
      </c>
      <c r="F64" s="490">
        <v>2</v>
      </c>
      <c r="G64" s="490" t="s">
        <v>508</v>
      </c>
      <c r="H64" s="485" t="s">
        <v>1389</v>
      </c>
    </row>
    <row r="65" spans="1:8" x14ac:dyDescent="0.45">
      <c r="A65" s="486">
        <v>21</v>
      </c>
      <c r="B65" s="490" t="s">
        <v>1385</v>
      </c>
      <c r="C65" s="490" t="s">
        <v>1372</v>
      </c>
      <c r="D65" s="490" t="s">
        <v>1387</v>
      </c>
      <c r="E65" s="490" t="s">
        <v>1388</v>
      </c>
      <c r="F65" s="490">
        <v>6</v>
      </c>
      <c r="G65" s="490" t="s">
        <v>508</v>
      </c>
      <c r="H65" s="485" t="s">
        <v>1389</v>
      </c>
    </row>
    <row r="66" spans="1:8" x14ac:dyDescent="0.45">
      <c r="A66" s="486">
        <v>22</v>
      </c>
      <c r="B66" s="490" t="s">
        <v>1385</v>
      </c>
      <c r="C66" s="490" t="s">
        <v>1367</v>
      </c>
      <c r="D66" s="490" t="s">
        <v>1387</v>
      </c>
      <c r="E66" s="490" t="s">
        <v>1388</v>
      </c>
      <c r="F66" s="490">
        <v>12</v>
      </c>
      <c r="G66" s="490" t="s">
        <v>530</v>
      </c>
      <c r="H66" s="485" t="s">
        <v>1389</v>
      </c>
    </row>
    <row r="67" spans="1:8" x14ac:dyDescent="0.45">
      <c r="A67" s="486">
        <v>23</v>
      </c>
      <c r="B67" s="490" t="s">
        <v>1385</v>
      </c>
      <c r="C67" s="490" t="s">
        <v>1390</v>
      </c>
      <c r="D67" s="490" t="s">
        <v>1387</v>
      </c>
      <c r="E67" s="490" t="s">
        <v>1381</v>
      </c>
      <c r="F67" s="490">
        <v>2</v>
      </c>
      <c r="G67" s="490" t="s">
        <v>508</v>
      </c>
      <c r="H67" s="485" t="s">
        <v>1389</v>
      </c>
    </row>
    <row r="68" spans="1:8" x14ac:dyDescent="0.45">
      <c r="A68" s="486">
        <v>24</v>
      </c>
      <c r="B68" s="490" t="s">
        <v>1385</v>
      </c>
      <c r="C68" s="490" t="s">
        <v>1367</v>
      </c>
      <c r="D68" s="490" t="s">
        <v>1387</v>
      </c>
      <c r="E68" s="490" t="s">
        <v>1381</v>
      </c>
      <c r="F68" s="490">
        <v>12</v>
      </c>
      <c r="G68" s="490" t="s">
        <v>530</v>
      </c>
      <c r="H68" s="485" t="s">
        <v>1389</v>
      </c>
    </row>
    <row r="69" spans="1:8" x14ac:dyDescent="0.45">
      <c r="A69" s="486">
        <v>25</v>
      </c>
      <c r="B69" s="490" t="s">
        <v>1366</v>
      </c>
      <c r="C69" s="490" t="s">
        <v>1384</v>
      </c>
      <c r="D69" s="490" t="s">
        <v>1368</v>
      </c>
      <c r="E69" s="490" t="s">
        <v>1381</v>
      </c>
      <c r="F69" s="490">
        <v>4</v>
      </c>
      <c r="G69" s="490" t="s">
        <v>508</v>
      </c>
      <c r="H69" s="485" t="s">
        <v>1382</v>
      </c>
    </row>
    <row r="70" spans="1:8" x14ac:dyDescent="0.45">
      <c r="A70" s="486">
        <v>26</v>
      </c>
      <c r="B70" s="490" t="s">
        <v>1391</v>
      </c>
      <c r="C70" s="490" t="s">
        <v>1391</v>
      </c>
      <c r="D70" s="490" t="s">
        <v>322</v>
      </c>
      <c r="E70" s="490" t="s">
        <v>1381</v>
      </c>
      <c r="F70" s="490">
        <v>2</v>
      </c>
      <c r="G70" s="490" t="s">
        <v>508</v>
      </c>
      <c r="H70" s="485" t="s">
        <v>1382</v>
      </c>
    </row>
    <row r="71" spans="1:8" x14ac:dyDescent="0.45">
      <c r="A71" s="486">
        <v>27</v>
      </c>
      <c r="B71" s="490" t="s">
        <v>1392</v>
      </c>
      <c r="C71" s="490" t="s">
        <v>1393</v>
      </c>
      <c r="D71" s="490" t="s">
        <v>322</v>
      </c>
      <c r="E71" s="490" t="s">
        <v>322</v>
      </c>
      <c r="F71" s="490">
        <v>4</v>
      </c>
      <c r="G71" s="490" t="s">
        <v>508</v>
      </c>
      <c r="H71" s="485" t="s">
        <v>1382</v>
      </c>
    </row>
    <row r="72" spans="1:8" x14ac:dyDescent="0.45">
      <c r="A72" s="486">
        <v>28</v>
      </c>
      <c r="B72" s="490" t="s">
        <v>1366</v>
      </c>
      <c r="C72" s="490" t="s">
        <v>1394</v>
      </c>
      <c r="D72" s="490" t="s">
        <v>1368</v>
      </c>
      <c r="E72" s="490" t="s">
        <v>1395</v>
      </c>
      <c r="F72" s="490">
        <v>2</v>
      </c>
      <c r="G72" s="490" t="s">
        <v>508</v>
      </c>
      <c r="H72" s="485" t="s">
        <v>1382</v>
      </c>
    </row>
    <row r="73" spans="1:8" x14ac:dyDescent="0.45">
      <c r="A73" s="486">
        <v>29</v>
      </c>
      <c r="B73" s="490" t="s">
        <v>1366</v>
      </c>
      <c r="C73" s="490" t="s">
        <v>1367</v>
      </c>
      <c r="D73" s="490" t="s">
        <v>1368</v>
      </c>
      <c r="E73" s="490" t="s">
        <v>1380</v>
      </c>
      <c r="F73" s="490">
        <v>6</v>
      </c>
      <c r="G73" s="490" t="s">
        <v>530</v>
      </c>
      <c r="H73" s="485" t="s">
        <v>1382</v>
      </c>
    </row>
    <row r="74" spans="1:8" x14ac:dyDescent="0.45">
      <c r="A74" s="486">
        <v>30</v>
      </c>
      <c r="B74" s="490" t="s">
        <v>1366</v>
      </c>
      <c r="C74" s="490" t="s">
        <v>1376</v>
      </c>
      <c r="D74" s="490" t="s">
        <v>1368</v>
      </c>
      <c r="E74" s="490" t="s">
        <v>1380</v>
      </c>
      <c r="F74" s="490">
        <v>2</v>
      </c>
      <c r="G74" s="490" t="s">
        <v>508</v>
      </c>
      <c r="H74" s="485" t="s">
        <v>1382</v>
      </c>
    </row>
    <row r="75" spans="1:8" x14ac:dyDescent="0.45">
      <c r="A75" s="486">
        <v>31</v>
      </c>
      <c r="B75" s="490" t="s">
        <v>1374</v>
      </c>
      <c r="C75" s="490" t="s">
        <v>1375</v>
      </c>
      <c r="D75" s="490" t="s">
        <v>322</v>
      </c>
      <c r="E75" s="490" t="s">
        <v>1380</v>
      </c>
      <c r="F75" s="490">
        <v>2</v>
      </c>
      <c r="G75" s="490" t="s">
        <v>508</v>
      </c>
      <c r="H75" s="485" t="s">
        <v>1382</v>
      </c>
    </row>
    <row r="76" spans="1:8" x14ac:dyDescent="0.45">
      <c r="A76" s="486">
        <v>32</v>
      </c>
      <c r="B76" s="490" t="s">
        <v>1377</v>
      </c>
      <c r="C76" s="490" t="s">
        <v>1378</v>
      </c>
      <c r="D76" s="490" t="s">
        <v>322</v>
      </c>
      <c r="E76" s="490" t="s">
        <v>1380</v>
      </c>
      <c r="F76" s="490">
        <v>2</v>
      </c>
      <c r="G76" s="490" t="s">
        <v>508</v>
      </c>
      <c r="H76" s="485" t="s">
        <v>1382</v>
      </c>
    </row>
    <row r="77" spans="1:8" x14ac:dyDescent="0.45">
      <c r="A77" s="486">
        <v>33</v>
      </c>
      <c r="B77" s="490" t="s">
        <v>1374</v>
      </c>
      <c r="C77" s="490" t="s">
        <v>1396</v>
      </c>
      <c r="D77" s="490" t="s">
        <v>322</v>
      </c>
      <c r="E77" s="490" t="s">
        <v>1380</v>
      </c>
      <c r="F77" s="490">
        <v>28</v>
      </c>
      <c r="G77" s="490" t="s">
        <v>508</v>
      </c>
      <c r="H77" s="485" t="s">
        <v>1397</v>
      </c>
    </row>
    <row r="78" spans="1:8" x14ac:dyDescent="0.45">
      <c r="A78" s="486">
        <v>34</v>
      </c>
      <c r="B78" s="490" t="s">
        <v>1374</v>
      </c>
      <c r="C78" s="490" t="s">
        <v>1396</v>
      </c>
      <c r="D78" s="490" t="s">
        <v>322</v>
      </c>
      <c r="E78" s="490" t="s">
        <v>1381</v>
      </c>
      <c r="F78" s="490">
        <v>35</v>
      </c>
      <c r="G78" s="490" t="s">
        <v>508</v>
      </c>
      <c r="H78" s="485" t="s">
        <v>1397</v>
      </c>
    </row>
    <row r="79" spans="1:8" x14ac:dyDescent="0.45">
      <c r="A79" s="486">
        <v>35</v>
      </c>
      <c r="B79" s="490" t="s">
        <v>1398</v>
      </c>
      <c r="C79" s="490" t="s">
        <v>1399</v>
      </c>
      <c r="D79" s="490" t="s">
        <v>1387</v>
      </c>
      <c r="E79" s="490" t="s">
        <v>1380</v>
      </c>
      <c r="F79" s="490">
        <v>150</v>
      </c>
      <c r="G79" s="490" t="s">
        <v>508</v>
      </c>
      <c r="H79" s="485" t="s">
        <v>1397</v>
      </c>
    </row>
    <row r="80" spans="1:8" x14ac:dyDescent="0.45">
      <c r="A80" s="486">
        <v>36</v>
      </c>
      <c r="B80" s="490" t="s">
        <v>1398</v>
      </c>
      <c r="C80" s="490" t="s">
        <v>1372</v>
      </c>
      <c r="D80" s="490" t="s">
        <v>1387</v>
      </c>
      <c r="E80" s="490" t="s">
        <v>1381</v>
      </c>
      <c r="F80" s="490">
        <v>70</v>
      </c>
      <c r="G80" s="490" t="s">
        <v>508</v>
      </c>
      <c r="H80" s="485" t="s">
        <v>1397</v>
      </c>
    </row>
    <row r="81" spans="1:8" x14ac:dyDescent="0.45">
      <c r="A81" s="486">
        <v>37</v>
      </c>
      <c r="B81" s="490" t="s">
        <v>1398</v>
      </c>
      <c r="C81" s="490" t="s">
        <v>1383</v>
      </c>
      <c r="D81" s="490" t="s">
        <v>1387</v>
      </c>
      <c r="E81" s="490" t="s">
        <v>1380</v>
      </c>
      <c r="F81" s="490">
        <v>40</v>
      </c>
      <c r="G81" s="490" t="s">
        <v>508</v>
      </c>
      <c r="H81" s="485" t="s">
        <v>1397</v>
      </c>
    </row>
    <row r="82" spans="1:8" x14ac:dyDescent="0.45">
      <c r="A82" s="486">
        <v>38</v>
      </c>
      <c r="B82" s="490" t="s">
        <v>1398</v>
      </c>
      <c r="C82" s="490" t="s">
        <v>1383</v>
      </c>
      <c r="D82" s="490" t="s">
        <v>1387</v>
      </c>
      <c r="E82" s="490" t="s">
        <v>1381</v>
      </c>
      <c r="F82" s="490">
        <v>20</v>
      </c>
      <c r="G82" s="490" t="s">
        <v>508</v>
      </c>
      <c r="H82" s="485" t="s">
        <v>1397</v>
      </c>
    </row>
    <row r="83" spans="1:8" x14ac:dyDescent="0.45">
      <c r="A83" s="486">
        <v>39</v>
      </c>
      <c r="B83" s="490" t="s">
        <v>1398</v>
      </c>
      <c r="C83" s="490" t="s">
        <v>1400</v>
      </c>
      <c r="D83" s="490" t="s">
        <v>1387</v>
      </c>
      <c r="E83" s="490" t="s">
        <v>1380</v>
      </c>
      <c r="F83" s="490">
        <v>10</v>
      </c>
      <c r="G83" s="490" t="s">
        <v>508</v>
      </c>
      <c r="H83" s="485" t="s">
        <v>1397</v>
      </c>
    </row>
    <row r="84" spans="1:8" x14ac:dyDescent="0.45">
      <c r="A84" s="486">
        <v>40</v>
      </c>
      <c r="B84" s="490" t="s">
        <v>1398</v>
      </c>
      <c r="C84" s="490" t="s">
        <v>1400</v>
      </c>
      <c r="D84" s="490" t="s">
        <v>1387</v>
      </c>
      <c r="E84" s="490" t="s">
        <v>1381</v>
      </c>
      <c r="F84" s="490">
        <v>20</v>
      </c>
      <c r="G84" s="490" t="s">
        <v>508</v>
      </c>
      <c r="H84" s="485" t="s">
        <v>1397</v>
      </c>
    </row>
    <row r="85" spans="1:8" x14ac:dyDescent="0.45">
      <c r="A85" s="486">
        <v>41</v>
      </c>
      <c r="B85" s="490" t="s">
        <v>1398</v>
      </c>
      <c r="C85" s="490" t="s">
        <v>1394</v>
      </c>
      <c r="D85" s="490" t="s">
        <v>1387</v>
      </c>
      <c r="E85" s="490" t="s">
        <v>1395</v>
      </c>
      <c r="F85" s="490">
        <v>40</v>
      </c>
      <c r="G85" s="490" t="s">
        <v>508</v>
      </c>
      <c r="H85" s="485" t="s">
        <v>1397</v>
      </c>
    </row>
    <row r="86" spans="1:8" x14ac:dyDescent="0.45">
      <c r="A86" s="486">
        <v>42</v>
      </c>
      <c r="B86" s="490" t="s">
        <v>1398</v>
      </c>
      <c r="C86" s="490" t="s">
        <v>1401</v>
      </c>
      <c r="D86" s="490" t="s">
        <v>1387</v>
      </c>
      <c r="E86" s="490" t="s">
        <v>1380</v>
      </c>
      <c r="F86" s="490">
        <v>70</v>
      </c>
      <c r="G86" s="490" t="s">
        <v>508</v>
      </c>
      <c r="H86" s="485" t="s">
        <v>1397</v>
      </c>
    </row>
    <row r="87" spans="1:8" x14ac:dyDescent="0.45">
      <c r="A87" s="486">
        <v>43</v>
      </c>
      <c r="B87" s="490" t="s">
        <v>1398</v>
      </c>
      <c r="C87" s="490" t="s">
        <v>1401</v>
      </c>
      <c r="D87" s="490" t="s">
        <v>1387</v>
      </c>
      <c r="E87" s="490" t="s">
        <v>1381</v>
      </c>
      <c r="F87" s="490">
        <v>70</v>
      </c>
      <c r="G87" s="490" t="s">
        <v>508</v>
      </c>
      <c r="H87" s="485" t="s">
        <v>1397</v>
      </c>
    </row>
    <row r="88" spans="1:8" x14ac:dyDescent="0.45">
      <c r="A88" s="486">
        <v>44</v>
      </c>
      <c r="B88" s="490" t="s">
        <v>1377</v>
      </c>
      <c r="C88" s="490" t="s">
        <v>1378</v>
      </c>
      <c r="D88" s="490" t="s">
        <v>322</v>
      </c>
      <c r="E88" s="490" t="s">
        <v>1380</v>
      </c>
      <c r="F88" s="490">
        <v>70</v>
      </c>
      <c r="G88" s="490" t="s">
        <v>508</v>
      </c>
      <c r="H88" s="485" t="s">
        <v>1397</v>
      </c>
    </row>
    <row r="89" spans="1:8" x14ac:dyDescent="0.45">
      <c r="A89" s="486">
        <v>45</v>
      </c>
      <c r="B89" s="490" t="s">
        <v>1377</v>
      </c>
      <c r="C89" s="490" t="s">
        <v>1378</v>
      </c>
      <c r="D89" s="490" t="s">
        <v>322</v>
      </c>
      <c r="E89" s="490" t="s">
        <v>1381</v>
      </c>
      <c r="F89" s="490">
        <v>70</v>
      </c>
      <c r="G89" s="490" t="s">
        <v>508</v>
      </c>
      <c r="H89" s="485" t="s">
        <v>1397</v>
      </c>
    </row>
    <row r="90" spans="1:8" x14ac:dyDescent="0.45">
      <c r="A90" s="486">
        <v>46</v>
      </c>
      <c r="B90" s="490" t="s">
        <v>1402</v>
      </c>
      <c r="C90" s="490" t="s">
        <v>1403</v>
      </c>
      <c r="D90" s="490" t="s">
        <v>322</v>
      </c>
      <c r="E90" s="490" t="s">
        <v>1404</v>
      </c>
      <c r="F90" s="490">
        <v>840</v>
      </c>
      <c r="G90" s="490" t="s">
        <v>508</v>
      </c>
      <c r="H90" s="485" t="s">
        <v>1397</v>
      </c>
    </row>
    <row r="91" spans="1:8" x14ac:dyDescent="0.45">
      <c r="A91" s="486">
        <v>47</v>
      </c>
      <c r="B91" s="490" t="s">
        <v>1402</v>
      </c>
      <c r="C91" s="490" t="s">
        <v>1405</v>
      </c>
      <c r="D91" s="490" t="s">
        <v>322</v>
      </c>
      <c r="E91" s="490" t="s">
        <v>1404</v>
      </c>
      <c r="F91" s="490">
        <v>1800</v>
      </c>
      <c r="G91" s="490" t="s">
        <v>508</v>
      </c>
      <c r="H91" s="485" t="s">
        <v>1397</v>
      </c>
    </row>
    <row r="92" spans="1:8" x14ac:dyDescent="0.45">
      <c r="A92" s="486">
        <v>48</v>
      </c>
      <c r="B92" s="490" t="s">
        <v>1406</v>
      </c>
      <c r="C92" s="490" t="s">
        <v>1407</v>
      </c>
      <c r="D92" s="490" t="s">
        <v>322</v>
      </c>
      <c r="E92" s="490" t="s">
        <v>1380</v>
      </c>
      <c r="F92" s="490">
        <v>30</v>
      </c>
      <c r="G92" s="490" t="s">
        <v>508</v>
      </c>
      <c r="H92" s="485" t="s">
        <v>1397</v>
      </c>
    </row>
    <row r="93" spans="1:8" x14ac:dyDescent="0.45">
      <c r="A93" s="486">
        <v>49</v>
      </c>
      <c r="B93" s="490" t="s">
        <v>1402</v>
      </c>
      <c r="C93" s="490" t="s">
        <v>1407</v>
      </c>
      <c r="D93" s="490" t="s">
        <v>322</v>
      </c>
      <c r="E93" s="490" t="s">
        <v>1381</v>
      </c>
      <c r="F93" s="490">
        <v>30</v>
      </c>
      <c r="G93" s="490" t="s">
        <v>508</v>
      </c>
      <c r="H93" s="485" t="s">
        <v>1397</v>
      </c>
    </row>
    <row r="94" spans="1:8" x14ac:dyDescent="0.45">
      <c r="A94" s="486">
        <v>50</v>
      </c>
      <c r="B94" s="490" t="s">
        <v>1385</v>
      </c>
      <c r="C94" s="490" t="s">
        <v>1408</v>
      </c>
      <c r="D94" s="490" t="s">
        <v>1387</v>
      </c>
      <c r="E94" s="490" t="s">
        <v>1409</v>
      </c>
      <c r="F94" s="490">
        <v>6</v>
      </c>
      <c r="G94" s="490" t="s">
        <v>508</v>
      </c>
      <c r="H94" s="485" t="s">
        <v>1397</v>
      </c>
    </row>
    <row r="95" spans="1:8" x14ac:dyDescent="0.45">
      <c r="A95" s="486">
        <v>51</v>
      </c>
      <c r="B95" s="490" t="s">
        <v>1398</v>
      </c>
      <c r="C95" s="490" t="s">
        <v>1410</v>
      </c>
      <c r="D95" s="490" t="s">
        <v>1387</v>
      </c>
      <c r="E95" s="490" t="s">
        <v>1411</v>
      </c>
      <c r="F95" s="490">
        <v>6</v>
      </c>
      <c r="G95" s="490" t="s">
        <v>508</v>
      </c>
      <c r="H95" s="485" t="s">
        <v>1397</v>
      </c>
    </row>
    <row r="96" spans="1:8" x14ac:dyDescent="0.45">
      <c r="A96" s="486">
        <v>52</v>
      </c>
      <c r="B96" s="490" t="s">
        <v>1398</v>
      </c>
      <c r="C96" s="490" t="s">
        <v>1367</v>
      </c>
      <c r="D96" s="490" t="s">
        <v>1387</v>
      </c>
      <c r="E96" s="490" t="s">
        <v>1380</v>
      </c>
      <c r="F96" s="490">
        <v>1600</v>
      </c>
      <c r="G96" s="490" t="s">
        <v>530</v>
      </c>
      <c r="H96" s="485" t="s">
        <v>1397</v>
      </c>
    </row>
    <row r="97" spans="1:8" x14ac:dyDescent="0.45">
      <c r="A97" s="486">
        <v>53</v>
      </c>
      <c r="B97" s="490" t="s">
        <v>1398</v>
      </c>
      <c r="C97" s="490" t="s">
        <v>1367</v>
      </c>
      <c r="D97" s="490" t="s">
        <v>1387</v>
      </c>
      <c r="E97" s="490" t="s">
        <v>1381</v>
      </c>
      <c r="F97" s="490">
        <v>2800</v>
      </c>
      <c r="G97" s="490" t="s">
        <v>530</v>
      </c>
      <c r="H97" s="485" t="s">
        <v>1397</v>
      </c>
    </row>
    <row r="98" spans="1:8" x14ac:dyDescent="0.45">
      <c r="A98" s="486">
        <v>54</v>
      </c>
      <c r="B98" s="490" t="s">
        <v>1412</v>
      </c>
      <c r="C98" s="490" t="s">
        <v>1413</v>
      </c>
      <c r="D98" s="490" t="s">
        <v>877</v>
      </c>
      <c r="E98" s="490" t="s">
        <v>1414</v>
      </c>
      <c r="F98" s="490">
        <v>16000</v>
      </c>
      <c r="G98" s="490" t="s">
        <v>508</v>
      </c>
      <c r="H98" s="485" t="s">
        <v>1415</v>
      </c>
    </row>
    <row r="99" spans="1:8" x14ac:dyDescent="0.45">
      <c r="A99" s="486">
        <v>55</v>
      </c>
      <c r="B99" s="490" t="s">
        <v>319</v>
      </c>
      <c r="C99" s="490" t="s">
        <v>1416</v>
      </c>
      <c r="D99" s="490" t="s">
        <v>322</v>
      </c>
      <c r="E99" s="490" t="s">
        <v>322</v>
      </c>
      <c r="F99" s="490">
        <v>3400</v>
      </c>
      <c r="G99" s="490" t="s">
        <v>508</v>
      </c>
      <c r="H99" s="485" t="s">
        <v>1415</v>
      </c>
    </row>
    <row r="100" spans="1:8" x14ac:dyDescent="0.45">
      <c r="A100" s="486">
        <v>56</v>
      </c>
      <c r="B100" s="490" t="s">
        <v>1398</v>
      </c>
      <c r="C100" s="490" t="s">
        <v>1410</v>
      </c>
      <c r="D100" s="490" t="s">
        <v>1387</v>
      </c>
      <c r="E100" s="490" t="s">
        <v>1417</v>
      </c>
      <c r="F100" s="490">
        <v>350</v>
      </c>
      <c r="G100" s="490" t="s">
        <v>508</v>
      </c>
      <c r="H100" s="485" t="s">
        <v>1415</v>
      </c>
    </row>
    <row r="101" spans="1:8" x14ac:dyDescent="0.45">
      <c r="A101" s="486">
        <v>57</v>
      </c>
      <c r="B101" s="490" t="s">
        <v>1385</v>
      </c>
      <c r="C101" s="490" t="s">
        <v>1349</v>
      </c>
      <c r="D101" s="490" t="s">
        <v>1387</v>
      </c>
      <c r="E101" s="490" t="s">
        <v>1414</v>
      </c>
      <c r="F101" s="490">
        <v>400</v>
      </c>
      <c r="G101" s="490" t="s">
        <v>508</v>
      </c>
      <c r="H101" s="485" t="s">
        <v>1415</v>
      </c>
    </row>
    <row r="102" spans="1:8" x14ac:dyDescent="0.45">
      <c r="A102" s="486">
        <v>58</v>
      </c>
      <c r="B102" s="490" t="s">
        <v>1385</v>
      </c>
      <c r="C102" s="490" t="s">
        <v>1372</v>
      </c>
      <c r="D102" s="490" t="s">
        <v>1387</v>
      </c>
      <c r="E102" s="490" t="s">
        <v>1414</v>
      </c>
      <c r="F102" s="490">
        <v>400</v>
      </c>
      <c r="G102" s="490" t="s">
        <v>508</v>
      </c>
      <c r="H102" s="485" t="s">
        <v>1415</v>
      </c>
    </row>
    <row r="103" spans="1:8" x14ac:dyDescent="0.45">
      <c r="A103" s="486">
        <v>59</v>
      </c>
      <c r="B103" s="490" t="s">
        <v>1385</v>
      </c>
      <c r="C103" s="490" t="s">
        <v>1418</v>
      </c>
      <c r="D103" s="490" t="s">
        <v>1387</v>
      </c>
      <c r="E103" s="490" t="s">
        <v>1414</v>
      </c>
      <c r="F103" s="490">
        <v>400</v>
      </c>
      <c r="G103" s="490" t="s">
        <v>508</v>
      </c>
      <c r="H103" s="485" t="s">
        <v>1415</v>
      </c>
    </row>
    <row r="104" spans="1:8" x14ac:dyDescent="0.45">
      <c r="A104" s="486">
        <v>60</v>
      </c>
      <c r="B104" s="490" t="s">
        <v>1385</v>
      </c>
      <c r="C104" s="490" t="s">
        <v>1407</v>
      </c>
      <c r="D104" s="490" t="s">
        <v>1387</v>
      </c>
      <c r="E104" s="490" t="s">
        <v>1414</v>
      </c>
      <c r="F104" s="490">
        <v>3400</v>
      </c>
      <c r="G104" s="490" t="s">
        <v>508</v>
      </c>
      <c r="H104" s="485" t="s">
        <v>1415</v>
      </c>
    </row>
    <row r="105" spans="1:8" x14ac:dyDescent="0.45">
      <c r="A105" s="417">
        <v>61</v>
      </c>
      <c r="B105" s="491" t="s">
        <v>1385</v>
      </c>
      <c r="C105" s="491" t="s">
        <v>1379</v>
      </c>
      <c r="D105" s="491" t="s">
        <v>1387</v>
      </c>
      <c r="E105" s="491" t="s">
        <v>1414</v>
      </c>
      <c r="F105" s="491">
        <v>200</v>
      </c>
      <c r="G105" s="491" t="s">
        <v>508</v>
      </c>
      <c r="H105" s="418" t="s">
        <v>1415</v>
      </c>
    </row>
    <row r="106" spans="1:8" x14ac:dyDescent="0.45">
      <c r="G106" s="79"/>
    </row>
    <row r="109" spans="1:8" x14ac:dyDescent="0.45">
      <c r="A109" s="623" t="s">
        <v>1419</v>
      </c>
      <c r="B109" s="624"/>
      <c r="C109" s="624"/>
      <c r="D109" s="624"/>
      <c r="E109" s="624"/>
      <c r="F109" s="624"/>
      <c r="G109" s="624"/>
      <c r="H109" s="625"/>
    </row>
    <row r="110" spans="1:8" x14ac:dyDescent="0.45">
      <c r="A110" t="s">
        <v>1420</v>
      </c>
      <c r="B110" t="s">
        <v>1421</v>
      </c>
      <c r="C110" t="s">
        <v>1422</v>
      </c>
      <c r="D110" t="s">
        <v>1423</v>
      </c>
      <c r="E110" t="s">
        <v>1424</v>
      </c>
      <c r="F110" t="s">
        <v>1425</v>
      </c>
      <c r="G110" t="s">
        <v>1426</v>
      </c>
      <c r="H110" t="s">
        <v>1427</v>
      </c>
    </row>
    <row r="111" spans="1:8" ht="15.75" x14ac:dyDescent="0.45">
      <c r="A111" s="495" t="s">
        <v>501</v>
      </c>
      <c r="B111" s="493" t="s">
        <v>676</v>
      </c>
      <c r="C111" s="493" t="s">
        <v>1082</v>
      </c>
      <c r="D111" s="493" t="s">
        <v>876</v>
      </c>
      <c r="E111" s="493" t="s">
        <v>353</v>
      </c>
      <c r="F111" s="493" t="s">
        <v>105</v>
      </c>
      <c r="G111" s="493" t="s">
        <v>1364</v>
      </c>
      <c r="H111" s="494" t="s">
        <v>505</v>
      </c>
    </row>
    <row r="112" spans="1:8" x14ac:dyDescent="0.45">
      <c r="A112" s="486">
        <v>1</v>
      </c>
      <c r="B112" s="490" t="s">
        <v>1365</v>
      </c>
      <c r="C112" s="490" t="s">
        <v>1299</v>
      </c>
      <c r="D112" s="490" t="s">
        <v>322</v>
      </c>
      <c r="E112" s="490" t="s">
        <v>322</v>
      </c>
      <c r="F112" s="490">
        <v>2</v>
      </c>
      <c r="G112" s="490" t="s">
        <v>508</v>
      </c>
      <c r="H112" s="485" t="s">
        <v>1365</v>
      </c>
    </row>
    <row r="113" spans="1:8" x14ac:dyDescent="0.45">
      <c r="A113" s="486">
        <v>2</v>
      </c>
      <c r="B113" s="490" t="s">
        <v>1366</v>
      </c>
      <c r="C113" s="490" t="s">
        <v>1367</v>
      </c>
      <c r="D113" s="490" t="s">
        <v>1368</v>
      </c>
      <c r="E113" s="490" t="s">
        <v>1369</v>
      </c>
      <c r="F113" s="490">
        <v>6</v>
      </c>
      <c r="G113" s="490" t="s">
        <v>526</v>
      </c>
      <c r="H113" s="485" t="s">
        <v>1428</v>
      </c>
    </row>
    <row r="114" spans="1:8" x14ac:dyDescent="0.45">
      <c r="A114" s="486">
        <v>3</v>
      </c>
      <c r="B114" s="490" t="s">
        <v>1374</v>
      </c>
      <c r="C114" s="490" t="s">
        <v>1429</v>
      </c>
      <c r="D114" s="490" t="s">
        <v>322</v>
      </c>
      <c r="E114" s="490" t="s">
        <v>1369</v>
      </c>
      <c r="F114" s="490">
        <v>1</v>
      </c>
      <c r="G114" s="490" t="s">
        <v>508</v>
      </c>
      <c r="H114" s="485" t="s">
        <v>1428</v>
      </c>
    </row>
    <row r="115" spans="1:8" x14ac:dyDescent="0.45">
      <c r="A115" s="486">
        <v>4</v>
      </c>
      <c r="B115" s="490" t="s">
        <v>1377</v>
      </c>
      <c r="C115" s="490" t="s">
        <v>1378</v>
      </c>
      <c r="D115" s="490" t="s">
        <v>322</v>
      </c>
      <c r="E115" s="490" t="s">
        <v>1369</v>
      </c>
      <c r="F115" s="490">
        <v>1</v>
      </c>
      <c r="G115" s="490" t="s">
        <v>508</v>
      </c>
      <c r="H115" s="485" t="s">
        <v>1428</v>
      </c>
    </row>
    <row r="116" spans="1:8" x14ac:dyDescent="0.45">
      <c r="A116" s="486">
        <v>5</v>
      </c>
      <c r="B116" s="490" t="s">
        <v>1366</v>
      </c>
      <c r="C116" s="490" t="s">
        <v>1376</v>
      </c>
      <c r="D116" s="490" t="s">
        <v>1368</v>
      </c>
      <c r="E116" s="490" t="s">
        <v>1369</v>
      </c>
      <c r="F116" s="490">
        <v>1</v>
      </c>
      <c r="G116" s="490" t="s">
        <v>508</v>
      </c>
      <c r="H116" s="485" t="s">
        <v>1428</v>
      </c>
    </row>
    <row r="117" spans="1:8" x14ac:dyDescent="0.45">
      <c r="A117" s="486">
        <v>6</v>
      </c>
      <c r="B117" s="490" t="s">
        <v>1366</v>
      </c>
      <c r="C117" s="490" t="s">
        <v>1430</v>
      </c>
      <c r="D117" s="490" t="s">
        <v>1368</v>
      </c>
      <c r="E117" s="490" t="s">
        <v>1369</v>
      </c>
      <c r="F117" s="490">
        <v>1</v>
      </c>
      <c r="G117" s="490" t="s">
        <v>508</v>
      </c>
      <c r="H117" s="485" t="s">
        <v>1428</v>
      </c>
    </row>
    <row r="118" spans="1:8" x14ac:dyDescent="0.45">
      <c r="A118" s="486">
        <v>7</v>
      </c>
      <c r="B118" s="490" t="s">
        <v>1366</v>
      </c>
      <c r="C118" s="490" t="s">
        <v>1431</v>
      </c>
      <c r="D118" s="490" t="s">
        <v>1368</v>
      </c>
      <c r="E118" s="490" t="s">
        <v>1369</v>
      </c>
      <c r="F118" s="490">
        <v>1</v>
      </c>
      <c r="G118" s="490" t="s">
        <v>508</v>
      </c>
      <c r="H118" s="485" t="s">
        <v>1428</v>
      </c>
    </row>
    <row r="119" spans="1:8" x14ac:dyDescent="0.45">
      <c r="A119" s="486">
        <v>8</v>
      </c>
      <c r="B119" s="490" t="s">
        <v>1366</v>
      </c>
      <c r="C119" s="490" t="s">
        <v>1376</v>
      </c>
      <c r="D119" s="490" t="s">
        <v>1368</v>
      </c>
      <c r="E119" s="490" t="s">
        <v>1369</v>
      </c>
      <c r="F119" s="490">
        <v>1</v>
      </c>
      <c r="G119" s="490" t="s">
        <v>508</v>
      </c>
      <c r="H119" s="485" t="s">
        <v>1428</v>
      </c>
    </row>
    <row r="120" spans="1:8" x14ac:dyDescent="0.45">
      <c r="A120" s="486">
        <v>9</v>
      </c>
      <c r="B120" s="490" t="s">
        <v>1366</v>
      </c>
      <c r="C120" s="490" t="s">
        <v>1376</v>
      </c>
      <c r="D120" s="490" t="s">
        <v>1368</v>
      </c>
      <c r="E120" s="490" t="s">
        <v>1381</v>
      </c>
      <c r="F120" s="490">
        <v>1</v>
      </c>
      <c r="G120" s="490" t="s">
        <v>508</v>
      </c>
      <c r="H120" s="485" t="s">
        <v>1428</v>
      </c>
    </row>
    <row r="121" spans="1:8" x14ac:dyDescent="0.45">
      <c r="A121" s="486">
        <v>10</v>
      </c>
      <c r="B121" s="490" t="s">
        <v>1366</v>
      </c>
      <c r="C121" s="490" t="s">
        <v>1367</v>
      </c>
      <c r="D121" s="490" t="s">
        <v>1368</v>
      </c>
      <c r="E121" s="490" t="s">
        <v>1381</v>
      </c>
      <c r="F121" s="490">
        <v>12</v>
      </c>
      <c r="G121" s="490" t="s">
        <v>508</v>
      </c>
      <c r="H121" s="485" t="s">
        <v>1428</v>
      </c>
    </row>
    <row r="122" spans="1:8" x14ac:dyDescent="0.45">
      <c r="A122" s="486">
        <v>11</v>
      </c>
      <c r="B122" s="490" t="s">
        <v>1366</v>
      </c>
      <c r="C122" s="490" t="s">
        <v>1372</v>
      </c>
      <c r="D122" s="490" t="s">
        <v>1368</v>
      </c>
      <c r="E122" s="490" t="s">
        <v>1369</v>
      </c>
      <c r="F122" s="490">
        <v>5</v>
      </c>
      <c r="G122" s="490" t="s">
        <v>508</v>
      </c>
      <c r="H122" s="485" t="s">
        <v>1428</v>
      </c>
    </row>
    <row r="123" spans="1:8" x14ac:dyDescent="0.45">
      <c r="A123" s="486">
        <v>12</v>
      </c>
      <c r="B123" s="490" t="s">
        <v>1366</v>
      </c>
      <c r="C123" s="490" t="s">
        <v>1372</v>
      </c>
      <c r="D123" s="490" t="s">
        <v>1368</v>
      </c>
      <c r="E123" s="490" t="s">
        <v>1381</v>
      </c>
      <c r="F123" s="490">
        <v>5</v>
      </c>
      <c r="G123" s="490" t="s">
        <v>508</v>
      </c>
      <c r="H123" s="485" t="s">
        <v>1382</v>
      </c>
    </row>
    <row r="124" spans="1:8" x14ac:dyDescent="0.45">
      <c r="A124" s="486">
        <v>13</v>
      </c>
      <c r="B124" s="490" t="s">
        <v>1366</v>
      </c>
      <c r="C124" s="490" t="s">
        <v>1383</v>
      </c>
      <c r="D124" s="490" t="s">
        <v>1368</v>
      </c>
      <c r="E124" s="490" t="s">
        <v>1381</v>
      </c>
      <c r="F124" s="490">
        <v>3</v>
      </c>
      <c r="G124" s="490" t="s">
        <v>508</v>
      </c>
      <c r="H124" s="485" t="s">
        <v>1382</v>
      </c>
    </row>
    <row r="125" spans="1:8" x14ac:dyDescent="0.45">
      <c r="A125" s="486">
        <v>14</v>
      </c>
      <c r="B125" s="490" t="s">
        <v>1392</v>
      </c>
      <c r="C125" s="490" t="s">
        <v>1432</v>
      </c>
      <c r="D125" s="490" t="s">
        <v>322</v>
      </c>
      <c r="E125" s="490" t="s">
        <v>1381</v>
      </c>
      <c r="F125" s="490">
        <v>1</v>
      </c>
      <c r="G125" s="490" t="s">
        <v>508</v>
      </c>
      <c r="H125" s="485" t="s">
        <v>1382</v>
      </c>
    </row>
    <row r="126" spans="1:8" x14ac:dyDescent="0.45">
      <c r="A126" s="486">
        <v>15</v>
      </c>
      <c r="B126" s="490" t="s">
        <v>1366</v>
      </c>
      <c r="C126" s="490" t="s">
        <v>1384</v>
      </c>
      <c r="D126" s="490" t="s">
        <v>1368</v>
      </c>
      <c r="E126" s="490" t="s">
        <v>1381</v>
      </c>
      <c r="F126" s="490">
        <v>1</v>
      </c>
      <c r="G126" s="490" t="s">
        <v>508</v>
      </c>
      <c r="H126" s="485" t="s">
        <v>1382</v>
      </c>
    </row>
    <row r="127" spans="1:8" x14ac:dyDescent="0.45">
      <c r="A127" s="486">
        <v>16</v>
      </c>
      <c r="B127" s="490" t="s">
        <v>1385</v>
      </c>
      <c r="C127" s="490" t="s">
        <v>1376</v>
      </c>
      <c r="D127" s="490" t="s">
        <v>1387</v>
      </c>
      <c r="E127" s="490" t="s">
        <v>1388</v>
      </c>
      <c r="F127" s="490">
        <v>1</v>
      </c>
      <c r="G127" s="490" t="s">
        <v>508</v>
      </c>
      <c r="H127" s="485" t="s">
        <v>1382</v>
      </c>
    </row>
    <row r="128" spans="1:8" x14ac:dyDescent="0.45">
      <c r="A128" s="486">
        <v>17</v>
      </c>
      <c r="B128" s="490" t="s">
        <v>1385</v>
      </c>
      <c r="C128" s="490" t="s">
        <v>1372</v>
      </c>
      <c r="D128" s="490" t="s">
        <v>1387</v>
      </c>
      <c r="E128" s="490" t="s">
        <v>1388</v>
      </c>
      <c r="F128" s="490">
        <v>4</v>
      </c>
      <c r="G128" s="490" t="s">
        <v>508</v>
      </c>
      <c r="H128" s="485" t="s">
        <v>1382</v>
      </c>
    </row>
    <row r="129" spans="1:8" x14ac:dyDescent="0.45">
      <c r="A129" s="486">
        <v>18</v>
      </c>
      <c r="B129" s="490" t="s">
        <v>1385</v>
      </c>
      <c r="C129" s="490" t="s">
        <v>1367</v>
      </c>
      <c r="D129" s="490" t="s">
        <v>1387</v>
      </c>
      <c r="E129" s="490" t="s">
        <v>1388</v>
      </c>
      <c r="F129" s="490">
        <v>12</v>
      </c>
      <c r="G129" s="490" t="s">
        <v>526</v>
      </c>
      <c r="H129" s="485" t="s">
        <v>1382</v>
      </c>
    </row>
    <row r="130" spans="1:8" x14ac:dyDescent="0.45">
      <c r="A130" s="486">
        <v>19</v>
      </c>
      <c r="B130" s="490" t="s">
        <v>1366</v>
      </c>
      <c r="C130" s="490" t="s">
        <v>179</v>
      </c>
      <c r="D130" s="490" t="s">
        <v>1368</v>
      </c>
      <c r="E130" s="490" t="s">
        <v>1381</v>
      </c>
      <c r="F130" s="490">
        <v>1</v>
      </c>
      <c r="G130" s="490" t="s">
        <v>508</v>
      </c>
      <c r="H130" s="485" t="s">
        <v>1382</v>
      </c>
    </row>
    <row r="131" spans="1:8" x14ac:dyDescent="0.45">
      <c r="A131" s="486">
        <v>20</v>
      </c>
      <c r="B131" s="490" t="s">
        <v>1366</v>
      </c>
      <c r="C131" s="490" t="s">
        <v>1367</v>
      </c>
      <c r="D131" s="490" t="s">
        <v>1368</v>
      </c>
      <c r="E131" s="490" t="s">
        <v>1381</v>
      </c>
      <c r="F131" s="490">
        <v>6</v>
      </c>
      <c r="G131" s="490" t="s">
        <v>526</v>
      </c>
      <c r="H131" s="485" t="s">
        <v>1382</v>
      </c>
    </row>
    <row r="132" spans="1:8" x14ac:dyDescent="0.45">
      <c r="A132" s="486">
        <v>21</v>
      </c>
      <c r="B132" s="490" t="s">
        <v>1366</v>
      </c>
      <c r="C132" s="490" t="s">
        <v>1384</v>
      </c>
      <c r="D132" s="490" t="s">
        <v>1368</v>
      </c>
      <c r="E132" s="490" t="s">
        <v>1381</v>
      </c>
      <c r="F132" s="490">
        <v>2</v>
      </c>
      <c r="G132" s="490" t="s">
        <v>508</v>
      </c>
      <c r="H132" s="485" t="s">
        <v>1382</v>
      </c>
    </row>
    <row r="133" spans="1:8" x14ac:dyDescent="0.45">
      <c r="A133" s="486">
        <v>22</v>
      </c>
      <c r="B133" s="490" t="s">
        <v>1366</v>
      </c>
      <c r="C133" s="490" t="s">
        <v>1383</v>
      </c>
      <c r="D133" s="490" t="s">
        <v>1368</v>
      </c>
      <c r="E133" s="490" t="s">
        <v>1381</v>
      </c>
      <c r="F133" s="490">
        <v>1</v>
      </c>
      <c r="G133" s="490" t="s">
        <v>508</v>
      </c>
      <c r="H133" s="485" t="s">
        <v>1382</v>
      </c>
    </row>
    <row r="134" spans="1:8" x14ac:dyDescent="0.45">
      <c r="A134" s="486">
        <v>23</v>
      </c>
      <c r="B134" s="490" t="s">
        <v>1366</v>
      </c>
      <c r="C134" s="490" t="s">
        <v>1376</v>
      </c>
      <c r="D134" s="490" t="s">
        <v>1368</v>
      </c>
      <c r="E134" s="490" t="s">
        <v>1381</v>
      </c>
      <c r="F134" s="490">
        <v>1</v>
      </c>
      <c r="G134" s="490" t="s">
        <v>508</v>
      </c>
      <c r="H134" s="485" t="s">
        <v>1382</v>
      </c>
    </row>
    <row r="135" spans="1:8" x14ac:dyDescent="0.45">
      <c r="A135" s="486">
        <v>24</v>
      </c>
      <c r="B135" s="490" t="s">
        <v>1366</v>
      </c>
      <c r="C135" s="490" t="s">
        <v>1433</v>
      </c>
      <c r="D135" s="490" t="s">
        <v>1368</v>
      </c>
      <c r="E135" s="490" t="s">
        <v>1381</v>
      </c>
      <c r="F135" s="490">
        <v>1</v>
      </c>
      <c r="G135" s="490" t="s">
        <v>508</v>
      </c>
      <c r="H135" s="485" t="s">
        <v>1382</v>
      </c>
    </row>
    <row r="136" spans="1:8" x14ac:dyDescent="0.45">
      <c r="A136" s="486">
        <v>25</v>
      </c>
      <c r="B136" s="490" t="s">
        <v>1391</v>
      </c>
      <c r="C136" s="490" t="s">
        <v>1434</v>
      </c>
      <c r="D136" s="490" t="s">
        <v>322</v>
      </c>
      <c r="E136" s="490" t="s">
        <v>1381</v>
      </c>
      <c r="F136" s="490">
        <v>1</v>
      </c>
      <c r="G136" s="490" t="s">
        <v>508</v>
      </c>
      <c r="H136" s="485" t="s">
        <v>1382</v>
      </c>
    </row>
    <row r="137" spans="1:8" x14ac:dyDescent="0.45">
      <c r="A137" s="486">
        <v>26</v>
      </c>
      <c r="B137" s="490" t="s">
        <v>1366</v>
      </c>
      <c r="C137" s="490" t="s">
        <v>1435</v>
      </c>
      <c r="D137" s="490" t="s">
        <v>1368</v>
      </c>
      <c r="E137" s="490" t="s">
        <v>1395</v>
      </c>
      <c r="F137" s="490">
        <v>1</v>
      </c>
      <c r="G137" s="490" t="s">
        <v>508</v>
      </c>
      <c r="H137" s="485" t="s">
        <v>1382</v>
      </c>
    </row>
    <row r="138" spans="1:8" x14ac:dyDescent="0.45">
      <c r="A138" s="486">
        <v>27</v>
      </c>
      <c r="B138" s="490" t="s">
        <v>1366</v>
      </c>
      <c r="C138" s="490" t="s">
        <v>1376</v>
      </c>
      <c r="D138" s="490" t="s">
        <v>1368</v>
      </c>
      <c r="E138" s="490" t="s">
        <v>1380</v>
      </c>
      <c r="F138" s="490">
        <v>2</v>
      </c>
      <c r="G138" s="490" t="s">
        <v>508</v>
      </c>
      <c r="H138" s="485" t="s">
        <v>1382</v>
      </c>
    </row>
    <row r="139" spans="1:8" x14ac:dyDescent="0.45">
      <c r="A139" s="486">
        <v>28</v>
      </c>
      <c r="B139" s="490" t="s">
        <v>1366</v>
      </c>
      <c r="C139" s="490" t="s">
        <v>1367</v>
      </c>
      <c r="D139" s="490" t="s">
        <v>1368</v>
      </c>
      <c r="E139" s="490" t="s">
        <v>1380</v>
      </c>
      <c r="F139" s="490">
        <v>6</v>
      </c>
      <c r="G139" s="490" t="s">
        <v>508</v>
      </c>
      <c r="H139" s="485" t="s">
        <v>1382</v>
      </c>
    </row>
    <row r="140" spans="1:8" x14ac:dyDescent="0.45">
      <c r="A140" s="486">
        <v>29</v>
      </c>
      <c r="B140" s="490" t="s">
        <v>1374</v>
      </c>
      <c r="C140" s="490" t="s">
        <v>1429</v>
      </c>
      <c r="D140" s="490" t="s">
        <v>322</v>
      </c>
      <c r="E140" s="490" t="s">
        <v>1380</v>
      </c>
      <c r="F140" s="490">
        <v>1</v>
      </c>
      <c r="G140" s="490" t="s">
        <v>508</v>
      </c>
      <c r="H140" s="485" t="s">
        <v>1382</v>
      </c>
    </row>
    <row r="141" spans="1:8" x14ac:dyDescent="0.45">
      <c r="A141" s="486">
        <v>30</v>
      </c>
      <c r="B141" s="490" t="s">
        <v>1377</v>
      </c>
      <c r="C141" s="490" t="s">
        <v>1378</v>
      </c>
      <c r="D141" s="490" t="s">
        <v>322</v>
      </c>
      <c r="E141" s="490" t="s">
        <v>1380</v>
      </c>
      <c r="F141" s="490">
        <v>2</v>
      </c>
      <c r="G141" s="490" t="s">
        <v>508</v>
      </c>
      <c r="H141" s="485" t="s">
        <v>1397</v>
      </c>
    </row>
    <row r="142" spans="1:8" x14ac:dyDescent="0.45">
      <c r="A142" s="486">
        <v>31</v>
      </c>
      <c r="B142" s="490" t="s">
        <v>1402</v>
      </c>
      <c r="C142" s="490" t="s">
        <v>1436</v>
      </c>
      <c r="D142" s="490" t="s">
        <v>322</v>
      </c>
      <c r="E142" s="490" t="s">
        <v>1437</v>
      </c>
      <c r="F142" s="490">
        <v>4</v>
      </c>
      <c r="G142" s="490" t="s">
        <v>508</v>
      </c>
      <c r="H142" s="485" t="s">
        <v>1397</v>
      </c>
    </row>
    <row r="143" spans="1:8" x14ac:dyDescent="0.45">
      <c r="A143" s="486">
        <v>32</v>
      </c>
      <c r="B143" s="490" t="s">
        <v>1402</v>
      </c>
      <c r="C143" s="490" t="s">
        <v>1438</v>
      </c>
      <c r="D143" s="490" t="s">
        <v>322</v>
      </c>
      <c r="E143" s="490" t="s">
        <v>1437</v>
      </c>
      <c r="F143" s="490">
        <v>8</v>
      </c>
      <c r="G143" s="490" t="s">
        <v>508</v>
      </c>
      <c r="H143" s="485" t="s">
        <v>1397</v>
      </c>
    </row>
    <row r="144" spans="1:8" x14ac:dyDescent="0.45">
      <c r="A144" s="486">
        <v>33</v>
      </c>
      <c r="B144" s="490" t="s">
        <v>1398</v>
      </c>
      <c r="C144" s="490" t="s">
        <v>1348</v>
      </c>
      <c r="D144" s="490" t="s">
        <v>1387</v>
      </c>
      <c r="E144" s="490" t="s">
        <v>1411</v>
      </c>
      <c r="F144" s="490">
        <v>5</v>
      </c>
      <c r="G144" s="490" t="s">
        <v>508</v>
      </c>
      <c r="H144" s="485" t="s">
        <v>1397</v>
      </c>
    </row>
    <row r="145" spans="1:8" x14ac:dyDescent="0.45">
      <c r="A145" s="486">
        <v>34</v>
      </c>
      <c r="B145" s="490" t="s">
        <v>1398</v>
      </c>
      <c r="C145" s="490" t="s">
        <v>1408</v>
      </c>
      <c r="D145" s="490" t="s">
        <v>1387</v>
      </c>
      <c r="E145" s="490" t="s">
        <v>1409</v>
      </c>
      <c r="F145" s="490">
        <v>5</v>
      </c>
      <c r="G145" s="490" t="s">
        <v>508</v>
      </c>
      <c r="H145" s="485" t="s">
        <v>1397</v>
      </c>
    </row>
    <row r="146" spans="1:8" x14ac:dyDescent="0.45">
      <c r="A146" s="486">
        <v>35</v>
      </c>
      <c r="B146" s="490" t="s">
        <v>1398</v>
      </c>
      <c r="C146" s="490" t="s">
        <v>1401</v>
      </c>
      <c r="D146" s="490" t="s">
        <v>1387</v>
      </c>
      <c r="E146" s="490" t="s">
        <v>1380</v>
      </c>
      <c r="F146" s="490">
        <v>1</v>
      </c>
      <c r="G146" s="490" t="s">
        <v>508</v>
      </c>
      <c r="H146" s="485" t="s">
        <v>1397</v>
      </c>
    </row>
    <row r="147" spans="1:8" x14ac:dyDescent="0.45">
      <c r="A147" s="486">
        <v>36</v>
      </c>
      <c r="B147" s="490" t="s">
        <v>1398</v>
      </c>
      <c r="C147" s="490" t="s">
        <v>1367</v>
      </c>
      <c r="D147" s="490" t="s">
        <v>1387</v>
      </c>
      <c r="E147" s="490" t="s">
        <v>1380</v>
      </c>
      <c r="F147" s="490">
        <v>1100</v>
      </c>
      <c r="G147" s="490" t="s">
        <v>526</v>
      </c>
      <c r="H147" s="485" t="s">
        <v>1397</v>
      </c>
    </row>
    <row r="148" spans="1:8" x14ac:dyDescent="0.45">
      <c r="A148" s="486">
        <v>37</v>
      </c>
      <c r="B148" s="490" t="s">
        <v>1398</v>
      </c>
      <c r="C148" s="490" t="s">
        <v>1372</v>
      </c>
      <c r="D148" s="490" t="s">
        <v>1387</v>
      </c>
      <c r="E148" s="490" t="s">
        <v>1380</v>
      </c>
      <c r="F148" s="490">
        <v>150</v>
      </c>
      <c r="G148" s="490" t="s">
        <v>508</v>
      </c>
      <c r="H148" s="485" t="s">
        <v>1397</v>
      </c>
    </row>
    <row r="149" spans="1:8" x14ac:dyDescent="0.45">
      <c r="A149" s="486">
        <v>38</v>
      </c>
      <c r="B149" s="490" t="s">
        <v>1398</v>
      </c>
      <c r="C149" s="490" t="s">
        <v>1383</v>
      </c>
      <c r="D149" s="490" t="s">
        <v>1387</v>
      </c>
      <c r="E149" s="490" t="s">
        <v>1380</v>
      </c>
      <c r="F149" s="490">
        <v>40</v>
      </c>
      <c r="G149" s="490" t="s">
        <v>508</v>
      </c>
      <c r="H149" s="485" t="s">
        <v>1397</v>
      </c>
    </row>
    <row r="150" spans="1:8" x14ac:dyDescent="0.45">
      <c r="A150" s="486">
        <v>39</v>
      </c>
      <c r="B150" s="490" t="s">
        <v>1398</v>
      </c>
      <c r="C150" s="490" t="s">
        <v>1435</v>
      </c>
      <c r="D150" s="490" t="s">
        <v>1387</v>
      </c>
      <c r="E150" s="490" t="s">
        <v>1395</v>
      </c>
      <c r="F150" s="490">
        <v>40</v>
      </c>
      <c r="G150" s="490" t="s">
        <v>508</v>
      </c>
      <c r="H150" s="485" t="s">
        <v>1397</v>
      </c>
    </row>
    <row r="151" spans="1:8" x14ac:dyDescent="0.45">
      <c r="A151" s="486">
        <v>40</v>
      </c>
      <c r="B151" s="490" t="s">
        <v>1398</v>
      </c>
      <c r="C151" s="490" t="s">
        <v>1367</v>
      </c>
      <c r="D151" s="490" t="s">
        <v>1387</v>
      </c>
      <c r="E151" s="490" t="s">
        <v>1381</v>
      </c>
      <c r="F151" s="490">
        <v>500</v>
      </c>
      <c r="G151" s="490" t="s">
        <v>526</v>
      </c>
      <c r="H151" s="485" t="s">
        <v>1397</v>
      </c>
    </row>
    <row r="152" spans="1:8" x14ac:dyDescent="0.45">
      <c r="A152" s="486">
        <v>41</v>
      </c>
      <c r="B152" s="490" t="s">
        <v>1398</v>
      </c>
      <c r="C152" s="490" t="s">
        <v>1401</v>
      </c>
      <c r="D152" s="490" t="s">
        <v>1387</v>
      </c>
      <c r="E152" s="490" t="s">
        <v>1381</v>
      </c>
      <c r="F152" s="490">
        <v>40</v>
      </c>
      <c r="G152" s="490" t="s">
        <v>508</v>
      </c>
      <c r="H152" s="485" t="s">
        <v>1397</v>
      </c>
    </row>
    <row r="153" spans="1:8" x14ac:dyDescent="0.45">
      <c r="A153" s="486">
        <v>42</v>
      </c>
      <c r="B153" s="490" t="s">
        <v>1398</v>
      </c>
      <c r="C153" s="490" t="s">
        <v>1372</v>
      </c>
      <c r="D153" s="490" t="s">
        <v>1387</v>
      </c>
      <c r="E153" s="490" t="s">
        <v>1381</v>
      </c>
      <c r="F153" s="490">
        <v>100</v>
      </c>
      <c r="G153" s="490" t="s">
        <v>508</v>
      </c>
      <c r="H153" s="485" t="s">
        <v>1397</v>
      </c>
    </row>
    <row r="154" spans="1:8" x14ac:dyDescent="0.45">
      <c r="A154" s="486">
        <v>43</v>
      </c>
      <c r="B154" s="490" t="s">
        <v>1398</v>
      </c>
      <c r="C154" s="490" t="s">
        <v>1383</v>
      </c>
      <c r="D154" s="490" t="s">
        <v>1387</v>
      </c>
      <c r="E154" s="490" t="s">
        <v>1381</v>
      </c>
      <c r="F154" s="490">
        <v>20</v>
      </c>
      <c r="G154" s="490" t="s">
        <v>508</v>
      </c>
      <c r="H154" s="485" t="s">
        <v>1397</v>
      </c>
    </row>
    <row r="155" spans="1:8" x14ac:dyDescent="0.45">
      <c r="A155" s="486">
        <v>44</v>
      </c>
      <c r="B155" s="490" t="s">
        <v>1374</v>
      </c>
      <c r="C155" s="490" t="s">
        <v>1429</v>
      </c>
      <c r="D155" s="490" t="s">
        <v>322</v>
      </c>
      <c r="E155" s="490" t="s">
        <v>1381</v>
      </c>
      <c r="F155" s="490">
        <v>40</v>
      </c>
      <c r="G155" s="490" t="s">
        <v>508</v>
      </c>
      <c r="H155" s="485" t="s">
        <v>1439</v>
      </c>
    </row>
    <row r="156" spans="1:8" x14ac:dyDescent="0.45">
      <c r="A156" s="486">
        <v>45</v>
      </c>
      <c r="B156" s="490" t="s">
        <v>1377</v>
      </c>
      <c r="C156" s="490" t="s">
        <v>1378</v>
      </c>
      <c r="D156" s="490" t="s">
        <v>322</v>
      </c>
      <c r="E156" s="490" t="s">
        <v>1381</v>
      </c>
      <c r="F156" s="490">
        <v>40</v>
      </c>
      <c r="G156" s="490" t="s">
        <v>508</v>
      </c>
      <c r="H156" s="485" t="s">
        <v>1439</v>
      </c>
    </row>
    <row r="157" spans="1:8" x14ac:dyDescent="0.45">
      <c r="A157" s="486">
        <v>46</v>
      </c>
      <c r="B157" s="490" t="s">
        <v>1402</v>
      </c>
      <c r="C157" s="490" t="s">
        <v>1436</v>
      </c>
      <c r="D157" s="490" t="s">
        <v>322</v>
      </c>
      <c r="E157" s="490" t="s">
        <v>1437</v>
      </c>
      <c r="F157" s="490">
        <v>240</v>
      </c>
      <c r="G157" s="490" t="s">
        <v>508</v>
      </c>
      <c r="H157" s="485" t="s">
        <v>1439</v>
      </c>
    </row>
    <row r="158" spans="1:8" x14ac:dyDescent="0.45">
      <c r="A158" s="486">
        <v>47</v>
      </c>
      <c r="B158" s="490" t="s">
        <v>1402</v>
      </c>
      <c r="C158" s="490" t="s">
        <v>1438</v>
      </c>
      <c r="D158" s="490" t="s">
        <v>322</v>
      </c>
      <c r="E158" s="490" t="s">
        <v>1437</v>
      </c>
      <c r="F158" s="490">
        <v>480</v>
      </c>
      <c r="G158" s="490" t="s">
        <v>508</v>
      </c>
      <c r="H158" s="485" t="s">
        <v>1439</v>
      </c>
    </row>
    <row r="159" spans="1:8" x14ac:dyDescent="0.45">
      <c r="A159" s="486">
        <v>48</v>
      </c>
      <c r="B159" s="490" t="s">
        <v>1366</v>
      </c>
      <c r="C159" s="490" t="s">
        <v>1376</v>
      </c>
      <c r="D159" s="490" t="s">
        <v>1368</v>
      </c>
      <c r="E159" s="490" t="s">
        <v>1381</v>
      </c>
      <c r="F159" s="490">
        <v>40</v>
      </c>
      <c r="G159" s="490" t="s">
        <v>508</v>
      </c>
      <c r="H159" s="485" t="s">
        <v>1439</v>
      </c>
    </row>
    <row r="160" spans="1:8" x14ac:dyDescent="0.45">
      <c r="A160" s="486">
        <v>49</v>
      </c>
      <c r="B160" s="490" t="s">
        <v>1366</v>
      </c>
      <c r="C160" s="490" t="s">
        <v>1367</v>
      </c>
      <c r="D160" s="490" t="s">
        <v>1368</v>
      </c>
      <c r="E160" s="490" t="s">
        <v>1381</v>
      </c>
      <c r="F160" s="490">
        <v>80</v>
      </c>
      <c r="G160" s="490" t="s">
        <v>526</v>
      </c>
      <c r="H160" s="485" t="s">
        <v>1439</v>
      </c>
    </row>
    <row r="161" spans="1:8" x14ac:dyDescent="0.45">
      <c r="A161" s="486">
        <v>50</v>
      </c>
      <c r="B161" s="490" t="s">
        <v>1366</v>
      </c>
      <c r="C161" s="490" t="s">
        <v>1372</v>
      </c>
      <c r="D161" s="490" t="s">
        <v>1368</v>
      </c>
      <c r="E161" s="490" t="s">
        <v>1381</v>
      </c>
      <c r="F161" s="490">
        <v>120</v>
      </c>
      <c r="G161" s="490" t="s">
        <v>508</v>
      </c>
      <c r="H161" s="485" t="s">
        <v>1439</v>
      </c>
    </row>
    <row r="162" spans="1:8" x14ac:dyDescent="0.45">
      <c r="A162" s="486">
        <v>51</v>
      </c>
      <c r="B162" s="490" t="s">
        <v>1366</v>
      </c>
      <c r="C162" s="490" t="s">
        <v>1430</v>
      </c>
      <c r="D162" s="490" t="s">
        <v>1368</v>
      </c>
      <c r="E162" s="490" t="s">
        <v>1381</v>
      </c>
      <c r="F162" s="490">
        <v>40</v>
      </c>
      <c r="G162" s="490" t="s">
        <v>508</v>
      </c>
      <c r="H162" s="485" t="s">
        <v>1439</v>
      </c>
    </row>
    <row r="163" spans="1:8" x14ac:dyDescent="0.45">
      <c r="A163" s="486">
        <v>52</v>
      </c>
      <c r="B163" s="490" t="s">
        <v>1366</v>
      </c>
      <c r="C163" s="490" t="s">
        <v>1431</v>
      </c>
      <c r="D163" s="490" t="s">
        <v>1368</v>
      </c>
      <c r="E163" s="490" t="s">
        <v>1381</v>
      </c>
      <c r="F163" s="490">
        <v>40</v>
      </c>
      <c r="G163" s="490" t="s">
        <v>508</v>
      </c>
      <c r="H163" s="485" t="s">
        <v>1439</v>
      </c>
    </row>
    <row r="164" spans="1:8" x14ac:dyDescent="0.45">
      <c r="A164" s="486">
        <v>53</v>
      </c>
      <c r="B164" s="490" t="s">
        <v>1366</v>
      </c>
      <c r="C164" s="490" t="s">
        <v>1440</v>
      </c>
      <c r="D164" s="490" t="s">
        <v>1368</v>
      </c>
      <c r="E164" s="490" t="s">
        <v>1381</v>
      </c>
      <c r="F164" s="490">
        <v>40</v>
      </c>
      <c r="G164" s="490" t="s">
        <v>508</v>
      </c>
      <c r="H164" s="485" t="s">
        <v>1439</v>
      </c>
    </row>
    <row r="165" spans="1:8" x14ac:dyDescent="0.45">
      <c r="A165" s="486">
        <v>54</v>
      </c>
      <c r="B165" s="490" t="s">
        <v>1366</v>
      </c>
      <c r="C165" s="490" t="s">
        <v>1384</v>
      </c>
      <c r="D165" s="490" t="s">
        <v>1368</v>
      </c>
      <c r="E165" s="490" t="s">
        <v>1381</v>
      </c>
      <c r="F165" s="490">
        <v>40</v>
      </c>
      <c r="G165" s="490" t="s">
        <v>508</v>
      </c>
      <c r="H165" s="485" t="s">
        <v>1439</v>
      </c>
    </row>
    <row r="166" spans="1:8" x14ac:dyDescent="0.45">
      <c r="A166" s="486">
        <v>55</v>
      </c>
      <c r="B166" s="490" t="s">
        <v>1013</v>
      </c>
      <c r="C166" s="490" t="s">
        <v>1441</v>
      </c>
      <c r="D166" s="490" t="s">
        <v>322</v>
      </c>
      <c r="E166" s="490" t="s">
        <v>322</v>
      </c>
      <c r="F166" s="490">
        <v>10</v>
      </c>
      <c r="G166" s="490" t="s">
        <v>508</v>
      </c>
      <c r="H166" s="485" t="s">
        <v>1439</v>
      </c>
    </row>
    <row r="167" spans="1:8" x14ac:dyDescent="0.45">
      <c r="A167" s="486">
        <v>56</v>
      </c>
      <c r="B167" s="490" t="s">
        <v>1013</v>
      </c>
      <c r="C167" s="490" t="s">
        <v>1442</v>
      </c>
      <c r="D167" s="490" t="s">
        <v>322</v>
      </c>
      <c r="E167" s="490" t="s">
        <v>322</v>
      </c>
      <c r="F167" s="490">
        <v>18</v>
      </c>
      <c r="G167" s="490" t="s">
        <v>508</v>
      </c>
      <c r="H167" s="485" t="s">
        <v>1439</v>
      </c>
    </row>
    <row r="168" spans="1:8" x14ac:dyDescent="0.45">
      <c r="A168" s="486">
        <v>57</v>
      </c>
      <c r="B168" s="490" t="s">
        <v>1366</v>
      </c>
      <c r="C168" s="490" t="s">
        <v>1443</v>
      </c>
      <c r="D168" s="490" t="s">
        <v>1368</v>
      </c>
      <c r="E168" s="490" t="s">
        <v>1409</v>
      </c>
      <c r="F168" s="490">
        <v>40</v>
      </c>
      <c r="G168" s="490" t="s">
        <v>508</v>
      </c>
      <c r="H168" s="485" t="s">
        <v>1444</v>
      </c>
    </row>
    <row r="169" spans="1:8" x14ac:dyDescent="0.45">
      <c r="A169" s="486">
        <v>58</v>
      </c>
      <c r="B169" s="490" t="s">
        <v>1366</v>
      </c>
      <c r="C169" s="490" t="s">
        <v>1367</v>
      </c>
      <c r="D169" s="490" t="s">
        <v>1368</v>
      </c>
      <c r="E169" s="490" t="s">
        <v>1409</v>
      </c>
      <c r="F169" s="490">
        <v>40</v>
      </c>
      <c r="G169" s="490" t="s">
        <v>526</v>
      </c>
      <c r="H169" s="485" t="s">
        <v>1444</v>
      </c>
    </row>
    <row r="170" spans="1:8" x14ac:dyDescent="0.45">
      <c r="A170" s="486">
        <v>59</v>
      </c>
      <c r="B170" s="490" t="s">
        <v>1366</v>
      </c>
      <c r="C170" s="490" t="s">
        <v>1443</v>
      </c>
      <c r="D170" s="490" t="s">
        <v>1368</v>
      </c>
      <c r="E170" s="490" t="s">
        <v>1381</v>
      </c>
      <c r="F170" s="490">
        <v>40</v>
      </c>
      <c r="G170" s="490" t="s">
        <v>508</v>
      </c>
      <c r="H170" s="485" t="s">
        <v>1444</v>
      </c>
    </row>
    <row r="171" spans="1:8" x14ac:dyDescent="0.45">
      <c r="A171" s="417">
        <v>60</v>
      </c>
      <c r="B171" s="491" t="s">
        <v>1366</v>
      </c>
      <c r="C171" s="491" t="s">
        <v>1367</v>
      </c>
      <c r="D171" s="491" t="s">
        <v>1368</v>
      </c>
      <c r="E171" s="491" t="s">
        <v>1381</v>
      </c>
      <c r="F171" s="491">
        <v>80</v>
      </c>
      <c r="G171" s="491" t="s">
        <v>526</v>
      </c>
      <c r="H171" s="418" t="s">
        <v>1444</v>
      </c>
    </row>
    <row r="173" spans="1:8" ht="15.75" x14ac:dyDescent="0.45">
      <c r="A173" s="619" t="s">
        <v>438</v>
      </c>
      <c r="B173" s="620"/>
      <c r="C173" s="620"/>
      <c r="D173" s="620"/>
      <c r="E173" s="620"/>
      <c r="F173" s="620"/>
      <c r="G173" s="620"/>
      <c r="H173" s="620"/>
    </row>
    <row r="174" spans="1:8" ht="15.75" x14ac:dyDescent="0.45">
      <c r="A174" s="419" t="s">
        <v>438</v>
      </c>
      <c r="B174" s="420" t="s">
        <v>1420</v>
      </c>
      <c r="C174" s="420" t="s">
        <v>1421</v>
      </c>
      <c r="D174" s="420" t="s">
        <v>1422</v>
      </c>
      <c r="E174" s="420" t="s">
        <v>1423</v>
      </c>
      <c r="F174" s="420" t="s">
        <v>1424</v>
      </c>
      <c r="G174" s="420" t="s">
        <v>1425</v>
      </c>
      <c r="H174" s="421" t="s">
        <v>1426</v>
      </c>
    </row>
    <row r="175" spans="1:8" ht="15.75" x14ac:dyDescent="0.45">
      <c r="A175" s="495" t="s">
        <v>501</v>
      </c>
      <c r="B175" s="493" t="s">
        <v>676</v>
      </c>
      <c r="C175" s="493" t="s">
        <v>1082</v>
      </c>
      <c r="D175" s="493" t="s">
        <v>876</v>
      </c>
      <c r="E175" s="493" t="s">
        <v>353</v>
      </c>
      <c r="F175" s="493" t="s">
        <v>105</v>
      </c>
      <c r="G175" s="493" t="s">
        <v>1364</v>
      </c>
      <c r="H175" s="494" t="s">
        <v>505</v>
      </c>
    </row>
    <row r="176" spans="1:8" x14ac:dyDescent="0.45">
      <c r="A176" s="497">
        <v>1</v>
      </c>
      <c r="B176" s="479" t="s">
        <v>1365</v>
      </c>
      <c r="C176" s="479" t="s">
        <v>1276</v>
      </c>
      <c r="D176" s="479" t="s">
        <v>322</v>
      </c>
      <c r="E176" s="479" t="s">
        <v>322</v>
      </c>
      <c r="F176" s="479">
        <v>10</v>
      </c>
      <c r="G176" s="479" t="s">
        <v>508</v>
      </c>
      <c r="H176" s="496" t="s">
        <v>1445</v>
      </c>
    </row>
    <row r="177" spans="1:8" x14ac:dyDescent="0.45">
      <c r="A177" s="497">
        <v>2</v>
      </c>
      <c r="B177" s="479" t="s">
        <v>1398</v>
      </c>
      <c r="C177" s="479" t="s">
        <v>1446</v>
      </c>
      <c r="D177" s="479" t="s">
        <v>1387</v>
      </c>
      <c r="E177" s="479" t="s">
        <v>1381</v>
      </c>
      <c r="F177" s="479">
        <v>10</v>
      </c>
      <c r="G177" s="479" t="s">
        <v>1447</v>
      </c>
      <c r="H177" s="496" t="s">
        <v>1382</v>
      </c>
    </row>
    <row r="178" spans="1:8" x14ac:dyDescent="0.45">
      <c r="A178" s="497">
        <v>3</v>
      </c>
      <c r="B178" s="479" t="s">
        <v>1448</v>
      </c>
      <c r="C178" s="479" t="s">
        <v>1449</v>
      </c>
      <c r="D178" s="479" t="s">
        <v>322</v>
      </c>
      <c r="E178" s="479" t="s">
        <v>1381</v>
      </c>
      <c r="F178" s="479">
        <v>20</v>
      </c>
      <c r="G178" s="479" t="s">
        <v>508</v>
      </c>
      <c r="H178" s="496" t="s">
        <v>1382</v>
      </c>
    </row>
    <row r="179" spans="1:8" x14ac:dyDescent="0.45">
      <c r="A179" s="497">
        <v>4</v>
      </c>
      <c r="B179" s="479" t="s">
        <v>1450</v>
      </c>
      <c r="C179" s="479" t="s">
        <v>1451</v>
      </c>
      <c r="D179" s="479" t="s">
        <v>322</v>
      </c>
      <c r="E179" s="479" t="s">
        <v>1381</v>
      </c>
      <c r="F179" s="479">
        <v>10</v>
      </c>
      <c r="G179" s="479" t="s">
        <v>508</v>
      </c>
      <c r="H179" s="496" t="s">
        <v>1382</v>
      </c>
    </row>
    <row r="180" spans="1:8" x14ac:dyDescent="0.45">
      <c r="A180" s="497">
        <v>5</v>
      </c>
      <c r="B180" s="479" t="s">
        <v>1374</v>
      </c>
      <c r="C180" s="479" t="s">
        <v>1429</v>
      </c>
      <c r="D180" s="479" t="s">
        <v>322</v>
      </c>
      <c r="E180" s="479" t="s">
        <v>1381</v>
      </c>
      <c r="F180" s="479">
        <v>20</v>
      </c>
      <c r="G180" s="479" t="s">
        <v>508</v>
      </c>
      <c r="H180" s="496" t="s">
        <v>1382</v>
      </c>
    </row>
    <row r="181" spans="1:8" x14ac:dyDescent="0.45">
      <c r="A181" s="497">
        <v>6</v>
      </c>
      <c r="B181" s="479" t="s">
        <v>1377</v>
      </c>
      <c r="C181" s="479" t="s">
        <v>1378</v>
      </c>
      <c r="D181" s="479" t="s">
        <v>322</v>
      </c>
      <c r="E181" s="479" t="s">
        <v>1381</v>
      </c>
      <c r="F181" s="479">
        <v>10</v>
      </c>
      <c r="G181" s="479" t="s">
        <v>508</v>
      </c>
      <c r="H181" s="496" t="s">
        <v>1382</v>
      </c>
    </row>
    <row r="182" spans="1:8" x14ac:dyDescent="0.45">
      <c r="A182" s="497">
        <v>7</v>
      </c>
      <c r="B182" s="479" t="s">
        <v>1385</v>
      </c>
      <c r="C182" s="479" t="s">
        <v>1376</v>
      </c>
      <c r="D182" s="479" t="s">
        <v>1387</v>
      </c>
      <c r="E182" s="479" t="s">
        <v>1381</v>
      </c>
      <c r="F182" s="479">
        <v>10</v>
      </c>
      <c r="G182" s="479" t="s">
        <v>508</v>
      </c>
      <c r="H182" s="496" t="s">
        <v>1382</v>
      </c>
    </row>
    <row r="183" spans="1:8" x14ac:dyDescent="0.45">
      <c r="A183" s="497">
        <v>8</v>
      </c>
      <c r="B183" s="479" t="s">
        <v>1402</v>
      </c>
      <c r="C183" s="479" t="s">
        <v>1452</v>
      </c>
      <c r="D183" s="479" t="s">
        <v>322</v>
      </c>
      <c r="E183" s="479" t="s">
        <v>1437</v>
      </c>
      <c r="F183" s="479">
        <v>50</v>
      </c>
      <c r="G183" s="479" t="s">
        <v>508</v>
      </c>
      <c r="H183" s="496" t="s">
        <v>1382</v>
      </c>
    </row>
    <row r="184" spans="1:8" x14ac:dyDescent="0.45">
      <c r="A184" s="497">
        <v>9</v>
      </c>
      <c r="B184" s="479" t="s">
        <v>1402</v>
      </c>
      <c r="C184" s="479" t="s">
        <v>1438</v>
      </c>
      <c r="D184" s="479" t="s">
        <v>322</v>
      </c>
      <c r="E184" s="479" t="s">
        <v>1437</v>
      </c>
      <c r="F184" s="479">
        <v>100</v>
      </c>
      <c r="G184" s="479" t="s">
        <v>508</v>
      </c>
      <c r="H184" s="496" t="s">
        <v>1382</v>
      </c>
    </row>
    <row r="185" spans="1:8" x14ac:dyDescent="0.45">
      <c r="A185" s="497">
        <v>10</v>
      </c>
      <c r="B185" s="479" t="s">
        <v>1453</v>
      </c>
      <c r="C185" s="479" t="s">
        <v>1367</v>
      </c>
      <c r="D185" s="479" t="s">
        <v>1387</v>
      </c>
      <c r="E185" s="479" t="s">
        <v>1381</v>
      </c>
      <c r="F185" s="479">
        <v>60</v>
      </c>
      <c r="G185" s="479" t="s">
        <v>526</v>
      </c>
      <c r="H185" s="496" t="s">
        <v>1454</v>
      </c>
    </row>
    <row r="186" spans="1:8" x14ac:dyDescent="0.45">
      <c r="A186" s="497">
        <v>11</v>
      </c>
      <c r="B186" s="479" t="s">
        <v>1453</v>
      </c>
      <c r="C186" s="479" t="s">
        <v>1455</v>
      </c>
      <c r="D186" s="479" t="s">
        <v>1387</v>
      </c>
      <c r="E186" s="479" t="s">
        <v>1381</v>
      </c>
      <c r="F186" s="479">
        <v>20</v>
      </c>
      <c r="G186" s="479" t="s">
        <v>508</v>
      </c>
      <c r="H186" s="496" t="s">
        <v>1454</v>
      </c>
    </row>
    <row r="187" spans="1:8" x14ac:dyDescent="0.45">
      <c r="A187" s="497">
        <v>12</v>
      </c>
      <c r="B187" s="479" t="s">
        <v>1453</v>
      </c>
      <c r="C187" s="479" t="s">
        <v>1432</v>
      </c>
      <c r="D187" s="479" t="s">
        <v>1387</v>
      </c>
      <c r="E187" s="479" t="s">
        <v>1381</v>
      </c>
      <c r="F187" s="479">
        <v>10</v>
      </c>
      <c r="G187" s="479" t="s">
        <v>508</v>
      </c>
      <c r="H187" s="496" t="s">
        <v>1454</v>
      </c>
    </row>
    <row r="188" spans="1:8" x14ac:dyDescent="0.45">
      <c r="A188" s="497">
        <v>13</v>
      </c>
      <c r="B188" s="479" t="s">
        <v>1453</v>
      </c>
      <c r="C188" s="479" t="s">
        <v>1456</v>
      </c>
      <c r="D188" s="479" t="s">
        <v>1387</v>
      </c>
      <c r="E188" s="479" t="s">
        <v>1381</v>
      </c>
      <c r="F188" s="479">
        <v>10</v>
      </c>
      <c r="G188" s="479" t="s">
        <v>508</v>
      </c>
      <c r="H188" s="496" t="s">
        <v>1454</v>
      </c>
    </row>
    <row r="189" spans="1:8" x14ac:dyDescent="0.45">
      <c r="A189" s="497">
        <v>14</v>
      </c>
      <c r="B189" s="479" t="s">
        <v>1453</v>
      </c>
      <c r="C189" s="479" t="s">
        <v>1384</v>
      </c>
      <c r="D189" s="479" t="s">
        <v>1387</v>
      </c>
      <c r="E189" s="479" t="s">
        <v>1381</v>
      </c>
      <c r="F189" s="479">
        <v>10</v>
      </c>
      <c r="G189" s="479" t="s">
        <v>508</v>
      </c>
      <c r="H189" s="496" t="s">
        <v>1454</v>
      </c>
    </row>
    <row r="190" spans="1:8" x14ac:dyDescent="0.45">
      <c r="A190" s="497">
        <v>15</v>
      </c>
      <c r="B190" s="479" t="s">
        <v>1453</v>
      </c>
      <c r="C190" s="479" t="s">
        <v>1376</v>
      </c>
      <c r="D190" s="479" t="s">
        <v>1387</v>
      </c>
      <c r="E190" s="479" t="s">
        <v>1388</v>
      </c>
      <c r="F190" s="479">
        <v>10</v>
      </c>
      <c r="G190" s="479" t="s">
        <v>508</v>
      </c>
      <c r="H190" s="496" t="s">
        <v>1454</v>
      </c>
    </row>
    <row r="191" spans="1:8" x14ac:dyDescent="0.45">
      <c r="A191" s="497">
        <v>16</v>
      </c>
      <c r="B191" s="479" t="s">
        <v>1453</v>
      </c>
      <c r="C191" s="479" t="s">
        <v>1399</v>
      </c>
      <c r="D191" s="479" t="s">
        <v>1387</v>
      </c>
      <c r="E191" s="479" t="s">
        <v>1388</v>
      </c>
      <c r="F191" s="479">
        <v>20</v>
      </c>
      <c r="G191" s="479" t="s">
        <v>508</v>
      </c>
      <c r="H191" s="496" t="s">
        <v>1454</v>
      </c>
    </row>
    <row r="192" spans="1:8" x14ac:dyDescent="0.45">
      <c r="A192" s="497">
        <v>17</v>
      </c>
      <c r="B192" s="479" t="s">
        <v>1453</v>
      </c>
      <c r="C192" s="479" t="s">
        <v>1367</v>
      </c>
      <c r="D192" s="479" t="s">
        <v>1387</v>
      </c>
      <c r="E192" s="479" t="s">
        <v>1388</v>
      </c>
      <c r="F192" s="479">
        <v>50</v>
      </c>
      <c r="G192" s="479" t="s">
        <v>526</v>
      </c>
      <c r="H192" s="496" t="s">
        <v>1454</v>
      </c>
    </row>
    <row r="193" spans="1:8" x14ac:dyDescent="0.45">
      <c r="A193" s="497">
        <v>18</v>
      </c>
      <c r="B193" s="479" t="s">
        <v>1374</v>
      </c>
      <c r="C193" s="479" t="s">
        <v>1429</v>
      </c>
      <c r="D193" s="479" t="s">
        <v>322</v>
      </c>
      <c r="E193" s="479" t="s">
        <v>1381</v>
      </c>
      <c r="F193" s="479">
        <v>20</v>
      </c>
      <c r="G193" s="479" t="s">
        <v>508</v>
      </c>
      <c r="H193" s="496" t="s">
        <v>1454</v>
      </c>
    </row>
    <row r="194" spans="1:8" x14ac:dyDescent="0.45">
      <c r="A194" s="497">
        <v>19</v>
      </c>
      <c r="B194" s="479" t="s">
        <v>1377</v>
      </c>
      <c r="C194" s="479" t="s">
        <v>1378</v>
      </c>
      <c r="D194" s="479" t="s">
        <v>322</v>
      </c>
      <c r="E194" s="479" t="s">
        <v>1381</v>
      </c>
      <c r="F194" s="479">
        <v>20</v>
      </c>
      <c r="G194" s="479" t="s">
        <v>508</v>
      </c>
      <c r="H194" s="496" t="s">
        <v>1454</v>
      </c>
    </row>
    <row r="195" spans="1:8" x14ac:dyDescent="0.45">
      <c r="A195" s="497">
        <v>20</v>
      </c>
      <c r="B195" s="479" t="s">
        <v>1402</v>
      </c>
      <c r="C195" s="479" t="s">
        <v>1452</v>
      </c>
      <c r="D195" s="479" t="s">
        <v>322</v>
      </c>
      <c r="E195" s="479" t="s">
        <v>1437</v>
      </c>
      <c r="F195" s="479">
        <v>50</v>
      </c>
      <c r="G195" s="479" t="s">
        <v>508</v>
      </c>
      <c r="H195" s="496" t="s">
        <v>1454</v>
      </c>
    </row>
    <row r="196" spans="1:8" x14ac:dyDescent="0.45">
      <c r="A196" s="497">
        <v>21</v>
      </c>
      <c r="B196" s="479" t="s">
        <v>1402</v>
      </c>
      <c r="C196" s="479" t="s">
        <v>1438</v>
      </c>
      <c r="D196" s="479" t="s">
        <v>322</v>
      </c>
      <c r="E196" s="479" t="s">
        <v>1437</v>
      </c>
      <c r="F196" s="479">
        <v>100</v>
      </c>
      <c r="G196" s="479" t="s">
        <v>508</v>
      </c>
      <c r="H196" s="496" t="s">
        <v>1454</v>
      </c>
    </row>
    <row r="197" spans="1:8" x14ac:dyDescent="0.45">
      <c r="A197" s="497">
        <v>22</v>
      </c>
      <c r="B197" s="479" t="s">
        <v>1385</v>
      </c>
      <c r="C197" s="479" t="s">
        <v>1376</v>
      </c>
      <c r="D197" s="479" t="s">
        <v>1387</v>
      </c>
      <c r="E197" s="479" t="s">
        <v>1381</v>
      </c>
      <c r="F197" s="479">
        <v>10</v>
      </c>
      <c r="G197" s="479" t="s">
        <v>508</v>
      </c>
      <c r="H197" s="496" t="s">
        <v>1454</v>
      </c>
    </row>
    <row r="198" spans="1:8" x14ac:dyDescent="0.45">
      <c r="A198" s="497">
        <v>23</v>
      </c>
      <c r="B198" s="479" t="s">
        <v>1385</v>
      </c>
      <c r="C198" s="479" t="s">
        <v>1372</v>
      </c>
      <c r="D198" s="479" t="s">
        <v>1387</v>
      </c>
      <c r="E198" s="479" t="s">
        <v>1381</v>
      </c>
      <c r="F198" s="479">
        <v>40</v>
      </c>
      <c r="G198" s="479" t="s">
        <v>508</v>
      </c>
      <c r="H198" s="496" t="s">
        <v>1454</v>
      </c>
    </row>
    <row r="199" spans="1:8" x14ac:dyDescent="0.45">
      <c r="A199" s="497">
        <v>24</v>
      </c>
      <c r="B199" s="479" t="s">
        <v>1374</v>
      </c>
      <c r="C199" s="479" t="s">
        <v>1429</v>
      </c>
      <c r="D199" s="479" t="s">
        <v>322</v>
      </c>
      <c r="E199" s="479" t="s">
        <v>1381</v>
      </c>
      <c r="F199" s="479">
        <v>10</v>
      </c>
      <c r="G199" s="479" t="s">
        <v>508</v>
      </c>
      <c r="H199" s="496" t="s">
        <v>1454</v>
      </c>
    </row>
    <row r="200" spans="1:8" x14ac:dyDescent="0.45">
      <c r="A200" s="497">
        <v>25</v>
      </c>
      <c r="B200" s="479" t="s">
        <v>1377</v>
      </c>
      <c r="C200" s="479" t="s">
        <v>1378</v>
      </c>
      <c r="D200" s="479" t="s">
        <v>322</v>
      </c>
      <c r="E200" s="479" t="s">
        <v>1381</v>
      </c>
      <c r="F200" s="479">
        <v>20</v>
      </c>
      <c r="G200" s="479" t="s">
        <v>508</v>
      </c>
      <c r="H200" s="496" t="s">
        <v>1454</v>
      </c>
    </row>
    <row r="201" spans="1:8" x14ac:dyDescent="0.45">
      <c r="A201" s="497">
        <v>26</v>
      </c>
      <c r="B201" s="479" t="s">
        <v>1402</v>
      </c>
      <c r="C201" s="479" t="s">
        <v>1452</v>
      </c>
      <c r="D201" s="479" t="s">
        <v>322</v>
      </c>
      <c r="E201" s="479" t="s">
        <v>1437</v>
      </c>
      <c r="F201" s="479">
        <v>50</v>
      </c>
      <c r="G201" s="479" t="s">
        <v>508</v>
      </c>
      <c r="H201" s="496" t="s">
        <v>1454</v>
      </c>
    </row>
    <row r="202" spans="1:8" x14ac:dyDescent="0.45">
      <c r="A202" s="497">
        <v>27</v>
      </c>
      <c r="B202" s="479" t="s">
        <v>1402</v>
      </c>
      <c r="C202" s="479" t="s">
        <v>1438</v>
      </c>
      <c r="D202" s="479" t="s">
        <v>322</v>
      </c>
      <c r="E202" s="479" t="s">
        <v>1437</v>
      </c>
      <c r="F202" s="479">
        <v>100</v>
      </c>
      <c r="G202" s="479" t="s">
        <v>508</v>
      </c>
      <c r="H202" s="496" t="s">
        <v>1454</v>
      </c>
    </row>
    <row r="203" spans="1:8" x14ac:dyDescent="0.45">
      <c r="A203" s="497">
        <v>28</v>
      </c>
      <c r="B203" s="479" t="s">
        <v>1385</v>
      </c>
      <c r="C203" s="479" t="s">
        <v>1410</v>
      </c>
      <c r="D203" s="479" t="s">
        <v>1387</v>
      </c>
      <c r="E203" s="479" t="s">
        <v>1457</v>
      </c>
      <c r="F203" s="479">
        <v>10</v>
      </c>
      <c r="G203" s="479" t="s">
        <v>508</v>
      </c>
      <c r="H203" s="496" t="s">
        <v>1454</v>
      </c>
    </row>
    <row r="204" spans="1:8" x14ac:dyDescent="0.45">
      <c r="A204" s="497">
        <v>29</v>
      </c>
      <c r="B204" s="479" t="s">
        <v>1385</v>
      </c>
      <c r="C204" s="479" t="s">
        <v>1408</v>
      </c>
      <c r="D204" s="479" t="s">
        <v>1387</v>
      </c>
      <c r="E204" s="479" t="s">
        <v>1409</v>
      </c>
      <c r="F204" s="479">
        <v>10</v>
      </c>
      <c r="G204" s="479" t="s">
        <v>508</v>
      </c>
      <c r="H204" s="496" t="s">
        <v>1454</v>
      </c>
    </row>
    <row r="205" spans="1:8" x14ac:dyDescent="0.45">
      <c r="A205" s="497">
        <v>30</v>
      </c>
      <c r="B205" s="479" t="s">
        <v>1458</v>
      </c>
      <c r="C205" s="479" t="s">
        <v>1459</v>
      </c>
      <c r="D205" s="479" t="s">
        <v>322</v>
      </c>
      <c r="E205" s="479" t="s">
        <v>874</v>
      </c>
      <c r="F205" s="479">
        <v>10</v>
      </c>
      <c r="G205" s="479" t="s">
        <v>508</v>
      </c>
      <c r="H205" s="496" t="s">
        <v>1454</v>
      </c>
    </row>
    <row r="206" spans="1:8" x14ac:dyDescent="0.45">
      <c r="A206" s="497">
        <v>31</v>
      </c>
      <c r="B206" s="479" t="s">
        <v>1398</v>
      </c>
      <c r="C206" s="479" t="s">
        <v>1367</v>
      </c>
      <c r="D206" s="479" t="s">
        <v>1387</v>
      </c>
      <c r="E206" s="479" t="s">
        <v>1381</v>
      </c>
      <c r="F206" s="479">
        <v>130</v>
      </c>
      <c r="G206" s="479" t="s">
        <v>526</v>
      </c>
      <c r="H206" s="496" t="s">
        <v>1460</v>
      </c>
    </row>
    <row r="207" spans="1:8" x14ac:dyDescent="0.45">
      <c r="A207" s="497">
        <v>32</v>
      </c>
      <c r="B207" s="479" t="s">
        <v>1398</v>
      </c>
      <c r="C207" s="479" t="s">
        <v>1372</v>
      </c>
      <c r="D207" s="479" t="s">
        <v>1387</v>
      </c>
      <c r="E207" s="479" t="s">
        <v>1381</v>
      </c>
      <c r="F207" s="479">
        <v>8</v>
      </c>
      <c r="G207" s="479" t="s">
        <v>508</v>
      </c>
      <c r="H207" s="496" t="s">
        <v>1460</v>
      </c>
    </row>
    <row r="208" spans="1:8" x14ac:dyDescent="0.45">
      <c r="A208" s="497">
        <v>33</v>
      </c>
      <c r="B208" s="479" t="s">
        <v>1398</v>
      </c>
      <c r="C208" s="479" t="s">
        <v>1394</v>
      </c>
      <c r="D208" s="479" t="s">
        <v>1387</v>
      </c>
      <c r="E208" s="479" t="s">
        <v>1461</v>
      </c>
      <c r="F208" s="479">
        <v>1</v>
      </c>
      <c r="G208" s="479" t="s">
        <v>508</v>
      </c>
      <c r="H208" s="496" t="s">
        <v>1460</v>
      </c>
    </row>
    <row r="209" spans="1:8" x14ac:dyDescent="0.45">
      <c r="A209" s="497">
        <v>34</v>
      </c>
      <c r="B209" s="479" t="s">
        <v>1398</v>
      </c>
      <c r="C209" s="479" t="s">
        <v>1367</v>
      </c>
      <c r="D209" s="479" t="s">
        <v>1387</v>
      </c>
      <c r="E209" s="479" t="s">
        <v>1381</v>
      </c>
      <c r="F209" s="479">
        <v>150</v>
      </c>
      <c r="G209" s="479" t="s">
        <v>526</v>
      </c>
      <c r="H209" s="496" t="s">
        <v>1462</v>
      </c>
    </row>
    <row r="210" spans="1:8" x14ac:dyDescent="0.45">
      <c r="A210" s="497">
        <v>35</v>
      </c>
      <c r="B210" s="479" t="s">
        <v>1398</v>
      </c>
      <c r="C210" s="479" t="s">
        <v>1372</v>
      </c>
      <c r="D210" s="479" t="s">
        <v>1387</v>
      </c>
      <c r="E210" s="479" t="s">
        <v>1381</v>
      </c>
      <c r="F210" s="479">
        <v>8</v>
      </c>
      <c r="G210" s="479" t="s">
        <v>508</v>
      </c>
      <c r="H210" s="496" t="s">
        <v>1462</v>
      </c>
    </row>
    <row r="211" spans="1:8" x14ac:dyDescent="0.45">
      <c r="A211" s="497">
        <v>36</v>
      </c>
      <c r="B211" s="479" t="s">
        <v>1398</v>
      </c>
      <c r="C211" s="479" t="s">
        <v>1394</v>
      </c>
      <c r="D211" s="479" t="s">
        <v>1387</v>
      </c>
      <c r="E211" s="479" t="s">
        <v>1461</v>
      </c>
      <c r="F211" s="479">
        <v>1</v>
      </c>
      <c r="G211" s="479" t="s">
        <v>508</v>
      </c>
      <c r="H211" s="496" t="s">
        <v>1462</v>
      </c>
    </row>
    <row r="212" spans="1:8" x14ac:dyDescent="0.45">
      <c r="A212" s="497">
        <v>37</v>
      </c>
      <c r="B212" s="479" t="s">
        <v>1398</v>
      </c>
      <c r="C212" s="479" t="s">
        <v>1367</v>
      </c>
      <c r="D212" s="479" t="s">
        <v>1387</v>
      </c>
      <c r="E212" s="479" t="s">
        <v>1381</v>
      </c>
      <c r="F212" s="479">
        <v>20</v>
      </c>
      <c r="G212" s="479" t="s">
        <v>526</v>
      </c>
      <c r="H212" s="496" t="s">
        <v>1463</v>
      </c>
    </row>
    <row r="213" spans="1:8" x14ac:dyDescent="0.45">
      <c r="A213" s="497">
        <v>38</v>
      </c>
      <c r="B213" s="479" t="s">
        <v>1398</v>
      </c>
      <c r="C213" s="479" t="s">
        <v>1372</v>
      </c>
      <c r="D213" s="479" t="s">
        <v>1387</v>
      </c>
      <c r="E213" s="479" t="s">
        <v>1381</v>
      </c>
      <c r="F213" s="479">
        <v>4</v>
      </c>
      <c r="G213" s="479" t="s">
        <v>508</v>
      </c>
      <c r="H213" s="496" t="s">
        <v>1463</v>
      </c>
    </row>
    <row r="214" spans="1:8" x14ac:dyDescent="0.45">
      <c r="A214" s="497">
        <v>39</v>
      </c>
      <c r="B214" s="479" t="s">
        <v>1398</v>
      </c>
      <c r="C214" s="479" t="s">
        <v>1394</v>
      </c>
      <c r="D214" s="479" t="s">
        <v>1387</v>
      </c>
      <c r="E214" s="479" t="s">
        <v>1461</v>
      </c>
      <c r="F214" s="479">
        <v>1</v>
      </c>
      <c r="G214" s="479" t="s">
        <v>508</v>
      </c>
      <c r="H214" s="496" t="s">
        <v>1463</v>
      </c>
    </row>
    <row r="215" spans="1:8" x14ac:dyDescent="0.45">
      <c r="A215" s="497">
        <v>40</v>
      </c>
      <c r="B215" s="479" t="s">
        <v>1398</v>
      </c>
      <c r="C215" s="479" t="s">
        <v>1367</v>
      </c>
      <c r="D215" s="479" t="s">
        <v>1387</v>
      </c>
      <c r="E215" s="479" t="s">
        <v>1381</v>
      </c>
      <c r="F215" s="479">
        <v>10</v>
      </c>
      <c r="G215" s="479" t="s">
        <v>526</v>
      </c>
      <c r="H215" s="496" t="s">
        <v>1464</v>
      </c>
    </row>
    <row r="216" spans="1:8" x14ac:dyDescent="0.45">
      <c r="A216" s="497">
        <v>41</v>
      </c>
      <c r="B216" s="479" t="s">
        <v>1398</v>
      </c>
      <c r="C216" s="479" t="s">
        <v>1372</v>
      </c>
      <c r="D216" s="479" t="s">
        <v>1387</v>
      </c>
      <c r="E216" s="479" t="s">
        <v>1381</v>
      </c>
      <c r="F216" s="479">
        <v>4</v>
      </c>
      <c r="G216" s="479" t="s">
        <v>508</v>
      </c>
      <c r="H216" s="496" t="s">
        <v>1464</v>
      </c>
    </row>
    <row r="217" spans="1:8" x14ac:dyDescent="0.45">
      <c r="A217" s="497">
        <v>42</v>
      </c>
      <c r="B217" s="479" t="s">
        <v>1398</v>
      </c>
      <c r="C217" s="479" t="s">
        <v>1394</v>
      </c>
      <c r="D217" s="479" t="s">
        <v>1387</v>
      </c>
      <c r="E217" s="479" t="s">
        <v>1461</v>
      </c>
      <c r="F217" s="479">
        <v>1</v>
      </c>
      <c r="G217" s="479" t="s">
        <v>508</v>
      </c>
      <c r="H217" s="496" t="s">
        <v>1464</v>
      </c>
    </row>
    <row r="218" spans="1:8" x14ac:dyDescent="0.45">
      <c r="A218" s="497">
        <v>43</v>
      </c>
      <c r="B218" s="479" t="s">
        <v>1398</v>
      </c>
      <c r="C218" s="479" t="s">
        <v>1367</v>
      </c>
      <c r="D218" s="479" t="s">
        <v>1387</v>
      </c>
      <c r="E218" s="479" t="s">
        <v>1381</v>
      </c>
      <c r="F218" s="479">
        <v>50</v>
      </c>
      <c r="G218" s="479" t="s">
        <v>526</v>
      </c>
      <c r="H218" s="496" t="s">
        <v>1465</v>
      </c>
    </row>
    <row r="219" spans="1:8" x14ac:dyDescent="0.45">
      <c r="A219" s="497">
        <v>44</v>
      </c>
      <c r="B219" s="479" t="s">
        <v>1398</v>
      </c>
      <c r="C219" s="479" t="s">
        <v>1372</v>
      </c>
      <c r="D219" s="479" t="s">
        <v>1387</v>
      </c>
      <c r="E219" s="479" t="s">
        <v>1381</v>
      </c>
      <c r="F219" s="479">
        <v>8</v>
      </c>
      <c r="G219" s="479" t="s">
        <v>508</v>
      </c>
      <c r="H219" s="496" t="s">
        <v>1465</v>
      </c>
    </row>
    <row r="220" spans="1:8" x14ac:dyDescent="0.45">
      <c r="A220" s="497">
        <v>45</v>
      </c>
      <c r="B220" s="479" t="s">
        <v>1398</v>
      </c>
      <c r="C220" s="479" t="s">
        <v>1394</v>
      </c>
      <c r="D220" s="479" t="s">
        <v>1387</v>
      </c>
      <c r="E220" s="479" t="s">
        <v>1461</v>
      </c>
      <c r="F220" s="479">
        <v>1</v>
      </c>
      <c r="G220" s="479" t="s">
        <v>508</v>
      </c>
      <c r="H220" s="496" t="s">
        <v>1465</v>
      </c>
    </row>
    <row r="221" spans="1:8" x14ac:dyDescent="0.45">
      <c r="A221" s="497">
        <v>46</v>
      </c>
      <c r="B221" s="479" t="s">
        <v>1398</v>
      </c>
      <c r="C221" s="479" t="s">
        <v>1367</v>
      </c>
      <c r="D221" s="479" t="s">
        <v>1387</v>
      </c>
      <c r="E221" s="479" t="s">
        <v>1381</v>
      </c>
      <c r="F221" s="479">
        <v>60</v>
      </c>
      <c r="G221" s="479" t="s">
        <v>526</v>
      </c>
      <c r="H221" s="496" t="s">
        <v>1466</v>
      </c>
    </row>
    <row r="222" spans="1:8" x14ac:dyDescent="0.45">
      <c r="A222" s="497">
        <v>47</v>
      </c>
      <c r="B222" s="479" t="s">
        <v>1398</v>
      </c>
      <c r="C222" s="479" t="s">
        <v>1372</v>
      </c>
      <c r="D222" s="479" t="s">
        <v>1387</v>
      </c>
      <c r="E222" s="479" t="s">
        <v>1381</v>
      </c>
      <c r="F222" s="479">
        <v>8</v>
      </c>
      <c r="G222" s="479" t="s">
        <v>508</v>
      </c>
      <c r="H222" s="496" t="s">
        <v>1466</v>
      </c>
    </row>
    <row r="223" spans="1:8" x14ac:dyDescent="0.45">
      <c r="A223" s="497">
        <v>48</v>
      </c>
      <c r="B223" s="479" t="s">
        <v>1398</v>
      </c>
      <c r="C223" s="479" t="s">
        <v>1394</v>
      </c>
      <c r="D223" s="479" t="s">
        <v>1387</v>
      </c>
      <c r="E223" s="479" t="s">
        <v>1461</v>
      </c>
      <c r="F223" s="479">
        <v>1</v>
      </c>
      <c r="G223" s="479" t="s">
        <v>508</v>
      </c>
      <c r="H223" s="496" t="s">
        <v>1466</v>
      </c>
    </row>
    <row r="224" spans="1:8" x14ac:dyDescent="0.45">
      <c r="A224" s="497">
        <v>49</v>
      </c>
      <c r="B224" s="479" t="s">
        <v>1398</v>
      </c>
      <c r="C224" s="479" t="s">
        <v>1367</v>
      </c>
      <c r="D224" s="479" t="s">
        <v>1387</v>
      </c>
      <c r="E224" s="479" t="s">
        <v>1381</v>
      </c>
      <c r="F224" s="479">
        <v>50</v>
      </c>
      <c r="G224" s="479" t="s">
        <v>526</v>
      </c>
      <c r="H224" s="496" t="s">
        <v>1467</v>
      </c>
    </row>
    <row r="225" spans="1:8" x14ac:dyDescent="0.45">
      <c r="A225" s="497">
        <v>50</v>
      </c>
      <c r="B225" s="479" t="s">
        <v>1398</v>
      </c>
      <c r="C225" s="479" t="s">
        <v>1372</v>
      </c>
      <c r="D225" s="479" t="s">
        <v>1387</v>
      </c>
      <c r="E225" s="479" t="s">
        <v>1381</v>
      </c>
      <c r="F225" s="479">
        <v>8</v>
      </c>
      <c r="G225" s="479" t="s">
        <v>508</v>
      </c>
      <c r="H225" s="496" t="s">
        <v>1467</v>
      </c>
    </row>
    <row r="226" spans="1:8" x14ac:dyDescent="0.45">
      <c r="A226" s="497">
        <v>51</v>
      </c>
      <c r="B226" s="479" t="s">
        <v>1398</v>
      </c>
      <c r="C226" s="479" t="s">
        <v>1394</v>
      </c>
      <c r="D226" s="479" t="s">
        <v>1387</v>
      </c>
      <c r="E226" s="479" t="s">
        <v>1461</v>
      </c>
      <c r="F226" s="479">
        <v>1</v>
      </c>
      <c r="G226" s="479" t="s">
        <v>508</v>
      </c>
      <c r="H226" s="496" t="s">
        <v>1467</v>
      </c>
    </row>
    <row r="227" spans="1:8" x14ac:dyDescent="0.45">
      <c r="A227" s="497">
        <v>52</v>
      </c>
      <c r="B227" s="479" t="s">
        <v>1398</v>
      </c>
      <c r="C227" s="479" t="s">
        <v>1367</v>
      </c>
      <c r="D227" s="479" t="s">
        <v>1387</v>
      </c>
      <c r="E227" s="479" t="s">
        <v>1381</v>
      </c>
      <c r="F227" s="479">
        <v>10</v>
      </c>
      <c r="G227" s="479" t="s">
        <v>526</v>
      </c>
      <c r="H227" s="496" t="s">
        <v>1468</v>
      </c>
    </row>
    <row r="228" spans="1:8" x14ac:dyDescent="0.45">
      <c r="A228" s="497">
        <v>53</v>
      </c>
      <c r="B228" s="479" t="s">
        <v>1398</v>
      </c>
      <c r="C228" s="479" t="s">
        <v>1372</v>
      </c>
      <c r="D228" s="479" t="s">
        <v>1387</v>
      </c>
      <c r="E228" s="479" t="s">
        <v>1381</v>
      </c>
      <c r="F228" s="479">
        <v>4</v>
      </c>
      <c r="G228" s="479" t="s">
        <v>508</v>
      </c>
      <c r="H228" s="496" t="s">
        <v>1468</v>
      </c>
    </row>
    <row r="229" spans="1:8" x14ac:dyDescent="0.45">
      <c r="A229" s="497">
        <v>54</v>
      </c>
      <c r="B229" s="479" t="s">
        <v>1398</v>
      </c>
      <c r="C229" s="479" t="s">
        <v>1394</v>
      </c>
      <c r="D229" s="479" t="s">
        <v>1387</v>
      </c>
      <c r="E229" s="479" t="s">
        <v>1461</v>
      </c>
      <c r="F229" s="479">
        <v>1</v>
      </c>
      <c r="G229" s="479" t="s">
        <v>508</v>
      </c>
      <c r="H229" s="496" t="s">
        <v>1468</v>
      </c>
    </row>
    <row r="230" spans="1:8" x14ac:dyDescent="0.45">
      <c r="A230" s="497">
        <v>55</v>
      </c>
      <c r="B230" s="479" t="s">
        <v>1398</v>
      </c>
      <c r="C230" s="479" t="s">
        <v>1367</v>
      </c>
      <c r="D230" s="479" t="s">
        <v>1387</v>
      </c>
      <c r="E230" s="479" t="s">
        <v>1381</v>
      </c>
      <c r="F230" s="479">
        <v>100</v>
      </c>
      <c r="G230" s="479" t="s">
        <v>526</v>
      </c>
      <c r="H230" s="496" t="s">
        <v>1469</v>
      </c>
    </row>
    <row r="231" spans="1:8" x14ac:dyDescent="0.45">
      <c r="A231" s="497">
        <v>56</v>
      </c>
      <c r="B231" s="479" t="s">
        <v>1398</v>
      </c>
      <c r="C231" s="479" t="s">
        <v>1372</v>
      </c>
      <c r="D231" s="479" t="s">
        <v>1387</v>
      </c>
      <c r="E231" s="479" t="s">
        <v>1381</v>
      </c>
      <c r="F231" s="479">
        <v>10</v>
      </c>
      <c r="G231" s="479" t="s">
        <v>508</v>
      </c>
      <c r="H231" s="496" t="s">
        <v>1469</v>
      </c>
    </row>
    <row r="232" spans="1:8" x14ac:dyDescent="0.45">
      <c r="A232" s="497">
        <v>57</v>
      </c>
      <c r="B232" s="479" t="s">
        <v>1398</v>
      </c>
      <c r="C232" s="479" t="s">
        <v>1394</v>
      </c>
      <c r="D232" s="479" t="s">
        <v>1387</v>
      </c>
      <c r="E232" s="479" t="s">
        <v>1461</v>
      </c>
      <c r="F232" s="479">
        <v>1</v>
      </c>
      <c r="G232" s="479" t="s">
        <v>508</v>
      </c>
      <c r="H232" s="496" t="s">
        <v>1469</v>
      </c>
    </row>
    <row r="233" spans="1:8" x14ac:dyDescent="0.45">
      <c r="A233" s="497">
        <v>58</v>
      </c>
      <c r="B233" s="479" t="s">
        <v>1398</v>
      </c>
      <c r="C233" s="479" t="s">
        <v>1367</v>
      </c>
      <c r="D233" s="479" t="s">
        <v>1387</v>
      </c>
      <c r="E233" s="479" t="s">
        <v>1381</v>
      </c>
      <c r="F233" s="479">
        <v>20</v>
      </c>
      <c r="G233" s="479" t="s">
        <v>526</v>
      </c>
      <c r="H233" s="496" t="s">
        <v>1470</v>
      </c>
    </row>
    <row r="234" spans="1:8" x14ac:dyDescent="0.45">
      <c r="A234" s="497">
        <v>59</v>
      </c>
      <c r="B234" s="479" t="s">
        <v>1398</v>
      </c>
      <c r="C234" s="479" t="s">
        <v>1372</v>
      </c>
      <c r="D234" s="479" t="s">
        <v>1387</v>
      </c>
      <c r="E234" s="479" t="s">
        <v>1381</v>
      </c>
      <c r="F234" s="479">
        <v>4</v>
      </c>
      <c r="G234" s="479" t="s">
        <v>508</v>
      </c>
      <c r="H234" s="496" t="s">
        <v>1470</v>
      </c>
    </row>
    <row r="235" spans="1:8" x14ac:dyDescent="0.45">
      <c r="A235" s="497">
        <v>60</v>
      </c>
      <c r="B235" s="479" t="s">
        <v>1398</v>
      </c>
      <c r="C235" s="479" t="s">
        <v>1394</v>
      </c>
      <c r="D235" s="479" t="s">
        <v>1387</v>
      </c>
      <c r="E235" s="479" t="s">
        <v>1461</v>
      </c>
      <c r="F235" s="479">
        <v>1</v>
      </c>
      <c r="G235" s="479" t="s">
        <v>508</v>
      </c>
      <c r="H235" s="496" t="s">
        <v>1470</v>
      </c>
    </row>
    <row r="236" spans="1:8" x14ac:dyDescent="0.45">
      <c r="A236" s="497">
        <v>61</v>
      </c>
      <c r="B236" s="479" t="s">
        <v>1398</v>
      </c>
      <c r="C236" s="479" t="s">
        <v>1367</v>
      </c>
      <c r="D236" s="479" t="s">
        <v>1387</v>
      </c>
      <c r="E236" s="479" t="s">
        <v>1471</v>
      </c>
      <c r="F236" s="479">
        <v>600</v>
      </c>
      <c r="G236" s="479" t="s">
        <v>526</v>
      </c>
      <c r="H236" s="496" t="s">
        <v>1472</v>
      </c>
    </row>
    <row r="237" spans="1:8" x14ac:dyDescent="0.45">
      <c r="A237" s="497">
        <v>62</v>
      </c>
      <c r="B237" s="479" t="s">
        <v>1398</v>
      </c>
      <c r="C237" s="479" t="s">
        <v>1367</v>
      </c>
      <c r="D237" s="479" t="s">
        <v>1387</v>
      </c>
      <c r="E237" s="479" t="s">
        <v>1471</v>
      </c>
      <c r="F237" s="479">
        <v>300</v>
      </c>
      <c r="G237" s="479" t="s">
        <v>526</v>
      </c>
      <c r="H237" s="496" t="s">
        <v>1473</v>
      </c>
    </row>
    <row r="238" spans="1:8" x14ac:dyDescent="0.45">
      <c r="A238" s="497">
        <v>63</v>
      </c>
      <c r="B238" s="479" t="s">
        <v>1398</v>
      </c>
      <c r="C238" s="479" t="s">
        <v>1372</v>
      </c>
      <c r="D238" s="479" t="s">
        <v>1387</v>
      </c>
      <c r="E238" s="479" t="s">
        <v>1471</v>
      </c>
      <c r="F238" s="479">
        <v>100</v>
      </c>
      <c r="G238" s="479" t="s">
        <v>508</v>
      </c>
      <c r="H238" s="496" t="s">
        <v>1474</v>
      </c>
    </row>
    <row r="239" spans="1:8" x14ac:dyDescent="0.45">
      <c r="A239" s="422">
        <v>64</v>
      </c>
      <c r="B239" s="423" t="s">
        <v>1398</v>
      </c>
      <c r="C239" s="423" t="s">
        <v>1383</v>
      </c>
      <c r="D239" s="423" t="s">
        <v>1387</v>
      </c>
      <c r="E239" s="423" t="s">
        <v>1471</v>
      </c>
      <c r="F239" s="423">
        <v>20</v>
      </c>
      <c r="G239" s="423" t="s">
        <v>508</v>
      </c>
      <c r="H239" s="424" t="s">
        <v>1474</v>
      </c>
    </row>
    <row r="241" spans="1:8" ht="15.75" x14ac:dyDescent="0.45">
      <c r="A241" s="619" t="s">
        <v>1475</v>
      </c>
      <c r="B241" s="620"/>
      <c r="C241" s="620"/>
      <c r="D241" s="620"/>
      <c r="E241" s="620"/>
      <c r="F241" s="620"/>
      <c r="G241" s="620"/>
      <c r="H241" s="620"/>
    </row>
    <row r="242" spans="1:8" ht="15.75" x14ac:dyDescent="0.45">
      <c r="A242" s="419" t="s">
        <v>1475</v>
      </c>
      <c r="B242" s="420" t="s">
        <v>1420</v>
      </c>
      <c r="C242" s="420" t="s">
        <v>1421</v>
      </c>
      <c r="D242" s="420" t="s">
        <v>1422</v>
      </c>
      <c r="E242" s="420" t="s">
        <v>1423</v>
      </c>
      <c r="F242" s="420" t="s">
        <v>1424</v>
      </c>
      <c r="G242" s="420" t="s">
        <v>1425</v>
      </c>
      <c r="H242" s="421" t="s">
        <v>1426</v>
      </c>
    </row>
    <row r="243" spans="1:8" ht="15.75" x14ac:dyDescent="0.45">
      <c r="A243" s="495" t="s">
        <v>501</v>
      </c>
      <c r="B243" s="493" t="s">
        <v>676</v>
      </c>
      <c r="C243" s="493" t="s">
        <v>1082</v>
      </c>
      <c r="D243" s="493" t="s">
        <v>876</v>
      </c>
      <c r="E243" s="493" t="s">
        <v>353</v>
      </c>
      <c r="F243" s="493" t="s">
        <v>105</v>
      </c>
      <c r="G243" s="493" t="s">
        <v>1364</v>
      </c>
      <c r="H243" s="494" t="s">
        <v>505</v>
      </c>
    </row>
    <row r="244" spans="1:8" x14ac:dyDescent="0.45">
      <c r="A244" s="486">
        <v>1</v>
      </c>
      <c r="B244" s="490" t="s">
        <v>1448</v>
      </c>
      <c r="C244" s="490" t="s">
        <v>1476</v>
      </c>
      <c r="D244" s="490" t="s">
        <v>322</v>
      </c>
      <c r="E244" s="490" t="s">
        <v>322</v>
      </c>
      <c r="F244" s="490">
        <f>306*5</f>
        <v>1530</v>
      </c>
      <c r="G244" s="490" t="s">
        <v>508</v>
      </c>
      <c r="H244" s="485" t="s">
        <v>1477</v>
      </c>
    </row>
    <row r="245" spans="1:8" x14ac:dyDescent="0.45">
      <c r="A245" s="486">
        <v>2</v>
      </c>
      <c r="B245" s="490" t="s">
        <v>1377</v>
      </c>
      <c r="C245" s="490" t="s">
        <v>1405</v>
      </c>
      <c r="D245" s="490" t="s">
        <v>322</v>
      </c>
      <c r="E245" s="490" t="s">
        <v>1478</v>
      </c>
      <c r="F245" s="490">
        <v>1530</v>
      </c>
      <c r="G245" s="490" t="s">
        <v>508</v>
      </c>
      <c r="H245" s="485" t="s">
        <v>1477</v>
      </c>
    </row>
    <row r="246" spans="1:8" x14ac:dyDescent="0.45">
      <c r="A246" s="486">
        <v>3</v>
      </c>
      <c r="B246" s="490" t="s">
        <v>1385</v>
      </c>
      <c r="C246" s="490" t="s">
        <v>1384</v>
      </c>
      <c r="D246" s="490" t="s">
        <v>877</v>
      </c>
      <c r="E246" s="490" t="s">
        <v>1478</v>
      </c>
      <c r="F246" s="490">
        <v>1530</v>
      </c>
      <c r="G246" s="490" t="s">
        <v>508</v>
      </c>
      <c r="H246" s="485" t="s">
        <v>1477</v>
      </c>
    </row>
    <row r="247" spans="1:8" x14ac:dyDescent="0.45">
      <c r="A247" s="486">
        <v>4</v>
      </c>
      <c r="B247" s="490" t="s">
        <v>1385</v>
      </c>
      <c r="C247" s="490" t="s">
        <v>1376</v>
      </c>
      <c r="D247" s="490" t="s">
        <v>877</v>
      </c>
      <c r="E247" s="490" t="s">
        <v>1478</v>
      </c>
      <c r="F247" s="490">
        <v>1530</v>
      </c>
      <c r="G247" s="490" t="s">
        <v>508</v>
      </c>
      <c r="H247" s="485" t="s">
        <v>1477</v>
      </c>
    </row>
    <row r="248" spans="1:8" x14ac:dyDescent="0.45">
      <c r="A248" s="486">
        <v>5</v>
      </c>
      <c r="B248" s="490" t="s">
        <v>1385</v>
      </c>
      <c r="C248" s="490" t="s">
        <v>1367</v>
      </c>
      <c r="D248" s="490" t="s">
        <v>877</v>
      </c>
      <c r="E248" s="490" t="s">
        <v>1478</v>
      </c>
      <c r="F248" s="490">
        <v>1530</v>
      </c>
      <c r="G248" s="490" t="s">
        <v>526</v>
      </c>
      <c r="H248" s="485" t="s">
        <v>1477</v>
      </c>
    </row>
    <row r="249" spans="1:8" x14ac:dyDescent="0.45">
      <c r="A249" s="486">
        <v>6</v>
      </c>
      <c r="B249" s="490" t="s">
        <v>1398</v>
      </c>
      <c r="C249" s="490" t="s">
        <v>1410</v>
      </c>
      <c r="D249" s="490" t="s">
        <v>888</v>
      </c>
      <c r="E249" s="490" t="s">
        <v>1479</v>
      </c>
      <c r="F249" s="490">
        <v>1530</v>
      </c>
      <c r="G249" s="490" t="s">
        <v>508</v>
      </c>
      <c r="H249" s="485" t="s">
        <v>1477</v>
      </c>
    </row>
    <row r="250" spans="1:8" x14ac:dyDescent="0.45">
      <c r="A250" s="486">
        <v>7</v>
      </c>
      <c r="B250" s="490" t="s">
        <v>1398</v>
      </c>
      <c r="C250" s="490" t="s">
        <v>1367</v>
      </c>
      <c r="D250" s="490" t="s">
        <v>888</v>
      </c>
      <c r="E250" s="490" t="s">
        <v>1381</v>
      </c>
      <c r="F250" s="490">
        <v>3000</v>
      </c>
      <c r="G250" s="490" t="s">
        <v>526</v>
      </c>
      <c r="H250" s="485" t="s">
        <v>1477</v>
      </c>
    </row>
    <row r="251" spans="1:8" x14ac:dyDescent="0.45">
      <c r="A251" s="486">
        <v>8</v>
      </c>
      <c r="B251" s="490" t="s">
        <v>1398</v>
      </c>
      <c r="C251" s="490" t="s">
        <v>1372</v>
      </c>
      <c r="D251" s="490" t="s">
        <v>888</v>
      </c>
      <c r="E251" s="490" t="s">
        <v>1381</v>
      </c>
      <c r="F251" s="490">
        <v>70</v>
      </c>
      <c r="G251" s="490" t="s">
        <v>508</v>
      </c>
      <c r="H251" s="485" t="s">
        <v>1477</v>
      </c>
    </row>
    <row r="252" spans="1:8" x14ac:dyDescent="0.45">
      <c r="A252" s="486">
        <v>9</v>
      </c>
      <c r="B252" s="490" t="s">
        <v>1398</v>
      </c>
      <c r="C252" s="490" t="s">
        <v>1480</v>
      </c>
      <c r="D252" s="490" t="s">
        <v>888</v>
      </c>
      <c r="E252" s="490" t="s">
        <v>1381</v>
      </c>
      <c r="F252" s="490">
        <v>70</v>
      </c>
      <c r="G252" s="490" t="s">
        <v>508</v>
      </c>
      <c r="H252" s="485" t="s">
        <v>1477</v>
      </c>
    </row>
    <row r="253" spans="1:8" x14ac:dyDescent="0.45">
      <c r="A253" s="486">
        <v>10</v>
      </c>
      <c r="B253" s="490" t="s">
        <v>1398</v>
      </c>
      <c r="C253" s="490" t="s">
        <v>1383</v>
      </c>
      <c r="D253" s="490" t="s">
        <v>888</v>
      </c>
      <c r="E253" s="490" t="s">
        <v>1381</v>
      </c>
      <c r="F253" s="490">
        <v>20</v>
      </c>
      <c r="G253" s="490" t="s">
        <v>508</v>
      </c>
      <c r="H253" s="485" t="s">
        <v>1477</v>
      </c>
    </row>
    <row r="254" spans="1:8" x14ac:dyDescent="0.45">
      <c r="A254" s="486">
        <v>11</v>
      </c>
      <c r="B254" s="490" t="s">
        <v>1365</v>
      </c>
      <c r="C254" s="490" t="s">
        <v>1481</v>
      </c>
      <c r="D254" s="490" t="s">
        <v>322</v>
      </c>
      <c r="E254" s="490" t="s">
        <v>322</v>
      </c>
      <c r="F254" s="490">
        <v>16</v>
      </c>
      <c r="G254" s="490" t="s">
        <v>508</v>
      </c>
      <c r="H254" s="485" t="s">
        <v>1274</v>
      </c>
    </row>
    <row r="255" spans="1:8" x14ac:dyDescent="0.45">
      <c r="A255" s="486">
        <v>12</v>
      </c>
      <c r="B255" s="490" t="s">
        <v>1385</v>
      </c>
      <c r="C255" s="490" t="s">
        <v>1376</v>
      </c>
      <c r="D255" s="490" t="s">
        <v>1387</v>
      </c>
      <c r="E255" s="490" t="s">
        <v>1381</v>
      </c>
      <c r="F255" s="490">
        <v>28</v>
      </c>
      <c r="G255" s="490" t="s">
        <v>508</v>
      </c>
      <c r="H255" s="485" t="s">
        <v>1482</v>
      </c>
    </row>
    <row r="256" spans="1:8" x14ac:dyDescent="0.45">
      <c r="A256" s="486">
        <v>13</v>
      </c>
      <c r="B256" s="490" t="s">
        <v>1385</v>
      </c>
      <c r="C256" s="490" t="s">
        <v>1372</v>
      </c>
      <c r="D256" s="490" t="s">
        <v>1387</v>
      </c>
      <c r="E256" s="490" t="s">
        <v>1381</v>
      </c>
      <c r="F256" s="490">
        <v>56</v>
      </c>
      <c r="G256" s="490" t="s">
        <v>508</v>
      </c>
      <c r="H256" s="485" t="s">
        <v>1482</v>
      </c>
    </row>
    <row r="257" spans="1:8" x14ac:dyDescent="0.45">
      <c r="A257" s="486">
        <v>14</v>
      </c>
      <c r="B257" s="490" t="s">
        <v>1385</v>
      </c>
      <c r="C257" s="490" t="s">
        <v>1367</v>
      </c>
      <c r="D257" s="490" t="s">
        <v>1387</v>
      </c>
      <c r="E257" s="490" t="s">
        <v>1381</v>
      </c>
      <c r="F257" s="490">
        <v>28</v>
      </c>
      <c r="G257" s="490" t="s">
        <v>526</v>
      </c>
      <c r="H257" s="485" t="s">
        <v>1482</v>
      </c>
    </row>
    <row r="258" spans="1:8" x14ac:dyDescent="0.45">
      <c r="A258" s="486">
        <v>15</v>
      </c>
      <c r="B258" s="490" t="s">
        <v>1385</v>
      </c>
      <c r="C258" s="490" t="s">
        <v>1376</v>
      </c>
      <c r="D258" s="490" t="s">
        <v>1387</v>
      </c>
      <c r="E258" s="490" t="s">
        <v>1388</v>
      </c>
      <c r="F258" s="490">
        <v>28</v>
      </c>
      <c r="G258" s="490" t="s">
        <v>508</v>
      </c>
      <c r="H258" s="485" t="s">
        <v>1382</v>
      </c>
    </row>
    <row r="259" spans="1:8" x14ac:dyDescent="0.45">
      <c r="A259" s="486">
        <v>16</v>
      </c>
      <c r="B259" s="490" t="s">
        <v>1385</v>
      </c>
      <c r="C259" s="490" t="s">
        <v>1372</v>
      </c>
      <c r="D259" s="490" t="s">
        <v>1387</v>
      </c>
      <c r="E259" s="490" t="s">
        <v>1388</v>
      </c>
      <c r="F259" s="490">
        <v>120</v>
      </c>
      <c r="G259" s="490" t="s">
        <v>508</v>
      </c>
      <c r="H259" s="485" t="s">
        <v>1382</v>
      </c>
    </row>
    <row r="260" spans="1:8" x14ac:dyDescent="0.45">
      <c r="A260" s="486">
        <v>17</v>
      </c>
      <c r="B260" s="490" t="s">
        <v>1385</v>
      </c>
      <c r="C260" s="490" t="s">
        <v>1367</v>
      </c>
      <c r="D260" s="490" t="s">
        <v>1387</v>
      </c>
      <c r="E260" s="490" t="s">
        <v>1388</v>
      </c>
      <c r="F260" s="490">
        <f>6*28</f>
        <v>168</v>
      </c>
      <c r="G260" s="490" t="s">
        <v>526</v>
      </c>
      <c r="H260" s="485" t="s">
        <v>1382</v>
      </c>
    </row>
    <row r="261" spans="1:8" x14ac:dyDescent="0.45">
      <c r="A261" s="486">
        <v>18</v>
      </c>
      <c r="B261" s="490" t="s">
        <v>1385</v>
      </c>
      <c r="C261" s="490" t="s">
        <v>1376</v>
      </c>
      <c r="D261" s="490" t="s">
        <v>1387</v>
      </c>
      <c r="E261" s="490" t="s">
        <v>1388</v>
      </c>
      <c r="F261" s="490">
        <v>28</v>
      </c>
      <c r="G261" s="490" t="s">
        <v>508</v>
      </c>
      <c r="H261" s="485" t="s">
        <v>1382</v>
      </c>
    </row>
    <row r="262" spans="1:8" x14ac:dyDescent="0.45">
      <c r="A262" s="486">
        <v>19</v>
      </c>
      <c r="B262" s="490" t="s">
        <v>1374</v>
      </c>
      <c r="C262" s="490" t="s">
        <v>1429</v>
      </c>
      <c r="D262" s="490" t="s">
        <v>322</v>
      </c>
      <c r="E262" s="490" t="s">
        <v>1388</v>
      </c>
      <c r="F262" s="490">
        <v>28</v>
      </c>
      <c r="G262" s="490" t="s">
        <v>508</v>
      </c>
      <c r="H262" s="485" t="s">
        <v>1382</v>
      </c>
    </row>
    <row r="263" spans="1:8" x14ac:dyDescent="0.45">
      <c r="A263" s="486">
        <v>20</v>
      </c>
      <c r="B263" s="479" t="s">
        <v>1377</v>
      </c>
      <c r="C263" s="479" t="s">
        <v>1378</v>
      </c>
      <c r="D263" s="479" t="s">
        <v>322</v>
      </c>
      <c r="E263" s="479" t="s">
        <v>1388</v>
      </c>
      <c r="F263" s="490">
        <v>28</v>
      </c>
      <c r="G263" s="490" t="s">
        <v>508</v>
      </c>
      <c r="H263" s="485" t="s">
        <v>1382</v>
      </c>
    </row>
    <row r="264" spans="1:8" x14ac:dyDescent="0.45">
      <c r="A264" s="486">
        <v>21</v>
      </c>
      <c r="B264" s="479" t="s">
        <v>1402</v>
      </c>
      <c r="C264" s="479" t="s">
        <v>1452</v>
      </c>
      <c r="D264" s="479" t="s">
        <v>322</v>
      </c>
      <c r="E264" s="479" t="s">
        <v>1437</v>
      </c>
      <c r="F264" s="490">
        <f>F263*4</f>
        <v>112</v>
      </c>
      <c r="G264" s="490" t="s">
        <v>508</v>
      </c>
      <c r="H264" s="485" t="s">
        <v>1382</v>
      </c>
    </row>
    <row r="265" spans="1:8" x14ac:dyDescent="0.45">
      <c r="A265" s="486">
        <v>22</v>
      </c>
      <c r="B265" s="479" t="s">
        <v>1402</v>
      </c>
      <c r="C265" s="479" t="s">
        <v>1438</v>
      </c>
      <c r="D265" s="479" t="s">
        <v>322</v>
      </c>
      <c r="E265" s="479" t="s">
        <v>1437</v>
      </c>
      <c r="F265" s="490">
        <v>112</v>
      </c>
      <c r="G265" s="490" t="s">
        <v>508</v>
      </c>
      <c r="H265" s="485" t="s">
        <v>1382</v>
      </c>
    </row>
    <row r="266" spans="1:8" x14ac:dyDescent="0.45">
      <c r="A266" s="486">
        <v>23</v>
      </c>
      <c r="B266" s="490" t="s">
        <v>1483</v>
      </c>
      <c r="C266" s="490" t="s">
        <v>1456</v>
      </c>
      <c r="D266" s="490" t="s">
        <v>1387</v>
      </c>
      <c r="E266" s="490" t="s">
        <v>1388</v>
      </c>
      <c r="F266" s="490">
        <v>28</v>
      </c>
      <c r="G266" s="490" t="s">
        <v>508</v>
      </c>
      <c r="H266" s="485" t="s">
        <v>1382</v>
      </c>
    </row>
    <row r="267" spans="1:8" x14ac:dyDescent="0.45">
      <c r="A267" s="486">
        <v>24</v>
      </c>
      <c r="B267" s="490" t="s">
        <v>1398</v>
      </c>
      <c r="C267" s="490" t="s">
        <v>1401</v>
      </c>
      <c r="D267" s="490" t="s">
        <v>1387</v>
      </c>
      <c r="E267" s="490" t="s">
        <v>1388</v>
      </c>
      <c r="F267" s="490">
        <v>28</v>
      </c>
      <c r="G267" s="490" t="s">
        <v>508</v>
      </c>
      <c r="H267" s="485" t="s">
        <v>1382</v>
      </c>
    </row>
    <row r="268" spans="1:8" x14ac:dyDescent="0.45">
      <c r="A268" s="486">
        <v>25</v>
      </c>
      <c r="B268" s="490" t="s">
        <v>1398</v>
      </c>
      <c r="C268" s="490" t="s">
        <v>1367</v>
      </c>
      <c r="D268" s="490" t="s">
        <v>1387</v>
      </c>
      <c r="E268" s="490" t="s">
        <v>1388</v>
      </c>
      <c r="F268" s="490">
        <v>10</v>
      </c>
      <c r="G268" s="490" t="s">
        <v>526</v>
      </c>
      <c r="H268" s="485" t="s">
        <v>12</v>
      </c>
    </row>
    <row r="269" spans="1:8" x14ac:dyDescent="0.45">
      <c r="A269" s="486">
        <v>26</v>
      </c>
      <c r="B269" s="490" t="s">
        <v>1398</v>
      </c>
      <c r="C269" s="490" t="s">
        <v>1367</v>
      </c>
      <c r="D269" s="490" t="s">
        <v>1387</v>
      </c>
      <c r="E269" s="490" t="s">
        <v>1388</v>
      </c>
      <c r="F269" s="490">
        <v>50</v>
      </c>
      <c r="G269" s="490" t="s">
        <v>526</v>
      </c>
      <c r="H269" s="485" t="s">
        <v>152</v>
      </c>
    </row>
    <row r="270" spans="1:8" x14ac:dyDescent="0.45">
      <c r="A270" s="486">
        <v>27</v>
      </c>
      <c r="B270" s="490" t="s">
        <v>1398</v>
      </c>
      <c r="C270" s="490" t="s">
        <v>1367</v>
      </c>
      <c r="D270" s="490" t="s">
        <v>1387</v>
      </c>
      <c r="E270" s="490" t="s">
        <v>1388</v>
      </c>
      <c r="F270" s="490">
        <v>50</v>
      </c>
      <c r="G270" s="490" t="s">
        <v>526</v>
      </c>
      <c r="H270" s="485" t="s">
        <v>153</v>
      </c>
    </row>
    <row r="271" spans="1:8" x14ac:dyDescent="0.45">
      <c r="A271" s="486">
        <v>28</v>
      </c>
      <c r="B271" s="490" t="s">
        <v>1398</v>
      </c>
      <c r="C271" s="490" t="s">
        <v>1367</v>
      </c>
      <c r="D271" s="490" t="s">
        <v>1387</v>
      </c>
      <c r="E271" s="490" t="s">
        <v>1388</v>
      </c>
      <c r="F271" s="490">
        <v>20</v>
      </c>
      <c r="G271" s="490" t="s">
        <v>526</v>
      </c>
      <c r="H271" s="485" t="s">
        <v>154</v>
      </c>
    </row>
    <row r="272" spans="1:8" x14ac:dyDescent="0.45">
      <c r="A272" s="486">
        <v>29</v>
      </c>
      <c r="B272" s="490" t="s">
        <v>1398</v>
      </c>
      <c r="C272" s="490" t="s">
        <v>1367</v>
      </c>
      <c r="D272" s="490" t="s">
        <v>1387</v>
      </c>
      <c r="E272" s="490" t="s">
        <v>1388</v>
      </c>
      <c r="F272" s="490">
        <v>50</v>
      </c>
      <c r="G272" s="490" t="s">
        <v>526</v>
      </c>
      <c r="H272" s="485" t="s">
        <v>155</v>
      </c>
    </row>
    <row r="273" spans="1:8" x14ac:dyDescent="0.45">
      <c r="A273" s="486">
        <v>30</v>
      </c>
      <c r="B273" s="490" t="s">
        <v>1398</v>
      </c>
      <c r="C273" s="490" t="s">
        <v>1367</v>
      </c>
      <c r="D273" s="490" t="s">
        <v>1387</v>
      </c>
      <c r="E273" s="490" t="s">
        <v>1388</v>
      </c>
      <c r="F273" s="490">
        <v>50</v>
      </c>
      <c r="G273" s="490" t="s">
        <v>526</v>
      </c>
      <c r="H273" s="485" t="s">
        <v>156</v>
      </c>
    </row>
    <row r="274" spans="1:8" x14ac:dyDescent="0.45">
      <c r="A274" s="486">
        <v>31</v>
      </c>
      <c r="B274" s="490" t="s">
        <v>1398</v>
      </c>
      <c r="C274" s="490" t="s">
        <v>1367</v>
      </c>
      <c r="D274" s="490" t="s">
        <v>1387</v>
      </c>
      <c r="E274" s="490" t="s">
        <v>1388</v>
      </c>
      <c r="F274" s="490">
        <v>50</v>
      </c>
      <c r="G274" s="490" t="s">
        <v>526</v>
      </c>
      <c r="H274" s="485" t="s">
        <v>157</v>
      </c>
    </row>
    <row r="275" spans="1:8" x14ac:dyDescent="0.45">
      <c r="A275" s="486">
        <v>32</v>
      </c>
      <c r="B275" s="490" t="s">
        <v>1398</v>
      </c>
      <c r="C275" s="490" t="s">
        <v>1367</v>
      </c>
      <c r="D275" s="490" t="s">
        <v>1387</v>
      </c>
      <c r="E275" s="490" t="s">
        <v>1388</v>
      </c>
      <c r="F275" s="490">
        <v>50</v>
      </c>
      <c r="G275" s="490" t="s">
        <v>526</v>
      </c>
      <c r="H275" s="485" t="s">
        <v>158</v>
      </c>
    </row>
    <row r="276" spans="1:8" x14ac:dyDescent="0.45">
      <c r="A276" s="486">
        <v>33</v>
      </c>
      <c r="B276" s="490" t="s">
        <v>1398</v>
      </c>
      <c r="C276" s="490" t="s">
        <v>1367</v>
      </c>
      <c r="D276" s="490" t="s">
        <v>1387</v>
      </c>
      <c r="E276" s="490" t="s">
        <v>1388</v>
      </c>
      <c r="F276" s="490">
        <v>50</v>
      </c>
      <c r="G276" s="490" t="s">
        <v>526</v>
      </c>
      <c r="H276" s="485" t="s">
        <v>159</v>
      </c>
    </row>
    <row r="277" spans="1:8" x14ac:dyDescent="0.45">
      <c r="A277" s="486">
        <v>34</v>
      </c>
      <c r="B277" s="490" t="s">
        <v>1398</v>
      </c>
      <c r="C277" s="490" t="s">
        <v>1367</v>
      </c>
      <c r="D277" s="490" t="s">
        <v>1387</v>
      </c>
      <c r="E277" s="490" t="s">
        <v>1388</v>
      </c>
      <c r="F277" s="490">
        <v>20</v>
      </c>
      <c r="G277" s="490" t="s">
        <v>526</v>
      </c>
      <c r="H277" s="485" t="s">
        <v>160</v>
      </c>
    </row>
    <row r="278" spans="1:8" x14ac:dyDescent="0.45">
      <c r="A278" s="486">
        <v>35</v>
      </c>
      <c r="B278" s="490" t="s">
        <v>1398</v>
      </c>
      <c r="C278" s="490" t="s">
        <v>1367</v>
      </c>
      <c r="D278" s="490" t="s">
        <v>1387</v>
      </c>
      <c r="E278" s="490" t="s">
        <v>1388</v>
      </c>
      <c r="F278" s="490">
        <v>50</v>
      </c>
      <c r="G278" s="490" t="s">
        <v>526</v>
      </c>
      <c r="H278" s="485" t="s">
        <v>161</v>
      </c>
    </row>
    <row r="279" spans="1:8" x14ac:dyDescent="0.45">
      <c r="A279" s="486">
        <v>36</v>
      </c>
      <c r="B279" s="490" t="s">
        <v>1398</v>
      </c>
      <c r="C279" s="490" t="s">
        <v>1367</v>
      </c>
      <c r="D279" s="490" t="s">
        <v>1387</v>
      </c>
      <c r="E279" s="490" t="s">
        <v>1388</v>
      </c>
      <c r="F279" s="490">
        <v>50</v>
      </c>
      <c r="G279" s="490" t="s">
        <v>526</v>
      </c>
      <c r="H279" s="485" t="s">
        <v>162</v>
      </c>
    </row>
    <row r="280" spans="1:8" x14ac:dyDescent="0.45">
      <c r="A280" s="486">
        <v>37</v>
      </c>
      <c r="B280" s="490" t="s">
        <v>1398</v>
      </c>
      <c r="C280" s="490" t="s">
        <v>1367</v>
      </c>
      <c r="D280" s="490" t="s">
        <v>1387</v>
      </c>
      <c r="E280" s="490" t="s">
        <v>1388</v>
      </c>
      <c r="F280" s="490">
        <v>50</v>
      </c>
      <c r="G280" s="490" t="s">
        <v>526</v>
      </c>
      <c r="H280" s="485" t="s">
        <v>163</v>
      </c>
    </row>
    <row r="281" spans="1:8" x14ac:dyDescent="0.45">
      <c r="A281" s="486">
        <v>38</v>
      </c>
      <c r="B281" s="490" t="s">
        <v>1398</v>
      </c>
      <c r="C281" s="490" t="s">
        <v>1367</v>
      </c>
      <c r="D281" s="490" t="s">
        <v>1387</v>
      </c>
      <c r="E281" s="490" t="s">
        <v>1388</v>
      </c>
      <c r="F281" s="490">
        <v>10</v>
      </c>
      <c r="G281" s="490" t="s">
        <v>526</v>
      </c>
      <c r="H281" s="485" t="s">
        <v>164</v>
      </c>
    </row>
    <row r="282" spans="1:8" x14ac:dyDescent="0.45">
      <c r="A282" s="486">
        <v>39</v>
      </c>
      <c r="B282" s="490" t="s">
        <v>1398</v>
      </c>
      <c r="C282" s="490" t="s">
        <v>1367</v>
      </c>
      <c r="D282" s="490" t="s">
        <v>1387</v>
      </c>
      <c r="E282" s="490" t="s">
        <v>1388</v>
      </c>
      <c r="F282" s="490">
        <v>50</v>
      </c>
      <c r="G282" s="490" t="s">
        <v>526</v>
      </c>
      <c r="H282" s="485" t="s">
        <v>165</v>
      </c>
    </row>
    <row r="283" spans="1:8" x14ac:dyDescent="0.45">
      <c r="A283" s="486">
        <v>40</v>
      </c>
      <c r="B283" s="490" t="s">
        <v>1398</v>
      </c>
      <c r="C283" s="490" t="s">
        <v>1367</v>
      </c>
      <c r="D283" s="490" t="s">
        <v>1387</v>
      </c>
      <c r="E283" s="490" t="s">
        <v>1388</v>
      </c>
      <c r="F283" s="490">
        <v>10</v>
      </c>
      <c r="G283" s="490" t="s">
        <v>526</v>
      </c>
      <c r="H283" s="485" t="s">
        <v>166</v>
      </c>
    </row>
    <row r="284" spans="1:8" x14ac:dyDescent="0.45">
      <c r="A284" s="486">
        <v>41</v>
      </c>
      <c r="B284" s="490" t="s">
        <v>1398</v>
      </c>
      <c r="C284" s="490" t="s">
        <v>1367</v>
      </c>
      <c r="D284" s="490" t="s">
        <v>1387</v>
      </c>
      <c r="E284" s="490" t="s">
        <v>1388</v>
      </c>
      <c r="F284" s="490">
        <v>10</v>
      </c>
      <c r="G284" s="490" t="s">
        <v>526</v>
      </c>
      <c r="H284" s="485" t="s">
        <v>167</v>
      </c>
    </row>
    <row r="285" spans="1:8" x14ac:dyDescent="0.45">
      <c r="A285" s="486">
        <v>42</v>
      </c>
      <c r="B285" s="490" t="s">
        <v>1398</v>
      </c>
      <c r="C285" s="490" t="s">
        <v>1367</v>
      </c>
      <c r="D285" s="490" t="s">
        <v>1387</v>
      </c>
      <c r="E285" s="490" t="s">
        <v>1388</v>
      </c>
      <c r="F285" s="490">
        <v>50</v>
      </c>
      <c r="G285" s="490" t="s">
        <v>526</v>
      </c>
      <c r="H285" s="485" t="s">
        <v>168</v>
      </c>
    </row>
    <row r="286" spans="1:8" x14ac:dyDescent="0.45">
      <c r="A286" s="486">
        <v>43</v>
      </c>
      <c r="B286" s="490" t="s">
        <v>1398</v>
      </c>
      <c r="C286" s="490" t="s">
        <v>1367</v>
      </c>
      <c r="D286" s="490" t="s">
        <v>1387</v>
      </c>
      <c r="E286" s="490" t="s">
        <v>1388</v>
      </c>
      <c r="F286" s="490">
        <v>20</v>
      </c>
      <c r="G286" s="490" t="s">
        <v>526</v>
      </c>
      <c r="H286" s="485" t="s">
        <v>33</v>
      </c>
    </row>
    <row r="287" spans="1:8" x14ac:dyDescent="0.45">
      <c r="A287" s="486">
        <v>44</v>
      </c>
      <c r="B287" s="490" t="s">
        <v>1398</v>
      </c>
      <c r="C287" s="490" t="s">
        <v>1367</v>
      </c>
      <c r="D287" s="490" t="s">
        <v>1387</v>
      </c>
      <c r="E287" s="490" t="s">
        <v>1388</v>
      </c>
      <c r="F287" s="490">
        <v>20</v>
      </c>
      <c r="G287" s="490" t="s">
        <v>526</v>
      </c>
      <c r="H287" s="485" t="s">
        <v>35</v>
      </c>
    </row>
    <row r="288" spans="1:8" x14ac:dyDescent="0.45">
      <c r="A288" s="486">
        <v>45</v>
      </c>
      <c r="B288" s="490" t="s">
        <v>1398</v>
      </c>
      <c r="C288" s="490" t="s">
        <v>1367</v>
      </c>
      <c r="D288" s="490" t="s">
        <v>1387</v>
      </c>
      <c r="E288" s="490" t="s">
        <v>1388</v>
      </c>
      <c r="F288" s="490">
        <v>50</v>
      </c>
      <c r="G288" s="490" t="s">
        <v>526</v>
      </c>
      <c r="H288" s="485" t="s">
        <v>171</v>
      </c>
    </row>
    <row r="289" spans="1:8" x14ac:dyDescent="0.45">
      <c r="A289" s="486">
        <v>46</v>
      </c>
      <c r="B289" s="490" t="s">
        <v>1398</v>
      </c>
      <c r="C289" s="490" t="s">
        <v>1367</v>
      </c>
      <c r="D289" s="490" t="s">
        <v>1387</v>
      </c>
      <c r="E289" s="490" t="s">
        <v>1388</v>
      </c>
      <c r="F289" s="490">
        <v>20</v>
      </c>
      <c r="G289" s="490" t="s">
        <v>526</v>
      </c>
      <c r="H289" s="485" t="s">
        <v>172</v>
      </c>
    </row>
    <row r="290" spans="1:8" x14ac:dyDescent="0.45">
      <c r="A290" s="486">
        <v>47</v>
      </c>
      <c r="B290" s="490" t="s">
        <v>1398</v>
      </c>
      <c r="C290" s="490" t="s">
        <v>1367</v>
      </c>
      <c r="D290" s="490" t="s">
        <v>1387</v>
      </c>
      <c r="E290" s="490" t="s">
        <v>1388</v>
      </c>
      <c r="F290" s="490">
        <v>20</v>
      </c>
      <c r="G290" s="490" t="s">
        <v>526</v>
      </c>
      <c r="H290" s="485" t="s">
        <v>173</v>
      </c>
    </row>
    <row r="291" spans="1:8" x14ac:dyDescent="0.45">
      <c r="A291" s="486">
        <v>48</v>
      </c>
      <c r="B291" s="490" t="s">
        <v>1398</v>
      </c>
      <c r="C291" s="490" t="s">
        <v>1367</v>
      </c>
      <c r="D291" s="490" t="s">
        <v>1387</v>
      </c>
      <c r="E291" s="490" t="s">
        <v>1388</v>
      </c>
      <c r="F291" s="490">
        <v>20</v>
      </c>
      <c r="G291" s="490" t="s">
        <v>526</v>
      </c>
      <c r="H291" s="485" t="s">
        <v>174</v>
      </c>
    </row>
    <row r="292" spans="1:8" x14ac:dyDescent="0.45">
      <c r="A292" s="486">
        <v>49</v>
      </c>
      <c r="B292" s="490" t="s">
        <v>1398</v>
      </c>
      <c r="C292" s="490" t="s">
        <v>1367</v>
      </c>
      <c r="D292" s="490" t="s">
        <v>1387</v>
      </c>
      <c r="E292" s="490" t="s">
        <v>1388</v>
      </c>
      <c r="F292" s="490">
        <v>150</v>
      </c>
      <c r="G292" s="490" t="s">
        <v>526</v>
      </c>
      <c r="H292" s="485" t="s">
        <v>175</v>
      </c>
    </row>
    <row r="293" spans="1:8" x14ac:dyDescent="0.45">
      <c r="A293" s="486">
        <v>50</v>
      </c>
      <c r="B293" s="490" t="s">
        <v>1398</v>
      </c>
      <c r="C293" s="490" t="s">
        <v>1367</v>
      </c>
      <c r="D293" s="490" t="s">
        <v>1387</v>
      </c>
      <c r="E293" s="490" t="s">
        <v>1388</v>
      </c>
      <c r="F293" s="490">
        <v>20</v>
      </c>
      <c r="G293" s="490" t="s">
        <v>526</v>
      </c>
      <c r="H293" s="485" t="s">
        <v>176</v>
      </c>
    </row>
    <row r="294" spans="1:8" x14ac:dyDescent="0.45">
      <c r="A294" s="486">
        <v>51</v>
      </c>
      <c r="B294" s="490" t="s">
        <v>1398</v>
      </c>
      <c r="C294" s="490" t="s">
        <v>1367</v>
      </c>
      <c r="D294" s="490" t="s">
        <v>1387</v>
      </c>
      <c r="E294" s="490" t="s">
        <v>1388</v>
      </c>
      <c r="F294" s="490">
        <v>50</v>
      </c>
      <c r="G294" s="490" t="s">
        <v>526</v>
      </c>
      <c r="H294" s="485" t="s">
        <v>197</v>
      </c>
    </row>
    <row r="295" spans="1:8" x14ac:dyDescent="0.45">
      <c r="A295" s="486">
        <v>52</v>
      </c>
      <c r="B295" s="490" t="s">
        <v>1398</v>
      </c>
      <c r="C295" s="490" t="s">
        <v>1367</v>
      </c>
      <c r="D295" s="490" t="s">
        <v>1387</v>
      </c>
      <c r="E295" s="490" t="s">
        <v>1388</v>
      </c>
      <c r="F295" s="490">
        <v>150</v>
      </c>
      <c r="G295" s="490" t="s">
        <v>526</v>
      </c>
      <c r="H295" s="485" t="s">
        <v>198</v>
      </c>
    </row>
    <row r="296" spans="1:8" x14ac:dyDescent="0.45">
      <c r="A296" s="486">
        <v>53</v>
      </c>
      <c r="B296" s="490" t="s">
        <v>1398</v>
      </c>
      <c r="C296" s="490" t="s">
        <v>1372</v>
      </c>
      <c r="D296" s="490" t="s">
        <v>1387</v>
      </c>
      <c r="E296" s="490" t="s">
        <v>1388</v>
      </c>
      <c r="F296" s="490">
        <v>150</v>
      </c>
      <c r="G296" s="490" t="s">
        <v>508</v>
      </c>
      <c r="H296" s="485" t="s">
        <v>1484</v>
      </c>
    </row>
    <row r="297" spans="1:8" x14ac:dyDescent="0.45">
      <c r="A297" s="486">
        <v>54</v>
      </c>
      <c r="B297" s="490" t="s">
        <v>1398</v>
      </c>
      <c r="C297" s="490" t="s">
        <v>1367</v>
      </c>
      <c r="D297" s="490" t="s">
        <v>1387</v>
      </c>
      <c r="E297" s="490" t="s">
        <v>1471</v>
      </c>
      <c r="F297" s="490">
        <v>530</v>
      </c>
      <c r="G297" s="490" t="s">
        <v>526</v>
      </c>
      <c r="H297" s="485" t="s">
        <v>1485</v>
      </c>
    </row>
    <row r="298" spans="1:8" x14ac:dyDescent="0.45">
      <c r="A298" s="486">
        <v>55</v>
      </c>
      <c r="B298" s="490" t="s">
        <v>1398</v>
      </c>
      <c r="C298" s="490" t="s">
        <v>1367</v>
      </c>
      <c r="D298" s="490" t="s">
        <v>1387</v>
      </c>
      <c r="E298" s="490" t="s">
        <v>1471</v>
      </c>
      <c r="F298" s="490">
        <v>300</v>
      </c>
      <c r="G298" s="490" t="s">
        <v>526</v>
      </c>
      <c r="H298" s="485" t="s">
        <v>1486</v>
      </c>
    </row>
    <row r="299" spans="1:8" x14ac:dyDescent="0.45">
      <c r="A299" s="486">
        <v>56</v>
      </c>
      <c r="B299" s="490" t="s">
        <v>1398</v>
      </c>
      <c r="C299" s="490" t="s">
        <v>1367</v>
      </c>
      <c r="D299" s="490" t="s">
        <v>1387</v>
      </c>
      <c r="E299" s="490" t="s">
        <v>1471</v>
      </c>
      <c r="F299" s="490">
        <v>400</v>
      </c>
      <c r="G299" s="490" t="s">
        <v>526</v>
      </c>
      <c r="H299" s="485" t="s">
        <v>1487</v>
      </c>
    </row>
    <row r="300" spans="1:8" x14ac:dyDescent="0.45">
      <c r="A300" s="486">
        <v>57</v>
      </c>
      <c r="B300" s="490" t="s">
        <v>1398</v>
      </c>
      <c r="C300" s="490" t="s">
        <v>1367</v>
      </c>
      <c r="D300" s="490" t="s">
        <v>1387</v>
      </c>
      <c r="E300" s="490" t="s">
        <v>1471</v>
      </c>
      <c r="F300" s="490">
        <v>500</v>
      </c>
      <c r="G300" s="490" t="s">
        <v>526</v>
      </c>
      <c r="H300" s="485" t="s">
        <v>1488</v>
      </c>
    </row>
    <row r="301" spans="1:8" x14ac:dyDescent="0.45">
      <c r="A301" s="486">
        <v>58</v>
      </c>
      <c r="B301" s="490" t="s">
        <v>1398</v>
      </c>
      <c r="C301" s="490" t="s">
        <v>1394</v>
      </c>
      <c r="D301" s="490" t="s">
        <v>1387</v>
      </c>
      <c r="E301" s="490" t="s">
        <v>1489</v>
      </c>
      <c r="F301" s="490">
        <v>35</v>
      </c>
      <c r="G301" s="490" t="s">
        <v>508</v>
      </c>
      <c r="H301" s="485" t="s">
        <v>1490</v>
      </c>
    </row>
    <row r="302" spans="1:8" x14ac:dyDescent="0.45">
      <c r="A302" s="486">
        <v>59</v>
      </c>
      <c r="B302" s="490" t="s">
        <v>1398</v>
      </c>
      <c r="C302" s="490" t="s">
        <v>1383</v>
      </c>
      <c r="D302" s="490" t="s">
        <v>1387</v>
      </c>
      <c r="E302" s="490" t="s">
        <v>1471</v>
      </c>
      <c r="F302" s="490">
        <v>35</v>
      </c>
      <c r="G302" s="490" t="s">
        <v>508</v>
      </c>
      <c r="H302" s="485" t="s">
        <v>1490</v>
      </c>
    </row>
    <row r="303" spans="1:8" x14ac:dyDescent="0.45">
      <c r="A303" s="417">
        <v>60</v>
      </c>
      <c r="B303" s="491" t="s">
        <v>1398</v>
      </c>
      <c r="C303" s="491" t="s">
        <v>1372</v>
      </c>
      <c r="D303" s="491" t="s">
        <v>1387</v>
      </c>
      <c r="E303" s="491" t="s">
        <v>1471</v>
      </c>
      <c r="F303" s="491">
        <v>150</v>
      </c>
      <c r="G303" s="491" t="s">
        <v>508</v>
      </c>
      <c r="H303" s="418" t="s">
        <v>1490</v>
      </c>
    </row>
    <row r="305" spans="1:9" ht="15.75" x14ac:dyDescent="0.45">
      <c r="A305" s="619" t="s">
        <v>882</v>
      </c>
      <c r="B305" s="620"/>
      <c r="C305" s="620"/>
      <c r="D305" s="620"/>
      <c r="E305" s="620"/>
      <c r="F305" s="620"/>
      <c r="G305" s="620"/>
      <c r="H305" s="620"/>
    </row>
    <row r="306" spans="1:9" ht="15.75" x14ac:dyDescent="0.45">
      <c r="A306" s="419" t="s">
        <v>882</v>
      </c>
      <c r="B306" s="420" t="s">
        <v>1420</v>
      </c>
      <c r="C306" s="420" t="s">
        <v>1421</v>
      </c>
      <c r="D306" s="420" t="s">
        <v>1422</v>
      </c>
      <c r="E306" s="420" t="s">
        <v>1423</v>
      </c>
      <c r="F306" s="420" t="s">
        <v>1424</v>
      </c>
      <c r="G306" s="420" t="s">
        <v>1425</v>
      </c>
      <c r="H306" s="421" t="s">
        <v>1426</v>
      </c>
      <c r="I306" s="420" t="s">
        <v>1427</v>
      </c>
    </row>
    <row r="307" spans="1:9" ht="15.75" x14ac:dyDescent="0.45">
      <c r="A307" s="495" t="s">
        <v>501</v>
      </c>
      <c r="B307" s="493" t="s">
        <v>676</v>
      </c>
      <c r="C307" s="493" t="s">
        <v>1082</v>
      </c>
      <c r="D307" s="493" t="s">
        <v>876</v>
      </c>
      <c r="E307" s="493" t="s">
        <v>353</v>
      </c>
      <c r="F307" s="493" t="s">
        <v>105</v>
      </c>
      <c r="G307" s="493" t="s">
        <v>1364</v>
      </c>
      <c r="H307" s="494" t="s">
        <v>505</v>
      </c>
      <c r="I307" s="492"/>
    </row>
    <row r="308" spans="1:9" x14ac:dyDescent="0.45">
      <c r="A308" s="486">
        <v>1</v>
      </c>
      <c r="B308" s="490" t="s">
        <v>1491</v>
      </c>
      <c r="C308" s="490" t="s">
        <v>1492</v>
      </c>
      <c r="D308" s="490" t="s">
        <v>1387</v>
      </c>
      <c r="E308" s="490" t="s">
        <v>1471</v>
      </c>
      <c r="F308" s="490">
        <v>28</v>
      </c>
      <c r="G308" s="490" t="s">
        <v>508</v>
      </c>
      <c r="H308" s="485" t="s">
        <v>1477</v>
      </c>
      <c r="I308" s="490">
        <v>12</v>
      </c>
    </row>
    <row r="309" spans="1:9" x14ac:dyDescent="0.45">
      <c r="A309" s="486">
        <v>2</v>
      </c>
      <c r="B309" s="490" t="s">
        <v>1392</v>
      </c>
      <c r="C309" s="490" t="s">
        <v>1493</v>
      </c>
      <c r="D309" s="490" t="s">
        <v>322</v>
      </c>
      <c r="E309" s="490" t="s">
        <v>1471</v>
      </c>
      <c r="F309" s="490">
        <v>50</v>
      </c>
      <c r="G309" s="490" t="s">
        <v>508</v>
      </c>
      <c r="H309" s="485" t="s">
        <v>1477</v>
      </c>
      <c r="I309" s="490"/>
    </row>
    <row r="310" spans="1:9" x14ac:dyDescent="0.45">
      <c r="A310" s="486">
        <v>3</v>
      </c>
      <c r="B310" s="490" t="s">
        <v>1398</v>
      </c>
      <c r="C310" s="490" t="s">
        <v>1494</v>
      </c>
      <c r="D310" s="490" t="s">
        <v>1387</v>
      </c>
      <c r="E310" s="490" t="s">
        <v>1471</v>
      </c>
      <c r="F310" s="490">
        <v>200</v>
      </c>
      <c r="G310" s="490" t="s">
        <v>508</v>
      </c>
      <c r="H310" s="485" t="s">
        <v>1477</v>
      </c>
      <c r="I310" s="490"/>
    </row>
    <row r="311" spans="1:9" x14ac:dyDescent="0.45">
      <c r="A311" s="486">
        <v>4</v>
      </c>
      <c r="B311" s="490" t="s">
        <v>1377</v>
      </c>
      <c r="C311" s="490" t="s">
        <v>1378</v>
      </c>
      <c r="D311" s="490" t="s">
        <v>322</v>
      </c>
      <c r="E311" s="490" t="s">
        <v>1471</v>
      </c>
      <c r="F311" s="490">
        <v>400</v>
      </c>
      <c r="G311" s="490" t="s">
        <v>508</v>
      </c>
      <c r="H311" s="485" t="s">
        <v>1477</v>
      </c>
      <c r="I311" s="490"/>
    </row>
    <row r="312" spans="1:9" x14ac:dyDescent="0.45">
      <c r="A312" s="486">
        <v>5</v>
      </c>
      <c r="B312" s="490" t="s">
        <v>1402</v>
      </c>
      <c r="C312" s="490" t="s">
        <v>1495</v>
      </c>
      <c r="D312" s="490" t="s">
        <v>322</v>
      </c>
      <c r="E312" s="490" t="s">
        <v>1437</v>
      </c>
      <c r="F312" s="490">
        <v>1200</v>
      </c>
      <c r="G312" s="490" t="s">
        <v>508</v>
      </c>
      <c r="H312" s="485" t="s">
        <v>1477</v>
      </c>
      <c r="I312" s="490"/>
    </row>
    <row r="313" spans="1:9" x14ac:dyDescent="0.45">
      <c r="A313" s="486">
        <v>6</v>
      </c>
      <c r="B313" s="490" t="s">
        <v>1402</v>
      </c>
      <c r="C313" s="490" t="s">
        <v>1438</v>
      </c>
      <c r="D313" s="490" t="s">
        <v>322</v>
      </c>
      <c r="E313" s="490" t="s">
        <v>1437</v>
      </c>
      <c r="F313" s="490">
        <v>2400</v>
      </c>
      <c r="G313" s="490" t="s">
        <v>508</v>
      </c>
      <c r="H313" s="485" t="s">
        <v>1477</v>
      </c>
      <c r="I313" s="490"/>
    </row>
    <row r="314" spans="1:9" x14ac:dyDescent="0.45">
      <c r="A314" s="486">
        <v>7</v>
      </c>
      <c r="B314" s="490" t="s">
        <v>1398</v>
      </c>
      <c r="C314" s="490" t="s">
        <v>1367</v>
      </c>
      <c r="D314" s="490" t="s">
        <v>1387</v>
      </c>
      <c r="E314" s="490" t="s">
        <v>1471</v>
      </c>
      <c r="F314" s="490">
        <v>6500</v>
      </c>
      <c r="G314" s="490" t="s">
        <v>526</v>
      </c>
      <c r="H314" s="485" t="s">
        <v>1397</v>
      </c>
      <c r="I314" s="490"/>
    </row>
    <row r="315" spans="1:9" x14ac:dyDescent="0.45">
      <c r="A315" s="486">
        <v>8</v>
      </c>
      <c r="B315" s="490" t="s">
        <v>1398</v>
      </c>
      <c r="C315" s="490" t="s">
        <v>1372</v>
      </c>
      <c r="D315" s="490" t="s">
        <v>1387</v>
      </c>
      <c r="E315" s="490" t="s">
        <v>1471</v>
      </c>
      <c r="F315" s="490">
        <v>400</v>
      </c>
      <c r="G315" s="490" t="s">
        <v>508</v>
      </c>
      <c r="H315" s="485" t="s">
        <v>1397</v>
      </c>
      <c r="I315" s="490"/>
    </row>
    <row r="316" spans="1:9" x14ac:dyDescent="0.45">
      <c r="A316" s="486">
        <v>9</v>
      </c>
      <c r="B316" s="490" t="s">
        <v>1398</v>
      </c>
      <c r="C316" s="490" t="s">
        <v>1383</v>
      </c>
      <c r="D316" s="490" t="s">
        <v>1387</v>
      </c>
      <c r="E316" s="490" t="s">
        <v>1471</v>
      </c>
      <c r="F316" s="490">
        <v>100</v>
      </c>
      <c r="G316" s="490" t="s">
        <v>508</v>
      </c>
      <c r="H316" s="485" t="s">
        <v>1397</v>
      </c>
      <c r="I316" s="490"/>
    </row>
    <row r="317" spans="1:9" x14ac:dyDescent="0.45">
      <c r="A317" s="486">
        <v>10</v>
      </c>
      <c r="B317" s="490" t="s">
        <v>1392</v>
      </c>
      <c r="C317" s="490" t="s">
        <v>1496</v>
      </c>
      <c r="D317" s="490" t="s">
        <v>1387</v>
      </c>
      <c r="E317" s="490" t="s">
        <v>1471</v>
      </c>
      <c r="F317" s="490">
        <v>28</v>
      </c>
      <c r="G317" s="490" t="s">
        <v>508</v>
      </c>
      <c r="H317" s="485" t="s">
        <v>1397</v>
      </c>
      <c r="I317" s="490"/>
    </row>
    <row r="318" spans="1:9" x14ac:dyDescent="0.45">
      <c r="A318" s="486">
        <v>11</v>
      </c>
      <c r="B318" s="490" t="s">
        <v>1398</v>
      </c>
      <c r="C318" s="490" t="s">
        <v>1494</v>
      </c>
      <c r="D318" s="490" t="s">
        <v>1387</v>
      </c>
      <c r="E318" s="490" t="s">
        <v>1471</v>
      </c>
      <c r="F318" s="490">
        <v>56</v>
      </c>
      <c r="G318" s="490" t="s">
        <v>508</v>
      </c>
      <c r="H318" s="485" t="s">
        <v>1397</v>
      </c>
      <c r="I318" s="490"/>
    </row>
    <row r="319" spans="1:9" x14ac:dyDescent="0.45">
      <c r="A319" s="486">
        <v>12</v>
      </c>
      <c r="B319" s="490" t="s">
        <v>1377</v>
      </c>
      <c r="C319" s="490" t="s">
        <v>1378</v>
      </c>
      <c r="D319" s="490" t="s">
        <v>1387</v>
      </c>
      <c r="E319" s="490" t="s">
        <v>1471</v>
      </c>
      <c r="F319" s="490">
        <v>56</v>
      </c>
      <c r="G319" s="490" t="s">
        <v>508</v>
      </c>
      <c r="H319" s="485" t="s">
        <v>1397</v>
      </c>
      <c r="I319" s="490"/>
    </row>
    <row r="320" spans="1:9" x14ac:dyDescent="0.45">
      <c r="A320" s="486">
        <v>13</v>
      </c>
      <c r="B320" s="490" t="s">
        <v>1402</v>
      </c>
      <c r="C320" s="490" t="s">
        <v>1495</v>
      </c>
      <c r="D320" s="490" t="s">
        <v>1387</v>
      </c>
      <c r="E320" s="490" t="s">
        <v>1437</v>
      </c>
      <c r="F320" s="490">
        <f>56*6</f>
        <v>336</v>
      </c>
      <c r="G320" s="490" t="s">
        <v>508</v>
      </c>
      <c r="H320" s="485" t="s">
        <v>1397</v>
      </c>
      <c r="I320" s="490"/>
    </row>
    <row r="321" spans="1:9" x14ac:dyDescent="0.45">
      <c r="A321" s="486">
        <v>14</v>
      </c>
      <c r="B321" s="490" t="s">
        <v>1402</v>
      </c>
      <c r="C321" s="490" t="s">
        <v>1438</v>
      </c>
      <c r="D321" s="490" t="s">
        <v>1387</v>
      </c>
      <c r="E321" s="490" t="s">
        <v>1437</v>
      </c>
      <c r="F321" s="490">
        <f>F320*2</f>
        <v>672</v>
      </c>
      <c r="G321" s="490" t="s">
        <v>508</v>
      </c>
      <c r="H321" s="485" t="s">
        <v>1397</v>
      </c>
      <c r="I321" s="490"/>
    </row>
    <row r="322" spans="1:9" x14ac:dyDescent="0.45">
      <c r="A322" s="486">
        <v>15</v>
      </c>
      <c r="B322" s="490" t="s">
        <v>1398</v>
      </c>
      <c r="C322" s="490" t="s">
        <v>1410</v>
      </c>
      <c r="D322" s="490" t="s">
        <v>1387</v>
      </c>
      <c r="E322" s="490" t="s">
        <v>1497</v>
      </c>
      <c r="F322" s="490">
        <v>1600</v>
      </c>
      <c r="G322" s="490" t="s">
        <v>508</v>
      </c>
      <c r="H322" s="485" t="s">
        <v>1498</v>
      </c>
      <c r="I322" s="490"/>
    </row>
    <row r="323" spans="1:9" x14ac:dyDescent="0.45">
      <c r="A323" s="486">
        <v>16</v>
      </c>
      <c r="B323" s="490" t="s">
        <v>1385</v>
      </c>
      <c r="C323" s="490" t="s">
        <v>1384</v>
      </c>
      <c r="D323" s="490" t="s">
        <v>1387</v>
      </c>
      <c r="E323" s="490" t="s">
        <v>1499</v>
      </c>
      <c r="F323" s="490">
        <v>1600</v>
      </c>
      <c r="G323" s="490" t="s">
        <v>508</v>
      </c>
      <c r="H323" s="485" t="s">
        <v>1498</v>
      </c>
      <c r="I323" s="490"/>
    </row>
    <row r="324" spans="1:9" x14ac:dyDescent="0.45">
      <c r="A324" s="486">
        <v>17</v>
      </c>
      <c r="B324" s="490" t="s">
        <v>1385</v>
      </c>
      <c r="C324" s="490" t="s">
        <v>1376</v>
      </c>
      <c r="D324" s="490" t="s">
        <v>1387</v>
      </c>
      <c r="E324" s="490" t="s">
        <v>1499</v>
      </c>
      <c r="F324" s="490">
        <v>1600</v>
      </c>
      <c r="G324" s="490" t="s">
        <v>508</v>
      </c>
      <c r="H324" s="485" t="s">
        <v>1498</v>
      </c>
      <c r="I324" s="490"/>
    </row>
    <row r="325" spans="1:9" x14ac:dyDescent="0.45">
      <c r="A325" s="486">
        <v>18</v>
      </c>
      <c r="B325" s="490" t="s">
        <v>1385</v>
      </c>
      <c r="C325" s="490" t="s">
        <v>1367</v>
      </c>
      <c r="D325" s="490" t="s">
        <v>1387</v>
      </c>
      <c r="E325" s="490" t="s">
        <v>1499</v>
      </c>
      <c r="F325" s="490">
        <v>800</v>
      </c>
      <c r="G325" s="490" t="s">
        <v>526</v>
      </c>
      <c r="H325" s="485" t="s">
        <v>1498</v>
      </c>
      <c r="I325" s="490"/>
    </row>
    <row r="326" spans="1:9" x14ac:dyDescent="0.45">
      <c r="A326" s="486">
        <v>19</v>
      </c>
      <c r="B326" s="490" t="s">
        <v>1385</v>
      </c>
      <c r="C326" s="490" t="s">
        <v>1500</v>
      </c>
      <c r="D326" s="490" t="s">
        <v>1387</v>
      </c>
      <c r="E326" s="490" t="s">
        <v>1501</v>
      </c>
      <c r="F326" s="490">
        <v>1600</v>
      </c>
      <c r="G326" s="490" t="s">
        <v>508</v>
      </c>
      <c r="H326" s="485" t="s">
        <v>1498</v>
      </c>
      <c r="I326" s="490"/>
    </row>
    <row r="327" spans="1:9" x14ac:dyDescent="0.45">
      <c r="A327" s="417">
        <v>20</v>
      </c>
      <c r="B327" s="491" t="s">
        <v>1385</v>
      </c>
      <c r="C327" s="491" t="s">
        <v>1502</v>
      </c>
      <c r="D327" s="491" t="s">
        <v>1387</v>
      </c>
      <c r="E327" s="491" t="s">
        <v>1501</v>
      </c>
      <c r="F327" s="491">
        <v>1600</v>
      </c>
      <c r="G327" s="491" t="s">
        <v>508</v>
      </c>
      <c r="H327" s="418" t="s">
        <v>1498</v>
      </c>
      <c r="I327" s="491"/>
    </row>
    <row r="328" spans="1:9" x14ac:dyDescent="0.45">
      <c r="A328" s="79"/>
      <c r="B328" s="79"/>
      <c r="C328" s="79"/>
      <c r="D328" s="79"/>
      <c r="E328" s="79"/>
      <c r="F328" s="79"/>
      <c r="G328" s="79"/>
      <c r="H328" s="79"/>
    </row>
    <row r="329" spans="1:9" x14ac:dyDescent="0.45">
      <c r="A329" s="79"/>
      <c r="B329" s="79"/>
      <c r="C329" s="79"/>
      <c r="D329" s="79"/>
      <c r="E329" s="79"/>
      <c r="F329" s="79"/>
      <c r="G329" s="79"/>
      <c r="H329" s="79"/>
    </row>
    <row r="330" spans="1:9" ht="15.75" x14ac:dyDescent="0.45">
      <c r="A330" s="612" t="s">
        <v>1503</v>
      </c>
      <c r="B330" s="612"/>
      <c r="C330" s="612"/>
      <c r="D330" s="612"/>
      <c r="E330" s="612"/>
      <c r="F330" s="612"/>
      <c r="G330" s="612"/>
      <c r="H330" s="612"/>
    </row>
    <row r="331" spans="1:9" ht="15.75" x14ac:dyDescent="0.45">
      <c r="A331" s="419" t="s">
        <v>501</v>
      </c>
      <c r="B331" s="420" t="s">
        <v>676</v>
      </c>
      <c r="C331" s="420" t="s">
        <v>1082</v>
      </c>
      <c r="D331" s="420" t="s">
        <v>876</v>
      </c>
      <c r="E331" s="420" t="s">
        <v>353</v>
      </c>
      <c r="F331" s="420" t="s">
        <v>105</v>
      </c>
      <c r="G331" s="420" t="s">
        <v>1364</v>
      </c>
      <c r="H331" s="421" t="s">
        <v>505</v>
      </c>
    </row>
    <row r="332" spans="1:9" x14ac:dyDescent="0.45">
      <c r="A332" s="486">
        <v>1</v>
      </c>
      <c r="B332" s="490" t="s">
        <v>1374</v>
      </c>
      <c r="C332" s="490" t="s">
        <v>1375</v>
      </c>
      <c r="D332" s="490" t="s">
        <v>1387</v>
      </c>
      <c r="E332" s="490" t="s">
        <v>1409</v>
      </c>
      <c r="F332" s="490">
        <v>2</v>
      </c>
      <c r="G332" s="490" t="s">
        <v>508</v>
      </c>
      <c r="H332" s="485" t="s">
        <v>1504</v>
      </c>
    </row>
    <row r="333" spans="1:9" x14ac:dyDescent="0.45">
      <c r="A333" s="486">
        <v>2</v>
      </c>
      <c r="B333" s="490" t="s">
        <v>1365</v>
      </c>
      <c r="C333" s="490" t="s">
        <v>1283</v>
      </c>
      <c r="D333" s="490" t="s">
        <v>322</v>
      </c>
      <c r="E333" s="490" t="s">
        <v>322</v>
      </c>
      <c r="F333" s="490">
        <v>1</v>
      </c>
      <c r="G333" s="490" t="s">
        <v>508</v>
      </c>
      <c r="H333" s="485" t="s">
        <v>1504</v>
      </c>
    </row>
    <row r="334" spans="1:9" x14ac:dyDescent="0.45">
      <c r="A334" s="486">
        <v>3</v>
      </c>
      <c r="B334" s="490" t="s">
        <v>1433</v>
      </c>
      <c r="C334" s="490" t="s">
        <v>1433</v>
      </c>
      <c r="D334" s="490" t="s">
        <v>322</v>
      </c>
      <c r="E334" s="490" t="s">
        <v>1409</v>
      </c>
      <c r="F334" s="490">
        <v>1</v>
      </c>
      <c r="G334" s="490" t="s">
        <v>508</v>
      </c>
      <c r="H334" s="485" t="s">
        <v>1504</v>
      </c>
    </row>
    <row r="335" spans="1:9" x14ac:dyDescent="0.45">
      <c r="A335" s="486">
        <v>4</v>
      </c>
      <c r="B335" s="490" t="s">
        <v>1366</v>
      </c>
      <c r="C335" s="490" t="s">
        <v>1386</v>
      </c>
      <c r="D335" s="490" t="s">
        <v>1505</v>
      </c>
      <c r="E335" s="490" t="s">
        <v>1409</v>
      </c>
      <c r="F335" s="490">
        <v>2</v>
      </c>
      <c r="G335" s="490" t="s">
        <v>508</v>
      </c>
      <c r="H335" s="485" t="s">
        <v>1504</v>
      </c>
    </row>
    <row r="336" spans="1:9" x14ac:dyDescent="0.45">
      <c r="A336" s="486">
        <v>5</v>
      </c>
      <c r="B336" s="490" t="s">
        <v>1366</v>
      </c>
      <c r="C336" s="490" t="s">
        <v>1373</v>
      </c>
      <c r="D336" s="490" t="s">
        <v>1505</v>
      </c>
      <c r="E336" s="490" t="s">
        <v>1409</v>
      </c>
      <c r="F336" s="490">
        <v>1</v>
      </c>
      <c r="G336" s="490" t="s">
        <v>508</v>
      </c>
      <c r="H336" s="485" t="s">
        <v>1504</v>
      </c>
    </row>
    <row r="337" spans="1:8" x14ac:dyDescent="0.45">
      <c r="A337" s="486">
        <v>6</v>
      </c>
      <c r="B337" s="490" t="s">
        <v>1366</v>
      </c>
      <c r="C337" s="490" t="s">
        <v>1431</v>
      </c>
      <c r="D337" s="490" t="s">
        <v>1505</v>
      </c>
      <c r="E337" s="490" t="s">
        <v>1409</v>
      </c>
      <c r="F337" s="490">
        <v>1</v>
      </c>
      <c r="G337" s="490" t="s">
        <v>508</v>
      </c>
      <c r="H337" s="485" t="s">
        <v>1504</v>
      </c>
    </row>
    <row r="338" spans="1:8" x14ac:dyDescent="0.45">
      <c r="A338" s="486">
        <v>7</v>
      </c>
      <c r="B338" s="490" t="s">
        <v>1366</v>
      </c>
      <c r="C338" s="490" t="s">
        <v>1372</v>
      </c>
      <c r="D338" s="490" t="s">
        <v>1505</v>
      </c>
      <c r="E338" s="490" t="s">
        <v>1409</v>
      </c>
      <c r="F338" s="490">
        <v>8</v>
      </c>
      <c r="G338" s="490" t="s">
        <v>508</v>
      </c>
      <c r="H338" s="485" t="s">
        <v>1504</v>
      </c>
    </row>
    <row r="339" spans="1:8" x14ac:dyDescent="0.45">
      <c r="A339" s="486">
        <v>8</v>
      </c>
      <c r="B339" s="490" t="s">
        <v>1366</v>
      </c>
      <c r="C339" s="490" t="s">
        <v>1383</v>
      </c>
      <c r="D339" s="490" t="s">
        <v>1505</v>
      </c>
      <c r="E339" s="490" t="s">
        <v>1409</v>
      </c>
      <c r="F339" s="490">
        <v>1</v>
      </c>
      <c r="G339" s="490" t="s">
        <v>508</v>
      </c>
      <c r="H339" s="485" t="s">
        <v>1504</v>
      </c>
    </row>
    <row r="340" spans="1:8" x14ac:dyDescent="0.45">
      <c r="A340" s="486">
        <v>9</v>
      </c>
      <c r="B340" s="490" t="s">
        <v>1366</v>
      </c>
      <c r="C340" s="490" t="s">
        <v>1386</v>
      </c>
      <c r="D340" s="490" t="s">
        <v>1505</v>
      </c>
      <c r="E340" s="490" t="s">
        <v>1409</v>
      </c>
      <c r="F340" s="490">
        <v>1</v>
      </c>
      <c r="G340" s="490" t="s">
        <v>508</v>
      </c>
      <c r="H340" s="485" t="s">
        <v>1504</v>
      </c>
    </row>
    <row r="341" spans="1:8" x14ac:dyDescent="0.45">
      <c r="A341" s="486">
        <v>10</v>
      </c>
      <c r="B341" s="490" t="s">
        <v>1366</v>
      </c>
      <c r="C341" s="490" t="s">
        <v>1367</v>
      </c>
      <c r="D341" s="490" t="s">
        <v>1505</v>
      </c>
      <c r="E341" s="490" t="s">
        <v>1409</v>
      </c>
      <c r="F341" s="490">
        <v>12</v>
      </c>
      <c r="G341" s="490" t="s">
        <v>508</v>
      </c>
      <c r="H341" s="485" t="s">
        <v>1504</v>
      </c>
    </row>
    <row r="342" spans="1:8" x14ac:dyDescent="0.45">
      <c r="A342" s="486">
        <v>11</v>
      </c>
      <c r="B342" s="490" t="s">
        <v>1374</v>
      </c>
      <c r="C342" s="490" t="s">
        <v>1375</v>
      </c>
      <c r="D342" s="490" t="s">
        <v>322</v>
      </c>
      <c r="E342" s="490" t="s">
        <v>1409</v>
      </c>
      <c r="F342" s="490">
        <v>1</v>
      </c>
      <c r="G342" s="490" t="s">
        <v>508</v>
      </c>
      <c r="H342" s="485" t="s">
        <v>1504</v>
      </c>
    </row>
    <row r="343" spans="1:8" x14ac:dyDescent="0.45">
      <c r="A343" s="486">
        <v>12</v>
      </c>
      <c r="B343" s="490" t="s">
        <v>1377</v>
      </c>
      <c r="C343" s="490" t="s">
        <v>1378</v>
      </c>
      <c r="D343" s="490" t="s">
        <v>322</v>
      </c>
      <c r="E343" s="490" t="s">
        <v>1409</v>
      </c>
      <c r="F343" s="490">
        <v>2</v>
      </c>
      <c r="G343" s="490" t="s">
        <v>508</v>
      </c>
      <c r="H343" s="485" t="s">
        <v>1504</v>
      </c>
    </row>
    <row r="344" spans="1:8" x14ac:dyDescent="0.45">
      <c r="A344" s="486">
        <v>13</v>
      </c>
      <c r="B344" s="490" t="s">
        <v>1402</v>
      </c>
      <c r="C344" s="490" t="s">
        <v>1506</v>
      </c>
      <c r="D344" s="490" t="s">
        <v>322</v>
      </c>
      <c r="E344" s="490" t="s">
        <v>1507</v>
      </c>
      <c r="F344" s="490">
        <v>12</v>
      </c>
      <c r="G344" s="490" t="s">
        <v>508</v>
      </c>
      <c r="H344" s="485" t="s">
        <v>1504</v>
      </c>
    </row>
    <row r="345" spans="1:8" x14ac:dyDescent="0.45">
      <c r="A345" s="486">
        <v>14</v>
      </c>
      <c r="B345" s="490" t="s">
        <v>1402</v>
      </c>
      <c r="C345" s="490" t="s">
        <v>1405</v>
      </c>
      <c r="D345" s="490" t="s">
        <v>322</v>
      </c>
      <c r="E345" s="490" t="s">
        <v>1507</v>
      </c>
      <c r="F345" s="490">
        <v>24</v>
      </c>
      <c r="G345" s="490" t="s">
        <v>508</v>
      </c>
      <c r="H345" s="485" t="s">
        <v>1504</v>
      </c>
    </row>
    <row r="346" spans="1:8" x14ac:dyDescent="0.45">
      <c r="A346" s="486">
        <v>15</v>
      </c>
      <c r="B346" s="490" t="s">
        <v>1398</v>
      </c>
      <c r="C346" s="490" t="s">
        <v>1401</v>
      </c>
      <c r="D346" s="490" t="s">
        <v>1387</v>
      </c>
      <c r="E346" s="490" t="s">
        <v>1409</v>
      </c>
      <c r="F346" s="490">
        <v>1</v>
      </c>
      <c r="G346" s="490" t="s">
        <v>508</v>
      </c>
      <c r="H346" s="485" t="s">
        <v>1504</v>
      </c>
    </row>
    <row r="347" spans="1:8" x14ac:dyDescent="0.45">
      <c r="A347" s="486">
        <v>16</v>
      </c>
      <c r="B347" s="490" t="s">
        <v>1398</v>
      </c>
      <c r="C347" s="490" t="s">
        <v>1394</v>
      </c>
      <c r="D347" s="490" t="s">
        <v>1387</v>
      </c>
      <c r="E347" s="490" t="s">
        <v>1508</v>
      </c>
      <c r="F347" s="490">
        <v>1</v>
      </c>
      <c r="G347" s="490" t="s">
        <v>508</v>
      </c>
      <c r="H347" s="485" t="s">
        <v>1504</v>
      </c>
    </row>
    <row r="348" spans="1:8" x14ac:dyDescent="0.45">
      <c r="A348" s="486">
        <v>17</v>
      </c>
      <c r="B348" s="490" t="s">
        <v>1398</v>
      </c>
      <c r="C348" s="490" t="s">
        <v>1372</v>
      </c>
      <c r="D348" s="490" t="s">
        <v>1387</v>
      </c>
      <c r="E348" s="490" t="s">
        <v>1478</v>
      </c>
      <c r="F348" s="490">
        <v>10</v>
      </c>
      <c r="G348" s="490" t="s">
        <v>508</v>
      </c>
      <c r="H348" s="485" t="s">
        <v>1504</v>
      </c>
    </row>
    <row r="349" spans="1:8" x14ac:dyDescent="0.45">
      <c r="A349" s="486">
        <v>18</v>
      </c>
      <c r="B349" s="490" t="s">
        <v>1398</v>
      </c>
      <c r="C349" s="490" t="s">
        <v>1372</v>
      </c>
      <c r="D349" s="490" t="s">
        <v>1387</v>
      </c>
      <c r="E349" s="490" t="s">
        <v>1409</v>
      </c>
      <c r="F349" s="490">
        <v>10</v>
      </c>
      <c r="G349" s="490" t="s">
        <v>508</v>
      </c>
      <c r="H349" s="485" t="s">
        <v>1504</v>
      </c>
    </row>
    <row r="350" spans="1:8" x14ac:dyDescent="0.45">
      <c r="A350" s="486">
        <v>19</v>
      </c>
      <c r="B350" s="490" t="s">
        <v>1398</v>
      </c>
      <c r="C350" s="490" t="s">
        <v>1367</v>
      </c>
      <c r="D350" s="490" t="s">
        <v>1387</v>
      </c>
      <c r="E350" s="490" t="s">
        <v>1409</v>
      </c>
      <c r="F350" s="490">
        <v>10</v>
      </c>
      <c r="G350" s="490" t="s">
        <v>526</v>
      </c>
      <c r="H350" s="485" t="s">
        <v>1504</v>
      </c>
    </row>
    <row r="351" spans="1:8" x14ac:dyDescent="0.45">
      <c r="A351" s="486">
        <v>20</v>
      </c>
      <c r="B351" s="490" t="s">
        <v>1398</v>
      </c>
      <c r="C351" s="490" t="s">
        <v>1367</v>
      </c>
      <c r="D351" s="490" t="s">
        <v>1387</v>
      </c>
      <c r="E351" s="490" t="s">
        <v>1478</v>
      </c>
      <c r="F351" s="490">
        <v>1000</v>
      </c>
      <c r="G351" s="490" t="s">
        <v>526</v>
      </c>
      <c r="H351" s="485" t="s">
        <v>1504</v>
      </c>
    </row>
    <row r="352" spans="1:8" x14ac:dyDescent="0.45">
      <c r="A352" s="486">
        <v>21</v>
      </c>
      <c r="B352" s="490" t="s">
        <v>1398</v>
      </c>
      <c r="C352" s="490" t="s">
        <v>1401</v>
      </c>
      <c r="D352" s="490" t="s">
        <v>1387</v>
      </c>
      <c r="E352" s="490" t="s">
        <v>1478</v>
      </c>
      <c r="F352" s="490">
        <v>6</v>
      </c>
      <c r="G352" s="490" t="s">
        <v>508</v>
      </c>
      <c r="H352" s="485" t="s">
        <v>1504</v>
      </c>
    </row>
    <row r="353" spans="1:8" x14ac:dyDescent="0.45">
      <c r="A353" s="486">
        <v>22</v>
      </c>
      <c r="B353" s="490" t="s">
        <v>1377</v>
      </c>
      <c r="C353" s="490" t="s">
        <v>1378</v>
      </c>
      <c r="D353" s="490" t="s">
        <v>322</v>
      </c>
      <c r="E353" s="490" t="s">
        <v>1478</v>
      </c>
      <c r="F353" s="490">
        <v>6</v>
      </c>
      <c r="G353" s="490" t="s">
        <v>508</v>
      </c>
      <c r="H353" s="485" t="s">
        <v>1504</v>
      </c>
    </row>
    <row r="354" spans="1:8" x14ac:dyDescent="0.45">
      <c r="A354" s="486">
        <v>23</v>
      </c>
      <c r="B354" s="490" t="s">
        <v>1402</v>
      </c>
      <c r="C354" s="490" t="s">
        <v>1506</v>
      </c>
      <c r="D354" s="490" t="s">
        <v>322</v>
      </c>
      <c r="E354" s="490" t="s">
        <v>1507</v>
      </c>
      <c r="F354" s="490">
        <v>36</v>
      </c>
      <c r="G354" s="490" t="s">
        <v>508</v>
      </c>
      <c r="H354" s="485" t="s">
        <v>1504</v>
      </c>
    </row>
    <row r="355" spans="1:8" x14ac:dyDescent="0.45">
      <c r="A355" s="486">
        <v>24</v>
      </c>
      <c r="B355" s="490" t="s">
        <v>1402</v>
      </c>
      <c r="C355" s="490" t="s">
        <v>1405</v>
      </c>
      <c r="D355" s="490" t="s">
        <v>322</v>
      </c>
      <c r="E355" s="490" t="s">
        <v>1507</v>
      </c>
      <c r="F355" s="490">
        <v>72</v>
      </c>
      <c r="G355" s="490" t="s">
        <v>508</v>
      </c>
      <c r="H355" s="485" t="s">
        <v>1504</v>
      </c>
    </row>
    <row r="356" spans="1:8" x14ac:dyDescent="0.45">
      <c r="A356" s="486">
        <v>25</v>
      </c>
      <c r="B356" s="490" t="s">
        <v>1374</v>
      </c>
      <c r="C356" s="490" t="s">
        <v>1375</v>
      </c>
      <c r="D356" s="490" t="s">
        <v>322</v>
      </c>
      <c r="E356" s="490" t="s">
        <v>1478</v>
      </c>
      <c r="F356" s="490">
        <v>6</v>
      </c>
      <c r="G356" s="490" t="s">
        <v>508</v>
      </c>
      <c r="H356" s="485" t="s">
        <v>1504</v>
      </c>
    </row>
    <row r="357" spans="1:8" x14ac:dyDescent="0.45">
      <c r="A357" s="486">
        <v>26</v>
      </c>
      <c r="B357" s="490" t="s">
        <v>1366</v>
      </c>
      <c r="C357" s="490" t="s">
        <v>1376</v>
      </c>
      <c r="D357" s="490" t="s">
        <v>1505</v>
      </c>
      <c r="E357" s="490" t="s">
        <v>1478</v>
      </c>
      <c r="F357" s="490">
        <v>6</v>
      </c>
      <c r="G357" s="490" t="s">
        <v>508</v>
      </c>
      <c r="H357" s="485" t="s">
        <v>1504</v>
      </c>
    </row>
    <row r="358" spans="1:8" x14ac:dyDescent="0.45">
      <c r="A358" s="486">
        <v>27</v>
      </c>
      <c r="B358" s="490" t="s">
        <v>1366</v>
      </c>
      <c r="C358" s="490" t="s">
        <v>1394</v>
      </c>
      <c r="D358" s="490" t="s">
        <v>1505</v>
      </c>
      <c r="E358" s="490" t="s">
        <v>1478</v>
      </c>
      <c r="F358" s="490">
        <v>6</v>
      </c>
      <c r="G358" s="490" t="s">
        <v>508</v>
      </c>
      <c r="H358" s="485" t="s">
        <v>1504</v>
      </c>
    </row>
    <row r="359" spans="1:8" x14ac:dyDescent="0.45">
      <c r="A359" s="486">
        <v>28</v>
      </c>
      <c r="B359" s="490" t="s">
        <v>1366</v>
      </c>
      <c r="C359" s="490" t="s">
        <v>1372</v>
      </c>
      <c r="D359" s="490" t="s">
        <v>1505</v>
      </c>
      <c r="E359" s="490" t="s">
        <v>1478</v>
      </c>
      <c r="F359" s="490">
        <v>20</v>
      </c>
      <c r="G359" s="490" t="s">
        <v>508</v>
      </c>
      <c r="H359" s="485" t="s">
        <v>1504</v>
      </c>
    </row>
    <row r="360" spans="1:8" x14ac:dyDescent="0.45">
      <c r="A360" s="486">
        <v>29</v>
      </c>
      <c r="B360" s="490" t="s">
        <v>1366</v>
      </c>
      <c r="C360" s="490" t="s">
        <v>1367</v>
      </c>
      <c r="D360" s="490" t="s">
        <v>1505</v>
      </c>
      <c r="E360" s="490" t="s">
        <v>1478</v>
      </c>
      <c r="F360" s="490">
        <v>50</v>
      </c>
      <c r="G360" s="490" t="s">
        <v>526</v>
      </c>
      <c r="H360" s="485" t="s">
        <v>1504</v>
      </c>
    </row>
    <row r="361" spans="1:8" x14ac:dyDescent="0.45">
      <c r="A361" s="486">
        <v>30</v>
      </c>
      <c r="B361" s="490" t="s">
        <v>1366</v>
      </c>
      <c r="C361" s="490" t="s">
        <v>1367</v>
      </c>
      <c r="D361" s="490" t="s">
        <v>1505</v>
      </c>
      <c r="E361" s="490" t="s">
        <v>1409</v>
      </c>
      <c r="F361" s="490">
        <v>200</v>
      </c>
      <c r="G361" s="490" t="s">
        <v>526</v>
      </c>
      <c r="H361" s="485" t="s">
        <v>1504</v>
      </c>
    </row>
    <row r="362" spans="1:8" x14ac:dyDescent="0.45">
      <c r="A362" s="486">
        <v>31</v>
      </c>
      <c r="B362" s="490" t="s">
        <v>1366</v>
      </c>
      <c r="C362" s="490" t="s">
        <v>1379</v>
      </c>
      <c r="D362" s="490" t="s">
        <v>1505</v>
      </c>
      <c r="E362" s="490" t="s">
        <v>1409</v>
      </c>
      <c r="F362" s="490">
        <v>100</v>
      </c>
      <c r="G362" s="490" t="s">
        <v>508</v>
      </c>
      <c r="H362" s="485" t="s">
        <v>1504</v>
      </c>
    </row>
    <row r="363" spans="1:8" x14ac:dyDescent="0.45">
      <c r="A363" s="486">
        <v>32</v>
      </c>
      <c r="B363" s="490" t="s">
        <v>1366</v>
      </c>
      <c r="C363" s="490" t="s">
        <v>1379</v>
      </c>
      <c r="D363" s="490" t="s">
        <v>1505</v>
      </c>
      <c r="E363" s="490" t="s">
        <v>1478</v>
      </c>
      <c r="F363" s="490">
        <v>100</v>
      </c>
      <c r="G363" s="490" t="s">
        <v>508</v>
      </c>
      <c r="H363" s="485" t="s">
        <v>1504</v>
      </c>
    </row>
    <row r="364" spans="1:8" x14ac:dyDescent="0.45">
      <c r="A364" s="486">
        <v>33</v>
      </c>
      <c r="B364" s="490" t="s">
        <v>1366</v>
      </c>
      <c r="C364" s="490" t="s">
        <v>1372</v>
      </c>
      <c r="D364" s="490" t="s">
        <v>1505</v>
      </c>
      <c r="E364" s="490" t="s">
        <v>1409</v>
      </c>
      <c r="F364" s="490">
        <v>100</v>
      </c>
      <c r="G364" s="490" t="s">
        <v>508</v>
      </c>
      <c r="H364" s="485" t="s">
        <v>1504</v>
      </c>
    </row>
    <row r="365" spans="1:8" x14ac:dyDescent="0.45">
      <c r="A365" s="486">
        <v>34</v>
      </c>
      <c r="B365" s="490" t="s">
        <v>1366</v>
      </c>
      <c r="C365" s="490" t="s">
        <v>1509</v>
      </c>
      <c r="D365" s="490" t="s">
        <v>1505</v>
      </c>
      <c r="E365" s="490" t="s">
        <v>1409</v>
      </c>
      <c r="F365" s="490">
        <v>10</v>
      </c>
      <c r="G365" s="490" t="s">
        <v>508</v>
      </c>
      <c r="H365" s="485" t="s">
        <v>1504</v>
      </c>
    </row>
    <row r="366" spans="1:8" x14ac:dyDescent="0.45">
      <c r="A366" s="486">
        <v>35</v>
      </c>
      <c r="B366" s="490" t="s">
        <v>1366</v>
      </c>
      <c r="C366" s="490" t="s">
        <v>1384</v>
      </c>
      <c r="D366" s="490" t="s">
        <v>1505</v>
      </c>
      <c r="E366" s="490" t="s">
        <v>1409</v>
      </c>
      <c r="F366" s="490">
        <v>10</v>
      </c>
      <c r="G366" s="490" t="s">
        <v>508</v>
      </c>
      <c r="H366" s="485" t="s">
        <v>1504</v>
      </c>
    </row>
    <row r="367" spans="1:8" x14ac:dyDescent="0.45">
      <c r="A367" s="486">
        <v>36</v>
      </c>
      <c r="B367" s="490" t="s">
        <v>1366</v>
      </c>
      <c r="C367" s="490" t="s">
        <v>1373</v>
      </c>
      <c r="D367" s="490" t="s">
        <v>1505</v>
      </c>
      <c r="E367" s="490" t="s">
        <v>1409</v>
      </c>
      <c r="F367" s="490">
        <v>10</v>
      </c>
      <c r="G367" s="490" t="s">
        <v>508</v>
      </c>
      <c r="H367" s="485" t="s">
        <v>1504</v>
      </c>
    </row>
    <row r="368" spans="1:8" x14ac:dyDescent="0.45">
      <c r="A368" s="486">
        <v>37</v>
      </c>
      <c r="B368" s="490" t="s">
        <v>1013</v>
      </c>
      <c r="C368" s="490" t="s">
        <v>1510</v>
      </c>
      <c r="D368" s="490" t="s">
        <v>322</v>
      </c>
      <c r="E368" s="490" t="s">
        <v>322</v>
      </c>
      <c r="F368" s="490">
        <v>10</v>
      </c>
      <c r="G368" s="490" t="s">
        <v>508</v>
      </c>
      <c r="H368" s="496" t="s">
        <v>322</v>
      </c>
    </row>
    <row r="369" spans="1:8" x14ac:dyDescent="0.45">
      <c r="A369" s="486">
        <v>38</v>
      </c>
      <c r="B369" s="490" t="s">
        <v>1013</v>
      </c>
      <c r="C369" s="490" t="s">
        <v>1511</v>
      </c>
      <c r="D369" s="490" t="s">
        <v>322</v>
      </c>
      <c r="E369" s="490" t="s">
        <v>322</v>
      </c>
      <c r="F369" s="490">
        <v>1</v>
      </c>
      <c r="G369" s="490" t="s">
        <v>508</v>
      </c>
      <c r="H369" s="485" t="s">
        <v>1512</v>
      </c>
    </row>
    <row r="370" spans="1:8" x14ac:dyDescent="0.45">
      <c r="A370" s="486">
        <v>39</v>
      </c>
      <c r="B370" s="490" t="s">
        <v>1513</v>
      </c>
      <c r="C370" s="490" t="s">
        <v>1514</v>
      </c>
      <c r="D370" s="490" t="s">
        <v>322</v>
      </c>
      <c r="E370" s="490" t="s">
        <v>322</v>
      </c>
      <c r="F370" s="490">
        <v>1</v>
      </c>
      <c r="G370" s="479"/>
      <c r="H370" s="496" t="s">
        <v>50</v>
      </c>
    </row>
    <row r="371" spans="1:8" x14ac:dyDescent="0.45">
      <c r="A371" s="486">
        <v>40</v>
      </c>
      <c r="B371" s="490" t="s">
        <v>1515</v>
      </c>
      <c r="C371" s="490" t="s">
        <v>1514</v>
      </c>
      <c r="D371" s="490" t="s">
        <v>322</v>
      </c>
      <c r="E371" s="490" t="s">
        <v>322</v>
      </c>
      <c r="F371" s="490">
        <v>1</v>
      </c>
      <c r="G371" s="479"/>
      <c r="H371" s="496" t="s">
        <v>50</v>
      </c>
    </row>
    <row r="372" spans="1:8" x14ac:dyDescent="0.45">
      <c r="A372" s="486">
        <v>41</v>
      </c>
      <c r="B372" s="490" t="s">
        <v>1516</v>
      </c>
      <c r="C372" s="490" t="s">
        <v>1516</v>
      </c>
      <c r="D372" s="490" t="s">
        <v>322</v>
      </c>
      <c r="E372" s="490" t="s">
        <v>322</v>
      </c>
      <c r="F372" s="490">
        <v>3</v>
      </c>
      <c r="G372" s="479"/>
      <c r="H372" s="496" t="s">
        <v>402</v>
      </c>
    </row>
    <row r="373" spans="1:8" x14ac:dyDescent="0.45">
      <c r="A373" s="486">
        <v>42</v>
      </c>
      <c r="B373" s="490" t="s">
        <v>1374</v>
      </c>
      <c r="C373" s="490" t="s">
        <v>1375</v>
      </c>
      <c r="D373" s="490" t="s">
        <v>1387</v>
      </c>
      <c r="E373" s="490" t="s">
        <v>1409</v>
      </c>
      <c r="F373" s="490">
        <v>2</v>
      </c>
      <c r="G373" s="490" t="s">
        <v>508</v>
      </c>
      <c r="H373" s="485" t="s">
        <v>1517</v>
      </c>
    </row>
    <row r="374" spans="1:8" x14ac:dyDescent="0.45">
      <c r="A374" s="486">
        <v>43</v>
      </c>
      <c r="B374" s="490" t="s">
        <v>1365</v>
      </c>
      <c r="C374" s="490" t="s">
        <v>1283</v>
      </c>
      <c r="D374" s="490" t="s">
        <v>322</v>
      </c>
      <c r="E374" s="490" t="s">
        <v>322</v>
      </c>
      <c r="F374" s="490">
        <v>1</v>
      </c>
      <c r="G374" s="490" t="s">
        <v>508</v>
      </c>
      <c r="H374" s="485" t="s">
        <v>1517</v>
      </c>
    </row>
    <row r="375" spans="1:8" x14ac:dyDescent="0.45">
      <c r="A375" s="486">
        <v>44</v>
      </c>
      <c r="B375" s="490" t="s">
        <v>1433</v>
      </c>
      <c r="C375" s="490" t="s">
        <v>1433</v>
      </c>
      <c r="D375" s="490" t="s">
        <v>322</v>
      </c>
      <c r="E375" s="490" t="s">
        <v>1409</v>
      </c>
      <c r="F375" s="490">
        <v>1</v>
      </c>
      <c r="G375" s="490" t="s">
        <v>508</v>
      </c>
      <c r="H375" s="485" t="s">
        <v>1517</v>
      </c>
    </row>
    <row r="376" spans="1:8" x14ac:dyDescent="0.45">
      <c r="A376" s="486">
        <v>45</v>
      </c>
      <c r="B376" s="490" t="s">
        <v>1366</v>
      </c>
      <c r="C376" s="490" t="s">
        <v>1386</v>
      </c>
      <c r="D376" s="490" t="s">
        <v>1505</v>
      </c>
      <c r="E376" s="490" t="s">
        <v>1409</v>
      </c>
      <c r="F376" s="490">
        <v>2</v>
      </c>
      <c r="G376" s="490" t="s">
        <v>508</v>
      </c>
      <c r="H376" s="485" t="s">
        <v>1517</v>
      </c>
    </row>
    <row r="377" spans="1:8" x14ac:dyDescent="0.45">
      <c r="A377" s="486">
        <v>46</v>
      </c>
      <c r="B377" s="490" t="s">
        <v>1366</v>
      </c>
      <c r="C377" s="490" t="s">
        <v>1373</v>
      </c>
      <c r="D377" s="490" t="s">
        <v>1505</v>
      </c>
      <c r="E377" s="490" t="s">
        <v>1409</v>
      </c>
      <c r="F377" s="490">
        <v>1</v>
      </c>
      <c r="G377" s="490" t="s">
        <v>508</v>
      </c>
      <c r="H377" s="485" t="s">
        <v>1517</v>
      </c>
    </row>
    <row r="378" spans="1:8" x14ac:dyDescent="0.45">
      <c r="A378" s="486">
        <v>47</v>
      </c>
      <c r="B378" s="490" t="s">
        <v>1366</v>
      </c>
      <c r="C378" s="490" t="s">
        <v>1431</v>
      </c>
      <c r="D378" s="490" t="s">
        <v>1505</v>
      </c>
      <c r="E378" s="490" t="s">
        <v>1409</v>
      </c>
      <c r="F378" s="490">
        <v>1</v>
      </c>
      <c r="G378" s="490" t="s">
        <v>508</v>
      </c>
      <c r="H378" s="485" t="s">
        <v>1517</v>
      </c>
    </row>
    <row r="379" spans="1:8" x14ac:dyDescent="0.45">
      <c r="A379" s="486">
        <v>48</v>
      </c>
      <c r="B379" s="490" t="s">
        <v>1366</v>
      </c>
      <c r="C379" s="490" t="s">
        <v>1372</v>
      </c>
      <c r="D379" s="490" t="s">
        <v>1505</v>
      </c>
      <c r="E379" s="490" t="s">
        <v>1409</v>
      </c>
      <c r="F379" s="490">
        <v>8</v>
      </c>
      <c r="G379" s="490" t="s">
        <v>508</v>
      </c>
      <c r="H379" s="485" t="s">
        <v>1517</v>
      </c>
    </row>
    <row r="380" spans="1:8" x14ac:dyDescent="0.45">
      <c r="A380" s="486">
        <v>49</v>
      </c>
      <c r="B380" s="490" t="s">
        <v>1366</v>
      </c>
      <c r="C380" s="490" t="s">
        <v>1383</v>
      </c>
      <c r="D380" s="490" t="s">
        <v>1505</v>
      </c>
      <c r="E380" s="490" t="s">
        <v>1409</v>
      </c>
      <c r="F380" s="490">
        <v>1</v>
      </c>
      <c r="G380" s="490" t="s">
        <v>508</v>
      </c>
      <c r="H380" s="485" t="s">
        <v>1517</v>
      </c>
    </row>
    <row r="381" spans="1:8" x14ac:dyDescent="0.45">
      <c r="A381" s="486">
        <v>50</v>
      </c>
      <c r="B381" s="490" t="s">
        <v>1366</v>
      </c>
      <c r="C381" s="490" t="s">
        <v>1386</v>
      </c>
      <c r="D381" s="490" t="s">
        <v>1505</v>
      </c>
      <c r="E381" s="490" t="s">
        <v>1409</v>
      </c>
      <c r="F381" s="490">
        <v>1</v>
      </c>
      <c r="G381" s="490" t="s">
        <v>508</v>
      </c>
      <c r="H381" s="485" t="s">
        <v>1517</v>
      </c>
    </row>
    <row r="382" spans="1:8" x14ac:dyDescent="0.45">
      <c r="A382" s="486">
        <v>51</v>
      </c>
      <c r="B382" s="490" t="s">
        <v>1366</v>
      </c>
      <c r="C382" s="490" t="s">
        <v>1367</v>
      </c>
      <c r="D382" s="490" t="s">
        <v>1505</v>
      </c>
      <c r="E382" s="490" t="s">
        <v>1409</v>
      </c>
      <c r="F382" s="490">
        <v>12</v>
      </c>
      <c r="G382" s="490" t="s">
        <v>508</v>
      </c>
      <c r="H382" s="485" t="s">
        <v>1517</v>
      </c>
    </row>
    <row r="383" spans="1:8" x14ac:dyDescent="0.45">
      <c r="A383" s="486">
        <v>52</v>
      </c>
      <c r="B383" s="490" t="s">
        <v>1374</v>
      </c>
      <c r="C383" s="490" t="s">
        <v>1375</v>
      </c>
      <c r="D383" s="490" t="s">
        <v>322</v>
      </c>
      <c r="E383" s="490" t="s">
        <v>1409</v>
      </c>
      <c r="F383" s="490">
        <v>1</v>
      </c>
      <c r="G383" s="490" t="s">
        <v>508</v>
      </c>
      <c r="H383" s="485" t="s">
        <v>1517</v>
      </c>
    </row>
    <row r="384" spans="1:8" x14ac:dyDescent="0.45">
      <c r="A384" s="486">
        <v>53</v>
      </c>
      <c r="B384" s="490" t="s">
        <v>1377</v>
      </c>
      <c r="C384" s="490" t="s">
        <v>1378</v>
      </c>
      <c r="D384" s="490" t="s">
        <v>322</v>
      </c>
      <c r="E384" s="490" t="s">
        <v>1409</v>
      </c>
      <c r="F384" s="490">
        <v>2</v>
      </c>
      <c r="G384" s="490" t="s">
        <v>508</v>
      </c>
      <c r="H384" s="485" t="s">
        <v>1517</v>
      </c>
    </row>
    <row r="385" spans="1:8" x14ac:dyDescent="0.45">
      <c r="A385" s="486">
        <v>54</v>
      </c>
      <c r="B385" s="490" t="s">
        <v>1402</v>
      </c>
      <c r="C385" s="490" t="s">
        <v>1506</v>
      </c>
      <c r="D385" s="490" t="s">
        <v>322</v>
      </c>
      <c r="E385" s="490" t="s">
        <v>1507</v>
      </c>
      <c r="F385" s="490">
        <v>12</v>
      </c>
      <c r="G385" s="490" t="s">
        <v>508</v>
      </c>
      <c r="H385" s="485" t="s">
        <v>1517</v>
      </c>
    </row>
    <row r="386" spans="1:8" x14ac:dyDescent="0.45">
      <c r="A386" s="486">
        <v>55</v>
      </c>
      <c r="B386" s="490" t="s">
        <v>1402</v>
      </c>
      <c r="C386" s="490" t="s">
        <v>1405</v>
      </c>
      <c r="D386" s="490" t="s">
        <v>322</v>
      </c>
      <c r="E386" s="490" t="s">
        <v>1507</v>
      </c>
      <c r="F386" s="490">
        <v>24</v>
      </c>
      <c r="G386" s="490" t="s">
        <v>508</v>
      </c>
      <c r="H386" s="485" t="s">
        <v>1517</v>
      </c>
    </row>
    <row r="387" spans="1:8" x14ac:dyDescent="0.45">
      <c r="A387" s="486">
        <v>56</v>
      </c>
      <c r="B387" s="490" t="s">
        <v>1398</v>
      </c>
      <c r="C387" s="490" t="s">
        <v>1401</v>
      </c>
      <c r="D387" s="490" t="s">
        <v>1387</v>
      </c>
      <c r="E387" s="490" t="s">
        <v>1409</v>
      </c>
      <c r="F387" s="490">
        <v>1</v>
      </c>
      <c r="G387" s="490" t="s">
        <v>508</v>
      </c>
      <c r="H387" s="485" t="s">
        <v>1517</v>
      </c>
    </row>
    <row r="388" spans="1:8" x14ac:dyDescent="0.45">
      <c r="A388" s="486">
        <v>57</v>
      </c>
      <c r="B388" s="490" t="s">
        <v>1398</v>
      </c>
      <c r="C388" s="490" t="s">
        <v>1394</v>
      </c>
      <c r="D388" s="490" t="s">
        <v>1387</v>
      </c>
      <c r="E388" s="490" t="s">
        <v>1508</v>
      </c>
      <c r="F388" s="490">
        <v>1</v>
      </c>
      <c r="G388" s="490" t="s">
        <v>508</v>
      </c>
      <c r="H388" s="485" t="s">
        <v>1517</v>
      </c>
    </row>
    <row r="389" spans="1:8" x14ac:dyDescent="0.45">
      <c r="A389" s="486">
        <v>58</v>
      </c>
      <c r="B389" s="490" t="s">
        <v>1398</v>
      </c>
      <c r="C389" s="490" t="s">
        <v>1372</v>
      </c>
      <c r="D389" s="490" t="s">
        <v>1387</v>
      </c>
      <c r="E389" s="490" t="s">
        <v>1478</v>
      </c>
      <c r="F389" s="490">
        <v>10</v>
      </c>
      <c r="G389" s="490" t="s">
        <v>508</v>
      </c>
      <c r="H389" s="485" t="s">
        <v>1517</v>
      </c>
    </row>
    <row r="390" spans="1:8" x14ac:dyDescent="0.45">
      <c r="A390" s="486">
        <v>59</v>
      </c>
      <c r="B390" s="490" t="s">
        <v>1398</v>
      </c>
      <c r="C390" s="490" t="s">
        <v>1372</v>
      </c>
      <c r="D390" s="490" t="s">
        <v>1387</v>
      </c>
      <c r="E390" s="490" t="s">
        <v>1409</v>
      </c>
      <c r="F390" s="490">
        <v>10</v>
      </c>
      <c r="G390" s="490" t="s">
        <v>508</v>
      </c>
      <c r="H390" s="485" t="s">
        <v>1517</v>
      </c>
    </row>
    <row r="391" spans="1:8" x14ac:dyDescent="0.45">
      <c r="A391" s="486">
        <v>60</v>
      </c>
      <c r="B391" s="490" t="s">
        <v>1398</v>
      </c>
      <c r="C391" s="490" t="s">
        <v>1367</v>
      </c>
      <c r="D391" s="490" t="s">
        <v>1387</v>
      </c>
      <c r="E391" s="490" t="s">
        <v>1409</v>
      </c>
      <c r="F391" s="490">
        <v>10</v>
      </c>
      <c r="G391" s="490" t="s">
        <v>526</v>
      </c>
      <c r="H391" s="485" t="s">
        <v>1517</v>
      </c>
    </row>
    <row r="392" spans="1:8" x14ac:dyDescent="0.45">
      <c r="A392" s="486">
        <v>61</v>
      </c>
      <c r="B392" s="490" t="s">
        <v>1398</v>
      </c>
      <c r="C392" s="490" t="s">
        <v>1367</v>
      </c>
      <c r="D392" s="490" t="s">
        <v>1387</v>
      </c>
      <c r="E392" s="490" t="s">
        <v>1478</v>
      </c>
      <c r="F392" s="490">
        <v>1000</v>
      </c>
      <c r="G392" s="490" t="s">
        <v>526</v>
      </c>
      <c r="H392" s="485" t="s">
        <v>1517</v>
      </c>
    </row>
    <row r="393" spans="1:8" x14ac:dyDescent="0.45">
      <c r="A393" s="486">
        <v>62</v>
      </c>
      <c r="B393" s="490" t="s">
        <v>1398</v>
      </c>
      <c r="C393" s="490" t="s">
        <v>1401</v>
      </c>
      <c r="D393" s="490" t="s">
        <v>1387</v>
      </c>
      <c r="E393" s="490" t="s">
        <v>1478</v>
      </c>
      <c r="F393" s="490">
        <v>6</v>
      </c>
      <c r="G393" s="490" t="s">
        <v>508</v>
      </c>
      <c r="H393" s="485" t="s">
        <v>1517</v>
      </c>
    </row>
    <row r="394" spans="1:8" x14ac:dyDescent="0.45">
      <c r="A394" s="486">
        <v>63</v>
      </c>
      <c r="B394" s="490" t="s">
        <v>1377</v>
      </c>
      <c r="C394" s="490" t="s">
        <v>1378</v>
      </c>
      <c r="D394" s="490" t="s">
        <v>322</v>
      </c>
      <c r="E394" s="490" t="s">
        <v>1478</v>
      </c>
      <c r="F394" s="490">
        <v>6</v>
      </c>
      <c r="G394" s="490" t="s">
        <v>508</v>
      </c>
      <c r="H394" s="485" t="s">
        <v>1517</v>
      </c>
    </row>
    <row r="395" spans="1:8" x14ac:dyDescent="0.45">
      <c r="A395" s="486">
        <v>64</v>
      </c>
      <c r="B395" s="490" t="s">
        <v>1402</v>
      </c>
      <c r="C395" s="490" t="s">
        <v>1506</v>
      </c>
      <c r="D395" s="490" t="s">
        <v>322</v>
      </c>
      <c r="E395" s="490" t="s">
        <v>1507</v>
      </c>
      <c r="F395" s="490">
        <v>36</v>
      </c>
      <c r="G395" s="490" t="s">
        <v>508</v>
      </c>
      <c r="H395" s="485" t="s">
        <v>1517</v>
      </c>
    </row>
    <row r="396" spans="1:8" x14ac:dyDescent="0.45">
      <c r="A396" s="486">
        <v>65</v>
      </c>
      <c r="B396" s="490" t="s">
        <v>1402</v>
      </c>
      <c r="C396" s="490" t="s">
        <v>1405</v>
      </c>
      <c r="D396" s="490" t="s">
        <v>322</v>
      </c>
      <c r="E396" s="490" t="s">
        <v>1507</v>
      </c>
      <c r="F396" s="490">
        <v>72</v>
      </c>
      <c r="G396" s="490" t="s">
        <v>508</v>
      </c>
      <c r="H396" s="485" t="s">
        <v>1517</v>
      </c>
    </row>
    <row r="397" spans="1:8" x14ac:dyDescent="0.45">
      <c r="A397" s="486">
        <v>66</v>
      </c>
      <c r="B397" s="490" t="s">
        <v>1374</v>
      </c>
      <c r="C397" s="490" t="s">
        <v>1375</v>
      </c>
      <c r="D397" s="490" t="s">
        <v>322</v>
      </c>
      <c r="E397" s="490" t="s">
        <v>1478</v>
      </c>
      <c r="F397" s="490">
        <v>6</v>
      </c>
      <c r="G397" s="490" t="s">
        <v>508</v>
      </c>
      <c r="H397" s="485" t="s">
        <v>1517</v>
      </c>
    </row>
    <row r="398" spans="1:8" x14ac:dyDescent="0.45">
      <c r="A398" s="486">
        <v>67</v>
      </c>
      <c r="B398" s="490" t="s">
        <v>1366</v>
      </c>
      <c r="C398" s="490" t="s">
        <v>1376</v>
      </c>
      <c r="D398" s="490" t="s">
        <v>1505</v>
      </c>
      <c r="E398" s="490" t="s">
        <v>1478</v>
      </c>
      <c r="F398" s="490">
        <v>6</v>
      </c>
      <c r="G398" s="490" t="s">
        <v>508</v>
      </c>
      <c r="H398" s="485" t="s">
        <v>1517</v>
      </c>
    </row>
    <row r="399" spans="1:8" x14ac:dyDescent="0.45">
      <c r="A399" s="486">
        <v>68</v>
      </c>
      <c r="B399" s="490" t="s">
        <v>1366</v>
      </c>
      <c r="C399" s="490" t="s">
        <v>1394</v>
      </c>
      <c r="D399" s="490" t="s">
        <v>1505</v>
      </c>
      <c r="E399" s="490" t="s">
        <v>1478</v>
      </c>
      <c r="F399" s="490">
        <v>6</v>
      </c>
      <c r="G399" s="490" t="s">
        <v>508</v>
      </c>
      <c r="H399" s="485" t="s">
        <v>1517</v>
      </c>
    </row>
    <row r="400" spans="1:8" x14ac:dyDescent="0.45">
      <c r="A400" s="486">
        <v>69</v>
      </c>
      <c r="B400" s="490" t="s">
        <v>1366</v>
      </c>
      <c r="C400" s="490" t="s">
        <v>1372</v>
      </c>
      <c r="D400" s="490" t="s">
        <v>1505</v>
      </c>
      <c r="E400" s="490" t="s">
        <v>1478</v>
      </c>
      <c r="F400" s="490">
        <v>20</v>
      </c>
      <c r="G400" s="490" t="s">
        <v>508</v>
      </c>
      <c r="H400" s="485" t="s">
        <v>1517</v>
      </c>
    </row>
    <row r="401" spans="1:8" x14ac:dyDescent="0.45">
      <c r="A401" s="486">
        <v>70</v>
      </c>
      <c r="B401" s="490" t="s">
        <v>1366</v>
      </c>
      <c r="C401" s="490" t="s">
        <v>1367</v>
      </c>
      <c r="D401" s="490" t="s">
        <v>1505</v>
      </c>
      <c r="E401" s="490" t="s">
        <v>1478</v>
      </c>
      <c r="F401" s="490">
        <v>50</v>
      </c>
      <c r="G401" s="490" t="s">
        <v>526</v>
      </c>
      <c r="H401" s="485" t="s">
        <v>1517</v>
      </c>
    </row>
    <row r="402" spans="1:8" x14ac:dyDescent="0.45">
      <c r="A402" s="486">
        <v>71</v>
      </c>
      <c r="B402" s="490" t="s">
        <v>1366</v>
      </c>
      <c r="C402" s="490" t="s">
        <v>1367</v>
      </c>
      <c r="D402" s="490" t="s">
        <v>1505</v>
      </c>
      <c r="E402" s="490" t="s">
        <v>1409</v>
      </c>
      <c r="F402" s="490">
        <v>200</v>
      </c>
      <c r="G402" s="490" t="s">
        <v>526</v>
      </c>
      <c r="H402" s="485" t="s">
        <v>1517</v>
      </c>
    </row>
    <row r="403" spans="1:8" x14ac:dyDescent="0.45">
      <c r="A403" s="486">
        <v>72</v>
      </c>
      <c r="B403" s="490" t="s">
        <v>1366</v>
      </c>
      <c r="C403" s="490" t="s">
        <v>1379</v>
      </c>
      <c r="D403" s="490" t="s">
        <v>1505</v>
      </c>
      <c r="E403" s="490" t="s">
        <v>1409</v>
      </c>
      <c r="F403" s="490">
        <v>100</v>
      </c>
      <c r="G403" s="490" t="s">
        <v>508</v>
      </c>
      <c r="H403" s="485" t="s">
        <v>1517</v>
      </c>
    </row>
    <row r="404" spans="1:8" x14ac:dyDescent="0.45">
      <c r="A404" s="486">
        <v>73</v>
      </c>
      <c r="B404" s="490" t="s">
        <v>1366</v>
      </c>
      <c r="C404" s="490" t="s">
        <v>1379</v>
      </c>
      <c r="D404" s="490" t="s">
        <v>1505</v>
      </c>
      <c r="E404" s="490" t="s">
        <v>1478</v>
      </c>
      <c r="F404" s="490">
        <v>100</v>
      </c>
      <c r="G404" s="490" t="s">
        <v>508</v>
      </c>
      <c r="H404" s="485" t="s">
        <v>1517</v>
      </c>
    </row>
    <row r="405" spans="1:8" x14ac:dyDescent="0.45">
      <c r="A405" s="486">
        <v>74</v>
      </c>
      <c r="B405" s="490" t="s">
        <v>1366</v>
      </c>
      <c r="C405" s="490" t="s">
        <v>1372</v>
      </c>
      <c r="D405" s="490" t="s">
        <v>1505</v>
      </c>
      <c r="E405" s="490" t="s">
        <v>1409</v>
      </c>
      <c r="F405" s="490">
        <v>100</v>
      </c>
      <c r="G405" s="490" t="s">
        <v>508</v>
      </c>
      <c r="H405" s="485" t="s">
        <v>1517</v>
      </c>
    </row>
    <row r="406" spans="1:8" x14ac:dyDescent="0.45">
      <c r="A406" s="486">
        <v>75</v>
      </c>
      <c r="B406" s="490" t="s">
        <v>1366</v>
      </c>
      <c r="C406" s="490" t="s">
        <v>1509</v>
      </c>
      <c r="D406" s="490" t="s">
        <v>1505</v>
      </c>
      <c r="E406" s="490" t="s">
        <v>1409</v>
      </c>
      <c r="F406" s="490">
        <v>10</v>
      </c>
      <c r="G406" s="490" t="s">
        <v>508</v>
      </c>
      <c r="H406" s="485" t="s">
        <v>1517</v>
      </c>
    </row>
    <row r="407" spans="1:8" x14ac:dyDescent="0.45">
      <c r="A407" s="486">
        <v>76</v>
      </c>
      <c r="B407" s="490" t="s">
        <v>1366</v>
      </c>
      <c r="C407" s="490" t="s">
        <v>1384</v>
      </c>
      <c r="D407" s="490" t="s">
        <v>1505</v>
      </c>
      <c r="E407" s="490" t="s">
        <v>1409</v>
      </c>
      <c r="F407" s="490">
        <v>10</v>
      </c>
      <c r="G407" s="490" t="s">
        <v>508</v>
      </c>
      <c r="H407" s="485" t="s">
        <v>1517</v>
      </c>
    </row>
    <row r="408" spans="1:8" x14ac:dyDescent="0.45">
      <c r="A408" s="486">
        <v>77</v>
      </c>
      <c r="B408" s="490" t="s">
        <v>1366</v>
      </c>
      <c r="C408" s="490" t="s">
        <v>1373</v>
      </c>
      <c r="D408" s="490" t="s">
        <v>1505</v>
      </c>
      <c r="E408" s="490" t="s">
        <v>1409</v>
      </c>
      <c r="F408" s="490">
        <v>10</v>
      </c>
      <c r="G408" s="490" t="s">
        <v>508</v>
      </c>
      <c r="H408" s="485" t="s">
        <v>1517</v>
      </c>
    </row>
    <row r="409" spans="1:8" x14ac:dyDescent="0.45">
      <c r="A409" s="486">
        <v>78</v>
      </c>
      <c r="B409" s="490" t="s">
        <v>1398</v>
      </c>
      <c r="C409" s="490" t="s">
        <v>1410</v>
      </c>
      <c r="D409" s="490" t="s">
        <v>1387</v>
      </c>
      <c r="E409" s="490" t="s">
        <v>1457</v>
      </c>
      <c r="F409" s="490">
        <v>2</v>
      </c>
      <c r="G409" s="490" t="s">
        <v>508</v>
      </c>
      <c r="H409" s="485" t="s">
        <v>1518</v>
      </c>
    </row>
    <row r="410" spans="1:8" x14ac:dyDescent="0.45">
      <c r="A410" s="486">
        <v>79</v>
      </c>
      <c r="B410" s="490" t="s">
        <v>1366</v>
      </c>
      <c r="C410" s="490" t="s">
        <v>1386</v>
      </c>
      <c r="D410" s="490" t="s">
        <v>1505</v>
      </c>
      <c r="E410" s="490" t="s">
        <v>1409</v>
      </c>
      <c r="F410" s="490">
        <v>2</v>
      </c>
      <c r="G410" s="490" t="s">
        <v>508</v>
      </c>
      <c r="H410" s="485" t="s">
        <v>1518</v>
      </c>
    </row>
    <row r="411" spans="1:8" x14ac:dyDescent="0.45">
      <c r="A411" s="486">
        <v>80</v>
      </c>
      <c r="B411" s="490" t="s">
        <v>1366</v>
      </c>
      <c r="C411" s="490" t="s">
        <v>1372</v>
      </c>
      <c r="D411" s="490" t="s">
        <v>1505</v>
      </c>
      <c r="E411" s="490" t="s">
        <v>1409</v>
      </c>
      <c r="F411" s="490">
        <v>10</v>
      </c>
      <c r="G411" s="490" t="s">
        <v>508</v>
      </c>
      <c r="H411" s="485" t="s">
        <v>1518</v>
      </c>
    </row>
    <row r="412" spans="1:8" x14ac:dyDescent="0.45">
      <c r="A412" s="486">
        <v>81</v>
      </c>
      <c r="B412" s="490" t="s">
        <v>1366</v>
      </c>
      <c r="C412" s="490" t="s">
        <v>1373</v>
      </c>
      <c r="D412" s="490" t="s">
        <v>1505</v>
      </c>
      <c r="E412" s="490" t="s">
        <v>1409</v>
      </c>
      <c r="F412" s="490">
        <v>2</v>
      </c>
      <c r="G412" s="490" t="s">
        <v>508</v>
      </c>
      <c r="H412" s="485" t="s">
        <v>1518</v>
      </c>
    </row>
    <row r="413" spans="1:8" x14ac:dyDescent="0.45">
      <c r="A413" s="486">
        <v>82</v>
      </c>
      <c r="B413" s="490" t="s">
        <v>1366</v>
      </c>
      <c r="C413" s="490" t="s">
        <v>1390</v>
      </c>
      <c r="D413" s="490" t="s">
        <v>1505</v>
      </c>
      <c r="E413" s="490" t="s">
        <v>1409</v>
      </c>
      <c r="F413" s="490">
        <v>2</v>
      </c>
      <c r="G413" s="490" t="s">
        <v>508</v>
      </c>
      <c r="H413" s="485" t="s">
        <v>1518</v>
      </c>
    </row>
    <row r="414" spans="1:8" x14ac:dyDescent="0.45">
      <c r="A414" s="486">
        <v>83</v>
      </c>
      <c r="B414" s="490" t="s">
        <v>1366</v>
      </c>
      <c r="C414" s="490" t="s">
        <v>1379</v>
      </c>
      <c r="D414" s="490" t="s">
        <v>1505</v>
      </c>
      <c r="E414" s="490" t="s">
        <v>1409</v>
      </c>
      <c r="F414" s="490">
        <v>20</v>
      </c>
      <c r="G414" s="490" t="s">
        <v>508</v>
      </c>
      <c r="H414" s="485" t="s">
        <v>1518</v>
      </c>
    </row>
    <row r="415" spans="1:8" x14ac:dyDescent="0.45">
      <c r="A415" s="486">
        <v>84</v>
      </c>
      <c r="B415" s="490" t="s">
        <v>1366</v>
      </c>
      <c r="C415" s="490" t="s">
        <v>1367</v>
      </c>
      <c r="D415" s="490" t="s">
        <v>1505</v>
      </c>
      <c r="E415" s="490" t="s">
        <v>1409</v>
      </c>
      <c r="F415" s="490">
        <v>50</v>
      </c>
      <c r="G415" s="490" t="s">
        <v>508</v>
      </c>
      <c r="H415" s="485" t="s">
        <v>1518</v>
      </c>
    </row>
    <row r="416" spans="1:8" x14ac:dyDescent="0.45">
      <c r="A416" s="417">
        <v>85</v>
      </c>
      <c r="B416" s="491" t="s">
        <v>1366</v>
      </c>
      <c r="C416" s="491" t="s">
        <v>1383</v>
      </c>
      <c r="D416" s="491" t="s">
        <v>1505</v>
      </c>
      <c r="E416" s="491" t="s">
        <v>1409</v>
      </c>
      <c r="F416" s="491">
        <v>4</v>
      </c>
      <c r="G416" s="491" t="s">
        <v>508</v>
      </c>
      <c r="H416" s="418" t="s">
        <v>1518</v>
      </c>
    </row>
    <row r="419" spans="1:8" ht="15.75" x14ac:dyDescent="0.45">
      <c r="A419" s="615" t="s">
        <v>1519</v>
      </c>
      <c r="B419" s="615"/>
      <c r="C419" s="615"/>
      <c r="D419" s="615"/>
      <c r="E419" s="615"/>
      <c r="F419" s="615"/>
      <c r="G419" s="615"/>
      <c r="H419" s="615"/>
    </row>
    <row r="420" spans="1:8" ht="15.75" x14ac:dyDescent="0.45">
      <c r="A420" s="419" t="s">
        <v>501</v>
      </c>
      <c r="B420" s="420" t="s">
        <v>676</v>
      </c>
      <c r="C420" s="420" t="s">
        <v>1082</v>
      </c>
      <c r="D420" s="420" t="s">
        <v>876</v>
      </c>
      <c r="E420" s="420" t="s">
        <v>353</v>
      </c>
      <c r="F420" s="420" t="s">
        <v>105</v>
      </c>
      <c r="G420" s="420" t="s">
        <v>1364</v>
      </c>
      <c r="H420" s="421" t="s">
        <v>505</v>
      </c>
    </row>
    <row r="421" spans="1:8" x14ac:dyDescent="0.45">
      <c r="A421" s="486">
        <v>1</v>
      </c>
      <c r="B421" s="490" t="s">
        <v>1365</v>
      </c>
      <c r="C421" s="490" t="s">
        <v>1291</v>
      </c>
      <c r="D421" s="490" t="s">
        <v>322</v>
      </c>
      <c r="E421" s="490" t="s">
        <v>322</v>
      </c>
      <c r="F421" s="490">
        <v>1</v>
      </c>
      <c r="G421" s="490" t="s">
        <v>508</v>
      </c>
      <c r="H421" s="485"/>
    </row>
    <row r="422" spans="1:8" x14ac:dyDescent="0.45">
      <c r="A422" s="486">
        <v>2</v>
      </c>
      <c r="B422" s="490" t="s">
        <v>1385</v>
      </c>
      <c r="C422" s="490" t="s">
        <v>1367</v>
      </c>
      <c r="D422" s="490" t="s">
        <v>1520</v>
      </c>
      <c r="E422" s="490" t="s">
        <v>1471</v>
      </c>
      <c r="F422" s="490">
        <v>42</v>
      </c>
      <c r="G422" s="490" t="s">
        <v>526</v>
      </c>
      <c r="H422" s="485"/>
    </row>
    <row r="423" spans="1:8" x14ac:dyDescent="0.45">
      <c r="A423" s="486">
        <v>3</v>
      </c>
      <c r="B423" s="490" t="s">
        <v>1385</v>
      </c>
      <c r="C423" s="490" t="s">
        <v>1372</v>
      </c>
      <c r="D423" s="490" t="s">
        <v>1520</v>
      </c>
      <c r="E423" s="490" t="s">
        <v>1471</v>
      </c>
      <c r="F423" s="490">
        <v>10</v>
      </c>
      <c r="G423" s="490" t="s">
        <v>508</v>
      </c>
      <c r="H423" s="485"/>
    </row>
    <row r="424" spans="1:8" x14ac:dyDescent="0.45">
      <c r="A424" s="486">
        <v>4</v>
      </c>
      <c r="B424" s="490" t="s">
        <v>1385</v>
      </c>
      <c r="C424" s="490" t="s">
        <v>1376</v>
      </c>
      <c r="D424" s="490" t="s">
        <v>1520</v>
      </c>
      <c r="E424" s="490" t="s">
        <v>1471</v>
      </c>
      <c r="F424" s="490">
        <v>10</v>
      </c>
      <c r="G424" s="490" t="s">
        <v>508</v>
      </c>
      <c r="H424" s="485"/>
    </row>
    <row r="425" spans="1:8" x14ac:dyDescent="0.45">
      <c r="A425" s="486">
        <v>5</v>
      </c>
      <c r="B425" s="490" t="s">
        <v>1385</v>
      </c>
      <c r="C425" s="490" t="s">
        <v>1455</v>
      </c>
      <c r="D425" s="490" t="s">
        <v>1520</v>
      </c>
      <c r="E425" s="490" t="s">
        <v>1471</v>
      </c>
      <c r="F425" s="490">
        <v>1</v>
      </c>
      <c r="G425" s="490" t="s">
        <v>508</v>
      </c>
      <c r="H425" s="485"/>
    </row>
    <row r="426" spans="1:8" x14ac:dyDescent="0.45">
      <c r="A426" s="486">
        <v>6</v>
      </c>
      <c r="B426" s="490" t="s">
        <v>1385</v>
      </c>
      <c r="C426" s="490" t="s">
        <v>1373</v>
      </c>
      <c r="D426" s="490" t="s">
        <v>322</v>
      </c>
      <c r="E426" s="490" t="s">
        <v>1471</v>
      </c>
      <c r="F426" s="490">
        <v>1</v>
      </c>
      <c r="G426" s="490" t="s">
        <v>508</v>
      </c>
      <c r="H426" s="485"/>
    </row>
    <row r="427" spans="1:8" x14ac:dyDescent="0.45">
      <c r="A427" s="486">
        <v>7</v>
      </c>
      <c r="B427" s="490" t="s">
        <v>1385</v>
      </c>
      <c r="C427" s="490" t="s">
        <v>1521</v>
      </c>
      <c r="D427" s="490" t="s">
        <v>322</v>
      </c>
      <c r="E427" s="490" t="s">
        <v>1471</v>
      </c>
      <c r="F427" s="490">
        <v>1</v>
      </c>
      <c r="G427" s="490" t="s">
        <v>508</v>
      </c>
      <c r="H427" s="485"/>
    </row>
    <row r="428" spans="1:8" x14ac:dyDescent="0.45">
      <c r="A428" s="486">
        <v>8</v>
      </c>
      <c r="B428" s="490" t="s">
        <v>1385</v>
      </c>
      <c r="C428" s="490" t="s">
        <v>1522</v>
      </c>
      <c r="D428" s="490" t="s">
        <v>322</v>
      </c>
      <c r="E428" s="490" t="s">
        <v>1461</v>
      </c>
      <c r="F428" s="490">
        <v>2</v>
      </c>
      <c r="G428" s="490" t="s">
        <v>508</v>
      </c>
      <c r="H428" s="485"/>
    </row>
    <row r="429" spans="1:8" x14ac:dyDescent="0.45">
      <c r="A429" s="486">
        <v>9</v>
      </c>
      <c r="B429" s="490" t="s">
        <v>1385</v>
      </c>
      <c r="C429" s="490" t="s">
        <v>1394</v>
      </c>
      <c r="D429" s="490" t="s">
        <v>1520</v>
      </c>
      <c r="E429" s="490" t="s">
        <v>1461</v>
      </c>
      <c r="F429" s="490">
        <v>1</v>
      </c>
      <c r="G429" s="490" t="s">
        <v>508</v>
      </c>
      <c r="H429" s="485"/>
    </row>
    <row r="430" spans="1:8" x14ac:dyDescent="0.45">
      <c r="A430" s="486">
        <v>10</v>
      </c>
      <c r="B430" s="490" t="s">
        <v>1385</v>
      </c>
      <c r="C430" s="490" t="s">
        <v>1373</v>
      </c>
      <c r="D430" s="490" t="s">
        <v>322</v>
      </c>
      <c r="E430" s="490" t="s">
        <v>1381</v>
      </c>
      <c r="F430" s="490">
        <v>1</v>
      </c>
      <c r="G430" s="490" t="s">
        <v>508</v>
      </c>
      <c r="H430" s="485"/>
    </row>
    <row r="431" spans="1:8" x14ac:dyDescent="0.45">
      <c r="A431" s="486">
        <v>11</v>
      </c>
      <c r="B431" s="490" t="s">
        <v>1385</v>
      </c>
      <c r="C431" s="490" t="s">
        <v>1376</v>
      </c>
      <c r="D431" s="490" t="s">
        <v>1520</v>
      </c>
      <c r="E431" s="490" t="s">
        <v>1381</v>
      </c>
      <c r="F431" s="490">
        <v>4</v>
      </c>
      <c r="G431" s="490" t="s">
        <v>508</v>
      </c>
      <c r="H431" s="496"/>
    </row>
    <row r="432" spans="1:8" x14ac:dyDescent="0.45">
      <c r="A432" s="486">
        <v>12</v>
      </c>
      <c r="B432" s="490" t="s">
        <v>1385</v>
      </c>
      <c r="C432" s="490" t="s">
        <v>1367</v>
      </c>
      <c r="D432" s="490" t="s">
        <v>1520</v>
      </c>
      <c r="E432" s="490" t="s">
        <v>1381</v>
      </c>
      <c r="F432" s="490">
        <v>24</v>
      </c>
      <c r="G432" s="479" t="s">
        <v>526</v>
      </c>
      <c r="H432" s="496"/>
    </row>
    <row r="433" spans="1:8" x14ac:dyDescent="0.45">
      <c r="A433" s="486">
        <v>13</v>
      </c>
      <c r="B433" s="490" t="s">
        <v>1385</v>
      </c>
      <c r="C433" s="490" t="s">
        <v>1372</v>
      </c>
      <c r="D433" s="490" t="s">
        <v>1520</v>
      </c>
      <c r="E433" s="490" t="s">
        <v>1381</v>
      </c>
      <c r="F433" s="490">
        <v>4</v>
      </c>
      <c r="G433" s="490" t="s">
        <v>508</v>
      </c>
      <c r="H433" s="496"/>
    </row>
    <row r="434" spans="1:8" x14ac:dyDescent="0.45">
      <c r="A434" s="417">
        <v>14</v>
      </c>
      <c r="B434" s="491" t="s">
        <v>1523</v>
      </c>
      <c r="C434" s="491" t="s">
        <v>1524</v>
      </c>
      <c r="D434" s="491" t="s">
        <v>322</v>
      </c>
      <c r="E434" s="425" t="s">
        <v>322</v>
      </c>
      <c r="F434" s="491">
        <v>1</v>
      </c>
      <c r="G434" s="491" t="s">
        <v>508</v>
      </c>
      <c r="H434" s="426"/>
    </row>
    <row r="435" spans="1:8" x14ac:dyDescent="0.45">
      <c r="A435" s="79"/>
      <c r="B435" s="79"/>
      <c r="C435" s="79"/>
      <c r="D435" s="79"/>
      <c r="F435" s="79"/>
      <c r="G435" s="79"/>
    </row>
    <row r="437" spans="1:8" ht="15.75" x14ac:dyDescent="0.45">
      <c r="A437" s="615" t="s">
        <v>1525</v>
      </c>
      <c r="B437" s="615"/>
      <c r="C437" s="615"/>
      <c r="D437" s="615"/>
      <c r="E437" s="615"/>
      <c r="F437" s="615"/>
      <c r="G437" s="615"/>
      <c r="H437" s="615"/>
    </row>
    <row r="438" spans="1:8" ht="15.75" x14ac:dyDescent="0.45">
      <c r="A438" s="427" t="s">
        <v>501</v>
      </c>
      <c r="B438" s="428" t="s">
        <v>676</v>
      </c>
      <c r="C438" s="428" t="s">
        <v>1082</v>
      </c>
      <c r="D438" s="428" t="s">
        <v>876</v>
      </c>
      <c r="E438" s="428" t="s">
        <v>353</v>
      </c>
      <c r="F438" s="428" t="s">
        <v>105</v>
      </c>
      <c r="G438" s="428" t="s">
        <v>1364</v>
      </c>
      <c r="H438" s="429" t="s">
        <v>505</v>
      </c>
    </row>
    <row r="439" spans="1:8" x14ac:dyDescent="0.45">
      <c r="A439" s="486">
        <v>1</v>
      </c>
      <c r="B439" s="490" t="s">
        <v>1365</v>
      </c>
      <c r="C439" s="490" t="s">
        <v>1291</v>
      </c>
      <c r="D439" s="490" t="s">
        <v>322</v>
      </c>
      <c r="E439" s="490" t="s">
        <v>322</v>
      </c>
      <c r="F439" s="490">
        <v>1</v>
      </c>
      <c r="G439" s="490" t="s">
        <v>508</v>
      </c>
      <c r="H439" s="485"/>
    </row>
    <row r="440" spans="1:8" x14ac:dyDescent="0.45">
      <c r="A440" s="486">
        <v>2</v>
      </c>
      <c r="B440" s="490" t="s">
        <v>1385</v>
      </c>
      <c r="C440" s="490" t="s">
        <v>1367</v>
      </c>
      <c r="D440" s="490" t="s">
        <v>1520</v>
      </c>
      <c r="E440" s="490" t="s">
        <v>1471</v>
      </c>
      <c r="F440" s="490">
        <v>42</v>
      </c>
      <c r="G440" s="490" t="s">
        <v>526</v>
      </c>
      <c r="H440" s="485"/>
    </row>
    <row r="441" spans="1:8" x14ac:dyDescent="0.45">
      <c r="A441" s="486">
        <v>3</v>
      </c>
      <c r="B441" s="490" t="s">
        <v>1385</v>
      </c>
      <c r="C441" s="490" t="s">
        <v>1372</v>
      </c>
      <c r="D441" s="490" t="s">
        <v>1520</v>
      </c>
      <c r="E441" s="490" t="s">
        <v>1471</v>
      </c>
      <c r="F441" s="490">
        <v>10</v>
      </c>
      <c r="G441" s="490" t="s">
        <v>508</v>
      </c>
      <c r="H441" s="485"/>
    </row>
    <row r="442" spans="1:8" x14ac:dyDescent="0.45">
      <c r="A442" s="486">
        <v>4</v>
      </c>
      <c r="B442" s="490" t="s">
        <v>1385</v>
      </c>
      <c r="C442" s="490" t="s">
        <v>1376</v>
      </c>
      <c r="D442" s="490" t="s">
        <v>1520</v>
      </c>
      <c r="E442" s="490" t="s">
        <v>1471</v>
      </c>
      <c r="F442" s="490">
        <v>10</v>
      </c>
      <c r="G442" s="490" t="s">
        <v>508</v>
      </c>
      <c r="H442" s="485"/>
    </row>
    <row r="443" spans="1:8" x14ac:dyDescent="0.45">
      <c r="A443" s="486">
        <v>5</v>
      </c>
      <c r="B443" s="490" t="s">
        <v>1385</v>
      </c>
      <c r="C443" s="490" t="s">
        <v>1455</v>
      </c>
      <c r="D443" s="490" t="s">
        <v>1520</v>
      </c>
      <c r="E443" s="490" t="s">
        <v>1471</v>
      </c>
      <c r="F443" s="490">
        <v>1</v>
      </c>
      <c r="G443" s="490" t="s">
        <v>508</v>
      </c>
      <c r="H443" s="485"/>
    </row>
    <row r="444" spans="1:8" x14ac:dyDescent="0.45">
      <c r="A444" s="486">
        <v>6</v>
      </c>
      <c r="B444" s="490" t="s">
        <v>1385</v>
      </c>
      <c r="C444" s="490" t="s">
        <v>1373</v>
      </c>
      <c r="D444" s="490" t="s">
        <v>322</v>
      </c>
      <c r="E444" s="490" t="s">
        <v>1471</v>
      </c>
      <c r="F444" s="490">
        <v>1</v>
      </c>
      <c r="G444" s="490" t="s">
        <v>508</v>
      </c>
      <c r="H444" s="485"/>
    </row>
    <row r="445" spans="1:8" x14ac:dyDescent="0.45">
      <c r="A445" s="486">
        <v>7</v>
      </c>
      <c r="B445" s="490" t="s">
        <v>1385</v>
      </c>
      <c r="C445" s="490" t="s">
        <v>1521</v>
      </c>
      <c r="D445" s="490" t="s">
        <v>322</v>
      </c>
      <c r="E445" s="490" t="s">
        <v>1471</v>
      </c>
      <c r="F445" s="490">
        <v>1</v>
      </c>
      <c r="G445" s="490" t="s">
        <v>508</v>
      </c>
      <c r="H445" s="485"/>
    </row>
    <row r="446" spans="1:8" x14ac:dyDescent="0.45">
      <c r="A446" s="486">
        <v>8</v>
      </c>
      <c r="B446" s="490" t="s">
        <v>1385</v>
      </c>
      <c r="C446" s="490" t="s">
        <v>1522</v>
      </c>
      <c r="D446" s="490" t="s">
        <v>322</v>
      </c>
      <c r="E446" s="490" t="s">
        <v>1461</v>
      </c>
      <c r="F446" s="490">
        <v>2</v>
      </c>
      <c r="G446" s="490" t="s">
        <v>508</v>
      </c>
      <c r="H446" s="485"/>
    </row>
    <row r="447" spans="1:8" x14ac:dyDescent="0.45">
      <c r="A447" s="486">
        <v>9</v>
      </c>
      <c r="B447" s="490" t="s">
        <v>1385</v>
      </c>
      <c r="C447" s="490" t="s">
        <v>1394</v>
      </c>
      <c r="D447" s="490" t="s">
        <v>1520</v>
      </c>
      <c r="E447" s="490" t="s">
        <v>1461</v>
      </c>
      <c r="F447" s="490">
        <v>1</v>
      </c>
      <c r="G447" s="490" t="s">
        <v>508</v>
      </c>
      <c r="H447" s="485"/>
    </row>
    <row r="448" spans="1:8" x14ac:dyDescent="0.45">
      <c r="A448" s="486">
        <v>10</v>
      </c>
      <c r="B448" s="490" t="s">
        <v>1385</v>
      </c>
      <c r="C448" s="490" t="s">
        <v>1373</v>
      </c>
      <c r="D448" s="490" t="s">
        <v>322</v>
      </c>
      <c r="E448" s="490" t="s">
        <v>1381</v>
      </c>
      <c r="F448" s="490">
        <v>1</v>
      </c>
      <c r="G448" s="490" t="s">
        <v>508</v>
      </c>
      <c r="H448" s="485"/>
    </row>
    <row r="449" spans="1:8" x14ac:dyDescent="0.45">
      <c r="A449" s="486">
        <v>11</v>
      </c>
      <c r="B449" s="490" t="s">
        <v>1385</v>
      </c>
      <c r="C449" s="490" t="s">
        <v>1376</v>
      </c>
      <c r="D449" s="490" t="s">
        <v>1520</v>
      </c>
      <c r="E449" s="490" t="s">
        <v>1381</v>
      </c>
      <c r="F449" s="490">
        <v>4</v>
      </c>
      <c r="G449" s="490" t="s">
        <v>508</v>
      </c>
      <c r="H449" s="496"/>
    </row>
    <row r="450" spans="1:8" x14ac:dyDescent="0.45">
      <c r="A450" s="486">
        <v>12</v>
      </c>
      <c r="B450" s="490" t="s">
        <v>1385</v>
      </c>
      <c r="C450" s="490" t="s">
        <v>1367</v>
      </c>
      <c r="D450" s="490" t="s">
        <v>1520</v>
      </c>
      <c r="E450" s="490" t="s">
        <v>1381</v>
      </c>
      <c r="F450" s="490">
        <v>24</v>
      </c>
      <c r="G450" s="479" t="s">
        <v>526</v>
      </c>
      <c r="H450" s="496"/>
    </row>
    <row r="451" spans="1:8" x14ac:dyDescent="0.45">
      <c r="A451" s="486">
        <v>13</v>
      </c>
      <c r="B451" s="490" t="s">
        <v>1385</v>
      </c>
      <c r="C451" s="490" t="s">
        <v>1372</v>
      </c>
      <c r="D451" s="490" t="s">
        <v>1520</v>
      </c>
      <c r="E451" s="490" t="s">
        <v>1381</v>
      </c>
      <c r="F451" s="490">
        <v>4</v>
      </c>
      <c r="G451" s="490" t="s">
        <v>508</v>
      </c>
      <c r="H451" s="496"/>
    </row>
    <row r="452" spans="1:8" x14ac:dyDescent="0.45">
      <c r="A452" s="417">
        <v>14</v>
      </c>
      <c r="B452" s="491" t="s">
        <v>1523</v>
      </c>
      <c r="C452" s="491" t="s">
        <v>1524</v>
      </c>
      <c r="D452" s="491" t="s">
        <v>322</v>
      </c>
      <c r="E452" s="423" t="s">
        <v>322</v>
      </c>
      <c r="F452" s="491">
        <v>1</v>
      </c>
      <c r="G452" s="491" t="s">
        <v>508</v>
      </c>
      <c r="H452" s="426"/>
    </row>
    <row r="453" spans="1:8" x14ac:dyDescent="0.45">
      <c r="A453" s="79"/>
      <c r="B453" s="79"/>
      <c r="C453" s="79"/>
      <c r="D453" s="79"/>
      <c r="E453" s="1"/>
      <c r="F453" s="79"/>
      <c r="G453" s="79"/>
    </row>
    <row r="455" spans="1:8" ht="15.75" x14ac:dyDescent="0.45">
      <c r="A455" s="615" t="s">
        <v>1526</v>
      </c>
      <c r="B455" s="615"/>
      <c r="C455" s="615"/>
      <c r="D455" s="615"/>
      <c r="E455" s="615"/>
      <c r="F455" s="615"/>
      <c r="G455" s="615"/>
      <c r="H455" s="615"/>
    </row>
    <row r="456" spans="1:8" ht="15.75" x14ac:dyDescent="0.45">
      <c r="A456" s="427" t="s">
        <v>501</v>
      </c>
      <c r="B456" s="428" t="s">
        <v>676</v>
      </c>
      <c r="C456" s="428" t="s">
        <v>1082</v>
      </c>
      <c r="D456" s="428" t="s">
        <v>876</v>
      </c>
      <c r="E456" s="428" t="s">
        <v>353</v>
      </c>
      <c r="F456" s="428" t="s">
        <v>105</v>
      </c>
      <c r="G456" s="428" t="s">
        <v>1364</v>
      </c>
      <c r="H456" s="429" t="s">
        <v>505</v>
      </c>
    </row>
    <row r="457" spans="1:8" x14ac:dyDescent="0.45">
      <c r="A457" s="486">
        <v>1</v>
      </c>
      <c r="B457" s="490" t="s">
        <v>1365</v>
      </c>
      <c r="C457" s="490" t="s">
        <v>1291</v>
      </c>
      <c r="D457" s="490" t="s">
        <v>322</v>
      </c>
      <c r="E457" s="490" t="s">
        <v>322</v>
      </c>
      <c r="F457" s="490">
        <v>1</v>
      </c>
      <c r="G457" s="490" t="s">
        <v>508</v>
      </c>
      <c r="H457" s="485"/>
    </row>
    <row r="458" spans="1:8" x14ac:dyDescent="0.45">
      <c r="A458" s="486">
        <v>2</v>
      </c>
      <c r="B458" s="490" t="s">
        <v>1385</v>
      </c>
      <c r="C458" s="490" t="s">
        <v>1367</v>
      </c>
      <c r="D458" s="490" t="s">
        <v>1520</v>
      </c>
      <c r="E458" s="490" t="s">
        <v>1471</v>
      </c>
      <c r="F458" s="490">
        <v>42</v>
      </c>
      <c r="G458" s="490" t="s">
        <v>526</v>
      </c>
      <c r="H458" s="485"/>
    </row>
    <row r="459" spans="1:8" x14ac:dyDescent="0.45">
      <c r="A459" s="486">
        <v>3</v>
      </c>
      <c r="B459" s="490" t="s">
        <v>1385</v>
      </c>
      <c r="C459" s="490" t="s">
        <v>1372</v>
      </c>
      <c r="D459" s="490" t="s">
        <v>1520</v>
      </c>
      <c r="E459" s="490" t="s">
        <v>1471</v>
      </c>
      <c r="F459" s="490">
        <v>10</v>
      </c>
      <c r="G459" s="490" t="s">
        <v>508</v>
      </c>
      <c r="H459" s="485"/>
    </row>
    <row r="460" spans="1:8" x14ac:dyDescent="0.45">
      <c r="A460" s="486">
        <v>4</v>
      </c>
      <c r="B460" s="490" t="s">
        <v>1385</v>
      </c>
      <c r="C460" s="490" t="s">
        <v>1376</v>
      </c>
      <c r="D460" s="490" t="s">
        <v>1520</v>
      </c>
      <c r="E460" s="490" t="s">
        <v>1471</v>
      </c>
      <c r="F460" s="490">
        <v>10</v>
      </c>
      <c r="G460" s="490" t="s">
        <v>508</v>
      </c>
      <c r="H460" s="485"/>
    </row>
    <row r="461" spans="1:8" x14ac:dyDescent="0.45">
      <c r="A461" s="486">
        <v>5</v>
      </c>
      <c r="B461" s="490" t="s">
        <v>1385</v>
      </c>
      <c r="C461" s="490" t="s">
        <v>1455</v>
      </c>
      <c r="D461" s="490" t="s">
        <v>1520</v>
      </c>
      <c r="E461" s="490" t="s">
        <v>1471</v>
      </c>
      <c r="F461" s="490">
        <v>1</v>
      </c>
      <c r="G461" s="490" t="s">
        <v>508</v>
      </c>
      <c r="H461" s="485"/>
    </row>
    <row r="462" spans="1:8" x14ac:dyDescent="0.45">
      <c r="A462" s="486">
        <v>6</v>
      </c>
      <c r="B462" s="490" t="s">
        <v>1385</v>
      </c>
      <c r="C462" s="490" t="s">
        <v>1373</v>
      </c>
      <c r="D462" s="490" t="s">
        <v>322</v>
      </c>
      <c r="E462" s="490" t="s">
        <v>1471</v>
      </c>
      <c r="F462" s="490">
        <v>1</v>
      </c>
      <c r="G462" s="490" t="s">
        <v>508</v>
      </c>
      <c r="H462" s="485"/>
    </row>
    <row r="463" spans="1:8" x14ac:dyDescent="0.45">
      <c r="A463" s="486">
        <v>7</v>
      </c>
      <c r="B463" s="490" t="s">
        <v>1385</v>
      </c>
      <c r="C463" s="490" t="s">
        <v>1521</v>
      </c>
      <c r="D463" s="490" t="s">
        <v>322</v>
      </c>
      <c r="E463" s="490" t="s">
        <v>1471</v>
      </c>
      <c r="F463" s="490">
        <v>1</v>
      </c>
      <c r="G463" s="490" t="s">
        <v>508</v>
      </c>
      <c r="H463" s="485"/>
    </row>
    <row r="464" spans="1:8" x14ac:dyDescent="0.45">
      <c r="A464" s="486">
        <v>8</v>
      </c>
      <c r="B464" s="490" t="s">
        <v>1385</v>
      </c>
      <c r="C464" s="490" t="s">
        <v>1522</v>
      </c>
      <c r="D464" s="490" t="s">
        <v>322</v>
      </c>
      <c r="E464" s="490" t="s">
        <v>1461</v>
      </c>
      <c r="F464" s="490">
        <v>2</v>
      </c>
      <c r="G464" s="490" t="s">
        <v>508</v>
      </c>
      <c r="H464" s="485"/>
    </row>
    <row r="465" spans="1:8" x14ac:dyDescent="0.45">
      <c r="A465" s="486">
        <v>9</v>
      </c>
      <c r="B465" s="490" t="s">
        <v>1385</v>
      </c>
      <c r="C465" s="490" t="s">
        <v>1394</v>
      </c>
      <c r="D465" s="490" t="s">
        <v>1520</v>
      </c>
      <c r="E465" s="490" t="s">
        <v>1461</v>
      </c>
      <c r="F465" s="490">
        <v>1</v>
      </c>
      <c r="G465" s="490" t="s">
        <v>508</v>
      </c>
      <c r="H465" s="485"/>
    </row>
    <row r="466" spans="1:8" x14ac:dyDescent="0.45">
      <c r="A466" s="486">
        <v>10</v>
      </c>
      <c r="B466" s="490" t="s">
        <v>1385</v>
      </c>
      <c r="C466" s="490" t="s">
        <v>1373</v>
      </c>
      <c r="D466" s="490" t="s">
        <v>322</v>
      </c>
      <c r="E466" s="490" t="s">
        <v>1381</v>
      </c>
      <c r="F466" s="490">
        <v>1</v>
      </c>
      <c r="G466" s="490" t="s">
        <v>508</v>
      </c>
      <c r="H466" s="485"/>
    </row>
    <row r="467" spans="1:8" x14ac:dyDescent="0.45">
      <c r="A467" s="486">
        <v>11</v>
      </c>
      <c r="B467" s="490" t="s">
        <v>1385</v>
      </c>
      <c r="C467" s="490" t="s">
        <v>1376</v>
      </c>
      <c r="D467" s="490" t="s">
        <v>1520</v>
      </c>
      <c r="E467" s="490" t="s">
        <v>1381</v>
      </c>
      <c r="F467" s="490">
        <v>4</v>
      </c>
      <c r="G467" s="490" t="s">
        <v>508</v>
      </c>
      <c r="H467" s="496"/>
    </row>
    <row r="468" spans="1:8" x14ac:dyDescent="0.45">
      <c r="A468" s="486">
        <v>12</v>
      </c>
      <c r="B468" s="490" t="s">
        <v>1385</v>
      </c>
      <c r="C468" s="490" t="s">
        <v>1367</v>
      </c>
      <c r="D468" s="490" t="s">
        <v>1520</v>
      </c>
      <c r="E468" s="490" t="s">
        <v>1381</v>
      </c>
      <c r="F468" s="490">
        <v>24</v>
      </c>
      <c r="G468" s="479" t="s">
        <v>526</v>
      </c>
      <c r="H468" s="496"/>
    </row>
    <row r="469" spans="1:8" x14ac:dyDescent="0.45">
      <c r="A469" s="486">
        <v>13</v>
      </c>
      <c r="B469" s="490" t="s">
        <v>1385</v>
      </c>
      <c r="C469" s="490" t="s">
        <v>1372</v>
      </c>
      <c r="D469" s="490" t="s">
        <v>1520</v>
      </c>
      <c r="E469" s="490" t="s">
        <v>1381</v>
      </c>
      <c r="F469" s="490">
        <v>4</v>
      </c>
      <c r="G469" s="490" t="s">
        <v>508</v>
      </c>
      <c r="H469" s="496"/>
    </row>
    <row r="470" spans="1:8" x14ac:dyDescent="0.45">
      <c r="A470" s="417">
        <v>14</v>
      </c>
      <c r="B470" s="491" t="s">
        <v>1523</v>
      </c>
      <c r="C470" s="491" t="s">
        <v>1524</v>
      </c>
      <c r="D470" s="491" t="s">
        <v>322</v>
      </c>
      <c r="E470" s="423" t="s">
        <v>322</v>
      </c>
      <c r="F470" s="491">
        <v>1</v>
      </c>
      <c r="G470" s="491" t="s">
        <v>508</v>
      </c>
      <c r="H470" s="426"/>
    </row>
    <row r="473" spans="1:8" ht="15.75" x14ac:dyDescent="0.45">
      <c r="A473" s="615" t="s">
        <v>1527</v>
      </c>
      <c r="B473" s="615"/>
      <c r="C473" s="615"/>
      <c r="D473" s="615"/>
      <c r="E473" s="615"/>
      <c r="F473" s="615"/>
      <c r="G473" s="615"/>
      <c r="H473" s="615"/>
    </row>
    <row r="474" spans="1:8" ht="15.75" x14ac:dyDescent="0.45">
      <c r="A474" s="427" t="s">
        <v>501</v>
      </c>
      <c r="B474" s="428" t="s">
        <v>676</v>
      </c>
      <c r="C474" s="428" t="s">
        <v>1082</v>
      </c>
      <c r="D474" s="428" t="s">
        <v>876</v>
      </c>
      <c r="E474" s="428" t="s">
        <v>353</v>
      </c>
      <c r="F474" s="428" t="s">
        <v>105</v>
      </c>
      <c r="G474" s="428" t="s">
        <v>1364</v>
      </c>
      <c r="H474" s="429" t="s">
        <v>505</v>
      </c>
    </row>
    <row r="475" spans="1:8" x14ac:dyDescent="0.45">
      <c r="A475" s="486">
        <v>1</v>
      </c>
      <c r="B475" s="490" t="s">
        <v>1365</v>
      </c>
      <c r="C475" s="490" t="s">
        <v>1311</v>
      </c>
      <c r="D475" s="490" t="s">
        <v>322</v>
      </c>
      <c r="E475" s="490" t="s">
        <v>322</v>
      </c>
      <c r="F475" s="490">
        <v>1</v>
      </c>
      <c r="G475" s="490" t="s">
        <v>508</v>
      </c>
      <c r="H475" s="485"/>
    </row>
    <row r="476" spans="1:8" x14ac:dyDescent="0.45">
      <c r="A476" s="486">
        <v>2</v>
      </c>
      <c r="B476" s="490" t="s">
        <v>1385</v>
      </c>
      <c r="C476" s="490" t="s">
        <v>1367</v>
      </c>
      <c r="D476" s="490" t="s">
        <v>1520</v>
      </c>
      <c r="E476" s="490" t="s">
        <v>1528</v>
      </c>
      <c r="F476" s="490">
        <v>42</v>
      </c>
      <c r="G476" s="490" t="s">
        <v>526</v>
      </c>
      <c r="H476" s="485"/>
    </row>
    <row r="477" spans="1:8" x14ac:dyDescent="0.45">
      <c r="A477" s="486">
        <v>3</v>
      </c>
      <c r="B477" s="490" t="s">
        <v>1385</v>
      </c>
      <c r="C477" s="490" t="s">
        <v>1372</v>
      </c>
      <c r="D477" s="490" t="s">
        <v>1520</v>
      </c>
      <c r="E477" s="490" t="s">
        <v>1528</v>
      </c>
      <c r="F477" s="490">
        <v>10</v>
      </c>
      <c r="G477" s="490" t="s">
        <v>508</v>
      </c>
      <c r="H477" s="485"/>
    </row>
    <row r="478" spans="1:8" x14ac:dyDescent="0.45">
      <c r="A478" s="486">
        <v>4</v>
      </c>
      <c r="B478" s="490" t="s">
        <v>1385</v>
      </c>
      <c r="C478" s="490" t="s">
        <v>1376</v>
      </c>
      <c r="D478" s="490" t="s">
        <v>1520</v>
      </c>
      <c r="E478" s="490" t="s">
        <v>1528</v>
      </c>
      <c r="F478" s="490">
        <v>10</v>
      </c>
      <c r="G478" s="490" t="s">
        <v>508</v>
      </c>
      <c r="H478" s="485"/>
    </row>
    <row r="479" spans="1:8" x14ac:dyDescent="0.45">
      <c r="A479" s="486">
        <v>5</v>
      </c>
      <c r="B479" s="490" t="s">
        <v>1385</v>
      </c>
      <c r="C479" s="490" t="s">
        <v>1455</v>
      </c>
      <c r="D479" s="490" t="s">
        <v>1520</v>
      </c>
      <c r="E479" s="490" t="s">
        <v>1528</v>
      </c>
      <c r="F479" s="490">
        <v>1</v>
      </c>
      <c r="G479" s="490" t="s">
        <v>508</v>
      </c>
      <c r="H479" s="485"/>
    </row>
    <row r="480" spans="1:8" x14ac:dyDescent="0.45">
      <c r="A480" s="486">
        <v>6</v>
      </c>
      <c r="B480" s="490" t="s">
        <v>1385</v>
      </c>
      <c r="C480" s="490" t="s">
        <v>1373</v>
      </c>
      <c r="D480" s="490" t="s">
        <v>322</v>
      </c>
      <c r="E480" s="490" t="s">
        <v>1528</v>
      </c>
      <c r="F480" s="490">
        <v>1</v>
      </c>
      <c r="G480" s="490" t="s">
        <v>508</v>
      </c>
      <c r="H480" s="485"/>
    </row>
    <row r="481" spans="1:8" x14ac:dyDescent="0.45">
      <c r="A481" s="486">
        <v>7</v>
      </c>
      <c r="B481" s="490" t="s">
        <v>1385</v>
      </c>
      <c r="C481" s="490" t="s">
        <v>1521</v>
      </c>
      <c r="D481" s="490" t="s">
        <v>322</v>
      </c>
      <c r="E481" s="490" t="s">
        <v>1528</v>
      </c>
      <c r="F481" s="490">
        <v>1</v>
      </c>
      <c r="G481" s="490" t="s">
        <v>508</v>
      </c>
      <c r="H481" s="485"/>
    </row>
    <row r="482" spans="1:8" x14ac:dyDescent="0.45">
      <c r="A482" s="486">
        <v>8</v>
      </c>
      <c r="B482" s="490" t="s">
        <v>1385</v>
      </c>
      <c r="C482" s="490" t="s">
        <v>1522</v>
      </c>
      <c r="D482" s="490" t="s">
        <v>322</v>
      </c>
      <c r="E482" s="490" t="s">
        <v>1529</v>
      </c>
      <c r="F482" s="490">
        <v>2</v>
      </c>
      <c r="G482" s="490" t="s">
        <v>508</v>
      </c>
      <c r="H482" s="485"/>
    </row>
    <row r="483" spans="1:8" x14ac:dyDescent="0.45">
      <c r="A483" s="486">
        <v>9</v>
      </c>
      <c r="B483" s="490" t="s">
        <v>1385</v>
      </c>
      <c r="C483" s="490" t="s">
        <v>1394</v>
      </c>
      <c r="D483" s="490" t="s">
        <v>1520</v>
      </c>
      <c r="E483" s="490" t="s">
        <v>1529</v>
      </c>
      <c r="F483" s="490">
        <v>1</v>
      </c>
      <c r="G483" s="490" t="s">
        <v>508</v>
      </c>
      <c r="H483" s="485"/>
    </row>
    <row r="484" spans="1:8" x14ac:dyDescent="0.45">
      <c r="A484" s="486">
        <v>10</v>
      </c>
      <c r="B484" s="490" t="s">
        <v>1385</v>
      </c>
      <c r="C484" s="490" t="s">
        <v>1373</v>
      </c>
      <c r="D484" s="490" t="s">
        <v>322</v>
      </c>
      <c r="E484" s="490" t="s">
        <v>1380</v>
      </c>
      <c r="F484" s="490">
        <v>1</v>
      </c>
      <c r="G484" s="490" t="s">
        <v>508</v>
      </c>
      <c r="H484" s="485"/>
    </row>
    <row r="485" spans="1:8" x14ac:dyDescent="0.45">
      <c r="A485" s="486">
        <v>11</v>
      </c>
      <c r="B485" s="490" t="s">
        <v>1385</v>
      </c>
      <c r="C485" s="490" t="s">
        <v>1376</v>
      </c>
      <c r="D485" s="490" t="s">
        <v>1520</v>
      </c>
      <c r="E485" s="490" t="s">
        <v>1380</v>
      </c>
      <c r="F485" s="490">
        <v>4</v>
      </c>
      <c r="G485" s="490" t="s">
        <v>508</v>
      </c>
      <c r="H485" s="496"/>
    </row>
    <row r="486" spans="1:8" x14ac:dyDescent="0.45">
      <c r="A486" s="486">
        <v>12</v>
      </c>
      <c r="B486" s="490" t="s">
        <v>1385</v>
      </c>
      <c r="C486" s="490" t="s">
        <v>1376</v>
      </c>
      <c r="D486" s="490" t="s">
        <v>1520</v>
      </c>
      <c r="E486" s="490" t="s">
        <v>1381</v>
      </c>
      <c r="F486" s="490">
        <v>4</v>
      </c>
      <c r="G486" s="490" t="s">
        <v>508</v>
      </c>
      <c r="H486" s="496"/>
    </row>
    <row r="487" spans="1:8" x14ac:dyDescent="0.45">
      <c r="A487" s="486">
        <v>13</v>
      </c>
      <c r="B487" s="490" t="s">
        <v>1385</v>
      </c>
      <c r="C487" s="490" t="s">
        <v>1367</v>
      </c>
      <c r="D487" s="490" t="s">
        <v>1520</v>
      </c>
      <c r="E487" s="490" t="s">
        <v>1380</v>
      </c>
      <c r="F487" s="490">
        <v>6</v>
      </c>
      <c r="G487" s="479" t="s">
        <v>526</v>
      </c>
      <c r="H487" s="496"/>
    </row>
    <row r="488" spans="1:8" x14ac:dyDescent="0.45">
      <c r="A488" s="486">
        <v>14</v>
      </c>
      <c r="B488" s="490" t="s">
        <v>1385</v>
      </c>
      <c r="C488" s="490" t="s">
        <v>1367</v>
      </c>
      <c r="D488" s="490" t="s">
        <v>1520</v>
      </c>
      <c r="E488" s="490" t="s">
        <v>1381</v>
      </c>
      <c r="F488" s="490">
        <v>18</v>
      </c>
      <c r="G488" s="479" t="s">
        <v>526</v>
      </c>
      <c r="H488" s="496"/>
    </row>
    <row r="489" spans="1:8" x14ac:dyDescent="0.45">
      <c r="A489" s="486">
        <v>15</v>
      </c>
      <c r="B489" s="490" t="s">
        <v>1385</v>
      </c>
      <c r="C489" s="490" t="s">
        <v>1372</v>
      </c>
      <c r="D489" s="490" t="s">
        <v>1520</v>
      </c>
      <c r="E489" s="490" t="s">
        <v>1381</v>
      </c>
      <c r="F489" s="490">
        <v>4</v>
      </c>
      <c r="G489" s="490" t="s">
        <v>508</v>
      </c>
      <c r="H489" s="496"/>
    </row>
    <row r="490" spans="1:8" x14ac:dyDescent="0.45">
      <c r="A490" s="417">
        <v>16</v>
      </c>
      <c r="B490" s="491" t="s">
        <v>1523</v>
      </c>
      <c r="C490" s="491" t="s">
        <v>1524</v>
      </c>
      <c r="D490" s="491" t="s">
        <v>322</v>
      </c>
      <c r="E490" s="423" t="s">
        <v>322</v>
      </c>
      <c r="F490" s="491">
        <v>1</v>
      </c>
      <c r="G490" s="491" t="s">
        <v>508</v>
      </c>
      <c r="H490" s="426"/>
    </row>
    <row r="493" spans="1:8" ht="15.75" x14ac:dyDescent="0.45">
      <c r="A493" s="615" t="s">
        <v>1530</v>
      </c>
      <c r="B493" s="615"/>
      <c r="C493" s="615"/>
      <c r="D493" s="615"/>
      <c r="E493" s="615"/>
      <c r="F493" s="615"/>
      <c r="G493" s="615"/>
      <c r="H493" s="615"/>
    </row>
    <row r="494" spans="1:8" ht="15.75" x14ac:dyDescent="0.45">
      <c r="A494" s="427" t="s">
        <v>501</v>
      </c>
      <c r="B494" s="428" t="s">
        <v>676</v>
      </c>
      <c r="C494" s="428" t="s">
        <v>1082</v>
      </c>
      <c r="D494" s="428" t="s">
        <v>876</v>
      </c>
      <c r="E494" s="428" t="s">
        <v>353</v>
      </c>
      <c r="F494" s="428" t="s">
        <v>105</v>
      </c>
      <c r="G494" s="428" t="s">
        <v>1364</v>
      </c>
      <c r="H494" s="429" t="s">
        <v>505</v>
      </c>
    </row>
    <row r="495" spans="1:8" x14ac:dyDescent="0.45">
      <c r="A495" s="486">
        <v>1</v>
      </c>
      <c r="B495" s="490" t="s">
        <v>1365</v>
      </c>
      <c r="C495" s="490" t="s">
        <v>1311</v>
      </c>
      <c r="D495" s="490" t="s">
        <v>322</v>
      </c>
      <c r="E495" s="490" t="s">
        <v>322</v>
      </c>
      <c r="F495" s="490">
        <v>1</v>
      </c>
      <c r="G495" s="490" t="s">
        <v>508</v>
      </c>
      <c r="H495" s="485"/>
    </row>
    <row r="496" spans="1:8" x14ac:dyDescent="0.45">
      <c r="A496" s="486">
        <v>2</v>
      </c>
      <c r="B496" s="490" t="s">
        <v>1385</v>
      </c>
      <c r="C496" s="490" t="s">
        <v>1367</v>
      </c>
      <c r="D496" s="490" t="s">
        <v>1520</v>
      </c>
      <c r="E496" s="490" t="s">
        <v>1528</v>
      </c>
      <c r="F496" s="490">
        <v>42</v>
      </c>
      <c r="G496" s="490" t="s">
        <v>526</v>
      </c>
      <c r="H496" s="485"/>
    </row>
    <row r="497" spans="1:8" x14ac:dyDescent="0.45">
      <c r="A497" s="486">
        <v>3</v>
      </c>
      <c r="B497" s="490" t="s">
        <v>1385</v>
      </c>
      <c r="C497" s="490" t="s">
        <v>1372</v>
      </c>
      <c r="D497" s="490" t="s">
        <v>1520</v>
      </c>
      <c r="E497" s="490" t="s">
        <v>1528</v>
      </c>
      <c r="F497" s="490">
        <v>10</v>
      </c>
      <c r="G497" s="490" t="s">
        <v>508</v>
      </c>
      <c r="H497" s="485"/>
    </row>
    <row r="498" spans="1:8" x14ac:dyDescent="0.45">
      <c r="A498" s="486">
        <v>4</v>
      </c>
      <c r="B498" s="490" t="s">
        <v>1385</v>
      </c>
      <c r="C498" s="490" t="s">
        <v>1376</v>
      </c>
      <c r="D498" s="490" t="s">
        <v>1520</v>
      </c>
      <c r="E498" s="490" t="s">
        <v>1528</v>
      </c>
      <c r="F498" s="490">
        <v>10</v>
      </c>
      <c r="G498" s="490" t="s">
        <v>508</v>
      </c>
      <c r="H498" s="485"/>
    </row>
    <row r="499" spans="1:8" x14ac:dyDescent="0.45">
      <c r="A499" s="486">
        <v>5</v>
      </c>
      <c r="B499" s="490" t="s">
        <v>1385</v>
      </c>
      <c r="C499" s="490" t="s">
        <v>1455</v>
      </c>
      <c r="D499" s="490" t="s">
        <v>1520</v>
      </c>
      <c r="E499" s="490" t="s">
        <v>1528</v>
      </c>
      <c r="F499" s="490">
        <v>1</v>
      </c>
      <c r="G499" s="490" t="s">
        <v>508</v>
      </c>
      <c r="H499" s="485"/>
    </row>
    <row r="500" spans="1:8" x14ac:dyDescent="0.45">
      <c r="A500" s="486">
        <v>6</v>
      </c>
      <c r="B500" s="490" t="s">
        <v>1385</v>
      </c>
      <c r="C500" s="490" t="s">
        <v>1373</v>
      </c>
      <c r="D500" s="490" t="s">
        <v>322</v>
      </c>
      <c r="E500" s="490" t="s">
        <v>1528</v>
      </c>
      <c r="F500" s="490">
        <v>1</v>
      </c>
      <c r="G500" s="490" t="s">
        <v>508</v>
      </c>
      <c r="H500" s="485"/>
    </row>
    <row r="501" spans="1:8" x14ac:dyDescent="0.45">
      <c r="A501" s="486">
        <v>7</v>
      </c>
      <c r="B501" s="490" t="s">
        <v>1385</v>
      </c>
      <c r="C501" s="490" t="s">
        <v>1521</v>
      </c>
      <c r="D501" s="490" t="s">
        <v>322</v>
      </c>
      <c r="E501" s="490" t="s">
        <v>1528</v>
      </c>
      <c r="F501" s="490">
        <v>1</v>
      </c>
      <c r="G501" s="490" t="s">
        <v>508</v>
      </c>
      <c r="H501" s="485"/>
    </row>
    <row r="502" spans="1:8" x14ac:dyDescent="0.45">
      <c r="A502" s="486">
        <v>8</v>
      </c>
      <c r="B502" s="490" t="s">
        <v>1385</v>
      </c>
      <c r="C502" s="490" t="s">
        <v>1522</v>
      </c>
      <c r="D502" s="490" t="s">
        <v>322</v>
      </c>
      <c r="E502" s="490" t="s">
        <v>1529</v>
      </c>
      <c r="F502" s="490">
        <v>2</v>
      </c>
      <c r="G502" s="490" t="s">
        <v>508</v>
      </c>
      <c r="H502" s="485"/>
    </row>
    <row r="503" spans="1:8" x14ac:dyDescent="0.45">
      <c r="A503" s="486">
        <v>9</v>
      </c>
      <c r="B503" s="490" t="s">
        <v>1385</v>
      </c>
      <c r="C503" s="490" t="s">
        <v>1394</v>
      </c>
      <c r="D503" s="490" t="s">
        <v>1520</v>
      </c>
      <c r="E503" s="490" t="s">
        <v>1529</v>
      </c>
      <c r="F503" s="490">
        <v>1</v>
      </c>
      <c r="G503" s="490" t="s">
        <v>508</v>
      </c>
      <c r="H503" s="485"/>
    </row>
    <row r="504" spans="1:8" x14ac:dyDescent="0.45">
      <c r="A504" s="486">
        <v>10</v>
      </c>
      <c r="B504" s="490" t="s">
        <v>1385</v>
      </c>
      <c r="C504" s="490" t="s">
        <v>1373</v>
      </c>
      <c r="D504" s="490" t="s">
        <v>322</v>
      </c>
      <c r="E504" s="490" t="s">
        <v>1380</v>
      </c>
      <c r="F504" s="490">
        <v>1</v>
      </c>
      <c r="G504" s="490" t="s">
        <v>508</v>
      </c>
      <c r="H504" s="485"/>
    </row>
    <row r="505" spans="1:8" x14ac:dyDescent="0.45">
      <c r="A505" s="486">
        <v>11</v>
      </c>
      <c r="B505" s="490" t="s">
        <v>1385</v>
      </c>
      <c r="C505" s="490" t="s">
        <v>1376</v>
      </c>
      <c r="D505" s="490" t="s">
        <v>1520</v>
      </c>
      <c r="E505" s="490" t="s">
        <v>1380</v>
      </c>
      <c r="F505" s="490">
        <v>4</v>
      </c>
      <c r="G505" s="490" t="s">
        <v>508</v>
      </c>
      <c r="H505" s="496"/>
    </row>
    <row r="506" spans="1:8" x14ac:dyDescent="0.45">
      <c r="A506" s="486">
        <v>12</v>
      </c>
      <c r="B506" s="490" t="s">
        <v>1385</v>
      </c>
      <c r="C506" s="490" t="s">
        <v>1376</v>
      </c>
      <c r="D506" s="490" t="s">
        <v>1520</v>
      </c>
      <c r="E506" s="490" t="s">
        <v>1381</v>
      </c>
      <c r="F506" s="490">
        <v>4</v>
      </c>
      <c r="G506" s="490" t="s">
        <v>508</v>
      </c>
      <c r="H506" s="496"/>
    </row>
    <row r="507" spans="1:8" x14ac:dyDescent="0.45">
      <c r="A507" s="486">
        <v>13</v>
      </c>
      <c r="B507" s="490" t="s">
        <v>1385</v>
      </c>
      <c r="C507" s="490" t="s">
        <v>1367</v>
      </c>
      <c r="D507" s="490" t="s">
        <v>1520</v>
      </c>
      <c r="E507" s="490" t="s">
        <v>1380</v>
      </c>
      <c r="F507" s="490">
        <v>6</v>
      </c>
      <c r="G507" s="479" t="s">
        <v>526</v>
      </c>
      <c r="H507" s="496"/>
    </row>
    <row r="508" spans="1:8" x14ac:dyDescent="0.45">
      <c r="A508" s="486">
        <v>14</v>
      </c>
      <c r="B508" s="490" t="s">
        <v>1385</v>
      </c>
      <c r="C508" s="490" t="s">
        <v>1367</v>
      </c>
      <c r="D508" s="490" t="s">
        <v>1520</v>
      </c>
      <c r="E508" s="490" t="s">
        <v>1381</v>
      </c>
      <c r="F508" s="490">
        <v>18</v>
      </c>
      <c r="G508" s="479" t="s">
        <v>526</v>
      </c>
      <c r="H508" s="496"/>
    </row>
    <row r="509" spans="1:8" x14ac:dyDescent="0.45">
      <c r="A509" s="486">
        <v>15</v>
      </c>
      <c r="B509" s="490" t="s">
        <v>1385</v>
      </c>
      <c r="C509" s="490" t="s">
        <v>1372</v>
      </c>
      <c r="D509" s="490" t="s">
        <v>1520</v>
      </c>
      <c r="E509" s="490" t="s">
        <v>1381</v>
      </c>
      <c r="F509" s="490">
        <v>4</v>
      </c>
      <c r="G509" s="490" t="s">
        <v>508</v>
      </c>
      <c r="H509" s="496"/>
    </row>
    <row r="510" spans="1:8" x14ac:dyDescent="0.45">
      <c r="A510" s="417">
        <v>16</v>
      </c>
      <c r="B510" s="491" t="s">
        <v>1523</v>
      </c>
      <c r="C510" s="491" t="s">
        <v>1524</v>
      </c>
      <c r="D510" s="491" t="s">
        <v>322</v>
      </c>
      <c r="E510" s="423" t="s">
        <v>322</v>
      </c>
      <c r="F510" s="491">
        <v>1</v>
      </c>
      <c r="G510" s="491" t="s">
        <v>508</v>
      </c>
      <c r="H510" s="426"/>
    </row>
    <row r="513" spans="1:8" ht="15.75" x14ac:dyDescent="0.45">
      <c r="A513" s="615" t="s">
        <v>1531</v>
      </c>
      <c r="B513" s="615"/>
      <c r="C513" s="615"/>
      <c r="D513" s="615"/>
      <c r="E513" s="615"/>
      <c r="F513" s="615"/>
      <c r="G513" s="615"/>
      <c r="H513" s="615"/>
    </row>
    <row r="514" spans="1:8" ht="15.75" x14ac:dyDescent="0.45">
      <c r="A514" s="493" t="s">
        <v>501</v>
      </c>
      <c r="B514" s="493" t="s">
        <v>676</v>
      </c>
      <c r="C514" s="493" t="s">
        <v>1082</v>
      </c>
      <c r="D514" s="493" t="s">
        <v>876</v>
      </c>
      <c r="E514" s="493" t="s">
        <v>353</v>
      </c>
      <c r="F514" s="493" t="s">
        <v>105</v>
      </c>
      <c r="G514" s="493" t="s">
        <v>1364</v>
      </c>
      <c r="H514" s="493" t="s">
        <v>505</v>
      </c>
    </row>
    <row r="515" spans="1:8" x14ac:dyDescent="0.45">
      <c r="A515" s="490">
        <v>1</v>
      </c>
      <c r="B515" s="490" t="s">
        <v>1366</v>
      </c>
      <c r="C515" s="490" t="s">
        <v>1367</v>
      </c>
      <c r="D515" s="490" t="s">
        <v>1505</v>
      </c>
      <c r="E515" s="479" t="s">
        <v>1499</v>
      </c>
      <c r="F515" s="490">
        <v>85</v>
      </c>
      <c r="G515" s="490" t="s">
        <v>526</v>
      </c>
      <c r="H515" s="490" t="s">
        <v>1532</v>
      </c>
    </row>
    <row r="516" spans="1:8" x14ac:dyDescent="0.45">
      <c r="A516" s="490">
        <v>2</v>
      </c>
      <c r="B516" s="490" t="s">
        <v>1366</v>
      </c>
      <c r="C516" s="490" t="s">
        <v>1383</v>
      </c>
      <c r="D516" s="490" t="s">
        <v>1505</v>
      </c>
      <c r="E516" s="479" t="s">
        <v>1499</v>
      </c>
      <c r="F516" s="490">
        <v>4</v>
      </c>
      <c r="G516" s="490" t="s">
        <v>508</v>
      </c>
      <c r="H516" s="490" t="s">
        <v>1532</v>
      </c>
    </row>
    <row r="517" spans="1:8" x14ac:dyDescent="0.45">
      <c r="A517" s="490">
        <v>3</v>
      </c>
      <c r="B517" s="490" t="s">
        <v>1366</v>
      </c>
      <c r="C517" s="490" t="s">
        <v>1372</v>
      </c>
      <c r="D517" s="490" t="s">
        <v>1505</v>
      </c>
      <c r="E517" s="479" t="s">
        <v>1499</v>
      </c>
      <c r="F517" s="490">
        <v>5</v>
      </c>
      <c r="G517" s="490" t="s">
        <v>508</v>
      </c>
      <c r="H517" s="490" t="s">
        <v>1532</v>
      </c>
    </row>
    <row r="518" spans="1:8" x14ac:dyDescent="0.45">
      <c r="A518" s="490">
        <v>4</v>
      </c>
      <c r="B518" s="490" t="s">
        <v>1366</v>
      </c>
      <c r="C518" s="490" t="s">
        <v>1376</v>
      </c>
      <c r="D518" s="490" t="s">
        <v>1505</v>
      </c>
      <c r="E518" s="479" t="s">
        <v>1499</v>
      </c>
      <c r="F518" s="490">
        <v>5</v>
      </c>
      <c r="G518" s="490" t="s">
        <v>508</v>
      </c>
      <c r="H518" s="490" t="s">
        <v>1532</v>
      </c>
    </row>
    <row r="519" spans="1:8" x14ac:dyDescent="0.45">
      <c r="A519" s="490">
        <v>5</v>
      </c>
      <c r="B519" s="490" t="s">
        <v>1392</v>
      </c>
      <c r="C519" s="490" t="s">
        <v>1533</v>
      </c>
      <c r="D519" s="490" t="s">
        <v>322</v>
      </c>
      <c r="E519" s="479" t="s">
        <v>1499</v>
      </c>
      <c r="F519" s="490">
        <v>4</v>
      </c>
      <c r="G519" s="490" t="s">
        <v>508</v>
      </c>
      <c r="H519" s="490" t="s">
        <v>1532</v>
      </c>
    </row>
    <row r="520" spans="1:8" x14ac:dyDescent="0.45">
      <c r="A520" s="490">
        <v>6</v>
      </c>
      <c r="B520" s="490" t="s">
        <v>1366</v>
      </c>
      <c r="C520" s="490" t="s">
        <v>1367</v>
      </c>
      <c r="D520" s="490" t="s">
        <v>1505</v>
      </c>
      <c r="E520" s="479" t="s">
        <v>1499</v>
      </c>
      <c r="F520" s="490">
        <v>175</v>
      </c>
      <c r="G520" s="490" t="s">
        <v>526</v>
      </c>
      <c r="H520" s="490" t="s">
        <v>1534</v>
      </c>
    </row>
    <row r="521" spans="1:8" x14ac:dyDescent="0.45">
      <c r="A521" s="490">
        <v>7</v>
      </c>
      <c r="B521" s="490" t="s">
        <v>1366</v>
      </c>
      <c r="C521" s="490" t="s">
        <v>1383</v>
      </c>
      <c r="D521" s="490" t="s">
        <v>1505</v>
      </c>
      <c r="E521" s="479" t="s">
        <v>1499</v>
      </c>
      <c r="F521" s="490">
        <v>8</v>
      </c>
      <c r="G521" s="490" t="s">
        <v>508</v>
      </c>
      <c r="H521" s="490" t="s">
        <v>1534</v>
      </c>
    </row>
    <row r="522" spans="1:8" x14ac:dyDescent="0.45">
      <c r="A522" s="490">
        <v>8</v>
      </c>
      <c r="B522" s="490" t="s">
        <v>1366</v>
      </c>
      <c r="C522" s="490" t="s">
        <v>1372</v>
      </c>
      <c r="D522" s="490" t="s">
        <v>1505</v>
      </c>
      <c r="E522" s="479" t="s">
        <v>1499</v>
      </c>
      <c r="F522" s="490">
        <v>10</v>
      </c>
      <c r="G522" s="490" t="s">
        <v>508</v>
      </c>
      <c r="H522" s="490" t="s">
        <v>1534</v>
      </c>
    </row>
    <row r="523" spans="1:8" x14ac:dyDescent="0.45">
      <c r="A523" s="490">
        <v>9</v>
      </c>
      <c r="B523" s="490" t="s">
        <v>1366</v>
      </c>
      <c r="C523" s="490" t="s">
        <v>1376</v>
      </c>
      <c r="D523" s="490" t="s">
        <v>1505</v>
      </c>
      <c r="E523" s="479" t="s">
        <v>1499</v>
      </c>
      <c r="F523" s="490">
        <v>12</v>
      </c>
      <c r="G523" s="490" t="s">
        <v>508</v>
      </c>
      <c r="H523" s="490" t="s">
        <v>1534</v>
      </c>
    </row>
    <row r="524" spans="1:8" x14ac:dyDescent="0.45">
      <c r="A524" s="490">
        <v>10</v>
      </c>
      <c r="B524" s="490" t="s">
        <v>1392</v>
      </c>
      <c r="C524" s="490" t="s">
        <v>1533</v>
      </c>
      <c r="D524" s="490" t="s">
        <v>322</v>
      </c>
      <c r="E524" s="479" t="s">
        <v>1499</v>
      </c>
      <c r="F524" s="490">
        <v>10</v>
      </c>
      <c r="G524" s="490" t="s">
        <v>508</v>
      </c>
      <c r="H524" s="490" t="s">
        <v>1534</v>
      </c>
    </row>
    <row r="525" spans="1:8" x14ac:dyDescent="0.45">
      <c r="A525" s="490">
        <v>11</v>
      </c>
      <c r="B525" s="490" t="s">
        <v>1366</v>
      </c>
      <c r="C525" s="490" t="s">
        <v>1367</v>
      </c>
      <c r="D525" s="490" t="s">
        <v>1505</v>
      </c>
      <c r="E525" s="479" t="s">
        <v>1499</v>
      </c>
      <c r="F525" s="490">
        <v>85</v>
      </c>
      <c r="G525" s="490" t="s">
        <v>526</v>
      </c>
      <c r="H525" s="490" t="s">
        <v>1535</v>
      </c>
    </row>
    <row r="526" spans="1:8" x14ac:dyDescent="0.45">
      <c r="A526" s="490">
        <v>12</v>
      </c>
      <c r="B526" s="490" t="s">
        <v>1366</v>
      </c>
      <c r="C526" s="490" t="s">
        <v>1383</v>
      </c>
      <c r="D526" s="490" t="s">
        <v>1505</v>
      </c>
      <c r="E526" s="479" t="s">
        <v>1499</v>
      </c>
      <c r="F526" s="490">
        <v>4</v>
      </c>
      <c r="G526" s="490" t="s">
        <v>508</v>
      </c>
      <c r="H526" s="490" t="s">
        <v>1535</v>
      </c>
    </row>
    <row r="527" spans="1:8" x14ac:dyDescent="0.45">
      <c r="A527" s="490">
        <v>13</v>
      </c>
      <c r="B527" s="490" t="s">
        <v>1366</v>
      </c>
      <c r="C527" s="490" t="s">
        <v>1372</v>
      </c>
      <c r="D527" s="490" t="s">
        <v>1505</v>
      </c>
      <c r="E527" s="479" t="s">
        <v>1499</v>
      </c>
      <c r="F527" s="490">
        <v>5</v>
      </c>
      <c r="G527" s="490" t="s">
        <v>508</v>
      </c>
      <c r="H527" s="490" t="s">
        <v>1535</v>
      </c>
    </row>
    <row r="528" spans="1:8" x14ac:dyDescent="0.45">
      <c r="A528" s="490">
        <v>14</v>
      </c>
      <c r="B528" s="490" t="s">
        <v>1366</v>
      </c>
      <c r="C528" s="490" t="s">
        <v>1376</v>
      </c>
      <c r="D528" s="490" t="s">
        <v>1505</v>
      </c>
      <c r="E528" s="479" t="s">
        <v>1499</v>
      </c>
      <c r="F528" s="490">
        <v>5</v>
      </c>
      <c r="G528" s="490" t="s">
        <v>508</v>
      </c>
      <c r="H528" s="490" t="s">
        <v>1535</v>
      </c>
    </row>
    <row r="529" spans="1:8" x14ac:dyDescent="0.45">
      <c r="A529" s="490">
        <v>15</v>
      </c>
      <c r="B529" s="490" t="s">
        <v>1392</v>
      </c>
      <c r="C529" s="490" t="s">
        <v>1533</v>
      </c>
      <c r="D529" s="490" t="s">
        <v>322</v>
      </c>
      <c r="E529" s="479" t="s">
        <v>1499</v>
      </c>
      <c r="F529" s="490">
        <v>4</v>
      </c>
      <c r="G529" s="490" t="s">
        <v>508</v>
      </c>
      <c r="H529" s="490" t="s">
        <v>1535</v>
      </c>
    </row>
    <row r="530" spans="1:8" x14ac:dyDescent="0.45">
      <c r="A530" s="490">
        <v>16</v>
      </c>
      <c r="B530" s="490" t="s">
        <v>1366</v>
      </c>
      <c r="C530" s="490" t="s">
        <v>1367</v>
      </c>
      <c r="D530" s="490" t="s">
        <v>1505</v>
      </c>
      <c r="E530" s="479" t="s">
        <v>1499</v>
      </c>
      <c r="F530" s="490">
        <v>175</v>
      </c>
      <c r="G530" s="490" t="s">
        <v>526</v>
      </c>
      <c r="H530" s="490" t="s">
        <v>1536</v>
      </c>
    </row>
    <row r="531" spans="1:8" x14ac:dyDescent="0.45">
      <c r="A531" s="490">
        <v>17</v>
      </c>
      <c r="B531" s="490" t="s">
        <v>1366</v>
      </c>
      <c r="C531" s="490" t="s">
        <v>1383</v>
      </c>
      <c r="D531" s="490" t="s">
        <v>1505</v>
      </c>
      <c r="E531" s="479" t="s">
        <v>1499</v>
      </c>
      <c r="F531" s="490">
        <v>8</v>
      </c>
      <c r="G531" s="490" t="s">
        <v>508</v>
      </c>
      <c r="H531" s="490" t="s">
        <v>1536</v>
      </c>
    </row>
    <row r="532" spans="1:8" x14ac:dyDescent="0.45">
      <c r="A532" s="490">
        <v>18</v>
      </c>
      <c r="B532" s="490" t="s">
        <v>1366</v>
      </c>
      <c r="C532" s="490" t="s">
        <v>1372</v>
      </c>
      <c r="D532" s="490" t="s">
        <v>1505</v>
      </c>
      <c r="E532" s="479" t="s">
        <v>1499</v>
      </c>
      <c r="F532" s="490">
        <v>10</v>
      </c>
      <c r="G532" s="490" t="s">
        <v>508</v>
      </c>
      <c r="H532" s="490" t="s">
        <v>1536</v>
      </c>
    </row>
    <row r="533" spans="1:8" x14ac:dyDescent="0.45">
      <c r="A533" s="490">
        <v>19</v>
      </c>
      <c r="B533" s="490" t="s">
        <v>1366</v>
      </c>
      <c r="C533" s="490" t="s">
        <v>1376</v>
      </c>
      <c r="D533" s="490" t="s">
        <v>1505</v>
      </c>
      <c r="E533" s="479" t="s">
        <v>1499</v>
      </c>
      <c r="F533" s="490">
        <v>12</v>
      </c>
      <c r="G533" s="490" t="s">
        <v>508</v>
      </c>
      <c r="H533" s="490" t="s">
        <v>1536</v>
      </c>
    </row>
    <row r="534" spans="1:8" x14ac:dyDescent="0.45">
      <c r="A534" s="490">
        <v>20</v>
      </c>
      <c r="B534" s="490" t="s">
        <v>1392</v>
      </c>
      <c r="C534" s="490" t="s">
        <v>1533</v>
      </c>
      <c r="D534" s="490" t="s">
        <v>322</v>
      </c>
      <c r="E534" s="479" t="s">
        <v>1499</v>
      </c>
      <c r="F534" s="490">
        <v>10</v>
      </c>
      <c r="G534" s="490" t="s">
        <v>508</v>
      </c>
      <c r="H534" s="490" t="s">
        <v>1536</v>
      </c>
    </row>
    <row r="535" spans="1:8" x14ac:dyDescent="0.45">
      <c r="A535" s="490">
        <v>21</v>
      </c>
      <c r="B535" s="490" t="s">
        <v>1366</v>
      </c>
      <c r="C535" s="490" t="s">
        <v>1367</v>
      </c>
      <c r="D535" s="490" t="s">
        <v>1505</v>
      </c>
      <c r="E535" s="479" t="s">
        <v>1499</v>
      </c>
      <c r="F535" s="490">
        <v>175</v>
      </c>
      <c r="G535" s="490" t="s">
        <v>526</v>
      </c>
      <c r="H535" s="490" t="s">
        <v>1537</v>
      </c>
    </row>
    <row r="536" spans="1:8" x14ac:dyDescent="0.45">
      <c r="A536" s="490">
        <v>22</v>
      </c>
      <c r="B536" s="490" t="s">
        <v>1366</v>
      </c>
      <c r="C536" s="490" t="s">
        <v>1383</v>
      </c>
      <c r="D536" s="490" t="s">
        <v>1505</v>
      </c>
      <c r="E536" s="479" t="s">
        <v>1499</v>
      </c>
      <c r="F536" s="490">
        <v>8</v>
      </c>
      <c r="G536" s="490" t="s">
        <v>508</v>
      </c>
      <c r="H536" s="490" t="s">
        <v>1537</v>
      </c>
    </row>
    <row r="537" spans="1:8" x14ac:dyDescent="0.45">
      <c r="A537" s="490">
        <v>23</v>
      </c>
      <c r="B537" s="490" t="s">
        <v>1366</v>
      </c>
      <c r="C537" s="490" t="s">
        <v>1372</v>
      </c>
      <c r="D537" s="490" t="s">
        <v>1505</v>
      </c>
      <c r="E537" s="479" t="s">
        <v>1499</v>
      </c>
      <c r="F537" s="490">
        <v>10</v>
      </c>
      <c r="G537" s="490" t="s">
        <v>508</v>
      </c>
      <c r="H537" s="490" t="s">
        <v>1537</v>
      </c>
    </row>
    <row r="538" spans="1:8" x14ac:dyDescent="0.45">
      <c r="A538" s="490">
        <v>24</v>
      </c>
      <c r="B538" s="490" t="s">
        <v>1366</v>
      </c>
      <c r="C538" s="490" t="s">
        <v>1376</v>
      </c>
      <c r="D538" s="490" t="s">
        <v>1505</v>
      </c>
      <c r="E538" s="479" t="s">
        <v>1499</v>
      </c>
      <c r="F538" s="490">
        <v>12</v>
      </c>
      <c r="G538" s="490" t="s">
        <v>508</v>
      </c>
      <c r="H538" s="490" t="s">
        <v>1537</v>
      </c>
    </row>
    <row r="539" spans="1:8" x14ac:dyDescent="0.45">
      <c r="A539" s="490">
        <v>25</v>
      </c>
      <c r="B539" s="490" t="s">
        <v>1392</v>
      </c>
      <c r="C539" s="490" t="s">
        <v>1533</v>
      </c>
      <c r="D539" s="490" t="s">
        <v>322</v>
      </c>
      <c r="E539" s="479" t="s">
        <v>1499</v>
      </c>
      <c r="F539" s="490">
        <v>10</v>
      </c>
      <c r="G539" s="490" t="s">
        <v>508</v>
      </c>
      <c r="H539" s="490" t="s">
        <v>1537</v>
      </c>
    </row>
    <row r="540" spans="1:8" x14ac:dyDescent="0.45">
      <c r="A540" s="490">
        <v>26</v>
      </c>
      <c r="B540" s="490" t="s">
        <v>1366</v>
      </c>
      <c r="C540" s="490" t="s">
        <v>1367</v>
      </c>
      <c r="D540" s="490" t="s">
        <v>1505</v>
      </c>
      <c r="E540" s="479" t="s">
        <v>1499</v>
      </c>
      <c r="F540" s="490">
        <v>175</v>
      </c>
      <c r="G540" s="490" t="s">
        <v>526</v>
      </c>
      <c r="H540" s="430" t="s">
        <v>1538</v>
      </c>
    </row>
    <row r="541" spans="1:8" x14ac:dyDescent="0.45">
      <c r="A541" s="490">
        <v>27</v>
      </c>
      <c r="B541" s="490" t="s">
        <v>1366</v>
      </c>
      <c r="C541" s="490" t="s">
        <v>1383</v>
      </c>
      <c r="D541" s="490" t="s">
        <v>1505</v>
      </c>
      <c r="E541" s="479" t="s">
        <v>1499</v>
      </c>
      <c r="F541" s="490">
        <v>8</v>
      </c>
      <c r="G541" s="490" t="s">
        <v>508</v>
      </c>
      <c r="H541" s="430" t="s">
        <v>1538</v>
      </c>
    </row>
    <row r="542" spans="1:8" x14ac:dyDescent="0.45">
      <c r="A542" s="490">
        <v>28</v>
      </c>
      <c r="B542" s="490" t="s">
        <v>1366</v>
      </c>
      <c r="C542" s="490" t="s">
        <v>1372</v>
      </c>
      <c r="D542" s="490" t="s">
        <v>1505</v>
      </c>
      <c r="E542" s="479" t="s">
        <v>1499</v>
      </c>
      <c r="F542" s="490">
        <v>10</v>
      </c>
      <c r="G542" s="490" t="s">
        <v>508</v>
      </c>
      <c r="H542" s="430" t="s">
        <v>1538</v>
      </c>
    </row>
    <row r="543" spans="1:8" x14ac:dyDescent="0.45">
      <c r="A543" s="490">
        <v>29</v>
      </c>
      <c r="B543" s="490" t="s">
        <v>1366</v>
      </c>
      <c r="C543" s="490" t="s">
        <v>1376</v>
      </c>
      <c r="D543" s="490" t="s">
        <v>1505</v>
      </c>
      <c r="E543" s="479" t="s">
        <v>1499</v>
      </c>
      <c r="F543" s="490">
        <v>12</v>
      </c>
      <c r="G543" s="490" t="s">
        <v>508</v>
      </c>
      <c r="H543" s="430" t="s">
        <v>1538</v>
      </c>
    </row>
    <row r="544" spans="1:8" x14ac:dyDescent="0.45">
      <c r="A544" s="490">
        <v>30</v>
      </c>
      <c r="B544" s="490" t="s">
        <v>1392</v>
      </c>
      <c r="C544" s="490" t="s">
        <v>1533</v>
      </c>
      <c r="D544" s="490" t="s">
        <v>322</v>
      </c>
      <c r="E544" s="479" t="s">
        <v>1499</v>
      </c>
      <c r="F544" s="490">
        <v>10</v>
      </c>
      <c r="G544" s="490" t="s">
        <v>508</v>
      </c>
      <c r="H544" s="430" t="s">
        <v>1538</v>
      </c>
    </row>
    <row r="545" spans="1:8" x14ac:dyDescent="0.45">
      <c r="A545" s="490">
        <v>31</v>
      </c>
      <c r="B545" s="490" t="s">
        <v>1366</v>
      </c>
      <c r="C545" s="490" t="s">
        <v>1367</v>
      </c>
      <c r="D545" s="490" t="s">
        <v>1505</v>
      </c>
      <c r="E545" s="479" t="s">
        <v>1499</v>
      </c>
      <c r="F545" s="490">
        <v>190</v>
      </c>
      <c r="G545" s="490" t="s">
        <v>526</v>
      </c>
      <c r="H545" s="430" t="s">
        <v>1539</v>
      </c>
    </row>
    <row r="546" spans="1:8" x14ac:dyDescent="0.45">
      <c r="A546" s="490">
        <v>32</v>
      </c>
      <c r="B546" s="490" t="s">
        <v>1366</v>
      </c>
      <c r="C546" s="490" t="s">
        <v>1383</v>
      </c>
      <c r="D546" s="490" t="s">
        <v>1505</v>
      </c>
      <c r="E546" s="479" t="s">
        <v>1499</v>
      </c>
      <c r="F546" s="490">
        <v>10</v>
      </c>
      <c r="G546" s="490" t="s">
        <v>508</v>
      </c>
      <c r="H546" s="430" t="s">
        <v>1539</v>
      </c>
    </row>
    <row r="547" spans="1:8" x14ac:dyDescent="0.45">
      <c r="A547" s="490">
        <v>33</v>
      </c>
      <c r="B547" s="490" t="s">
        <v>1366</v>
      </c>
      <c r="C547" s="490" t="s">
        <v>1372</v>
      </c>
      <c r="D547" s="490" t="s">
        <v>1505</v>
      </c>
      <c r="E547" s="479" t="s">
        <v>1499</v>
      </c>
      <c r="F547" s="490">
        <v>10</v>
      </c>
      <c r="G547" s="490" t="s">
        <v>508</v>
      </c>
      <c r="H547" s="430" t="s">
        <v>1539</v>
      </c>
    </row>
    <row r="548" spans="1:8" x14ac:dyDescent="0.45">
      <c r="A548" s="490">
        <v>34</v>
      </c>
      <c r="B548" s="490" t="s">
        <v>1366</v>
      </c>
      <c r="C548" s="490" t="s">
        <v>1376</v>
      </c>
      <c r="D548" s="490" t="s">
        <v>1505</v>
      </c>
      <c r="E548" s="479" t="s">
        <v>1499</v>
      </c>
      <c r="F548" s="490">
        <v>12</v>
      </c>
      <c r="G548" s="490" t="s">
        <v>508</v>
      </c>
      <c r="H548" s="430" t="s">
        <v>1539</v>
      </c>
    </row>
    <row r="549" spans="1:8" x14ac:dyDescent="0.45">
      <c r="A549" s="490">
        <v>35</v>
      </c>
      <c r="B549" s="490" t="s">
        <v>1392</v>
      </c>
      <c r="C549" s="490" t="s">
        <v>1533</v>
      </c>
      <c r="D549" s="490" t="s">
        <v>322</v>
      </c>
      <c r="E549" s="479" t="s">
        <v>1499</v>
      </c>
      <c r="F549" s="490">
        <v>10</v>
      </c>
      <c r="G549" s="490" t="s">
        <v>508</v>
      </c>
      <c r="H549" s="430" t="s">
        <v>1539</v>
      </c>
    </row>
    <row r="550" spans="1:8" x14ac:dyDescent="0.45">
      <c r="A550" s="490">
        <v>36</v>
      </c>
      <c r="B550" s="490" t="s">
        <v>1366</v>
      </c>
      <c r="C550" s="490" t="s">
        <v>1367</v>
      </c>
      <c r="D550" s="490" t="s">
        <v>1505</v>
      </c>
      <c r="E550" s="479" t="s">
        <v>1499</v>
      </c>
      <c r="F550" s="490">
        <v>204</v>
      </c>
      <c r="G550" s="490" t="s">
        <v>526</v>
      </c>
      <c r="H550" s="430" t="s">
        <v>1540</v>
      </c>
    </row>
    <row r="551" spans="1:8" x14ac:dyDescent="0.45">
      <c r="A551" s="490">
        <v>37</v>
      </c>
      <c r="B551" s="490" t="s">
        <v>1366</v>
      </c>
      <c r="C551" s="490" t="s">
        <v>1383</v>
      </c>
      <c r="D551" s="490" t="s">
        <v>1505</v>
      </c>
      <c r="E551" s="479" t="s">
        <v>1499</v>
      </c>
      <c r="F551" s="490">
        <v>10</v>
      </c>
      <c r="G551" s="490" t="s">
        <v>508</v>
      </c>
      <c r="H551" s="430" t="s">
        <v>1540</v>
      </c>
    </row>
    <row r="552" spans="1:8" x14ac:dyDescent="0.45">
      <c r="A552" s="490">
        <v>38</v>
      </c>
      <c r="B552" s="490" t="s">
        <v>1366</v>
      </c>
      <c r="C552" s="490" t="s">
        <v>1372</v>
      </c>
      <c r="D552" s="490" t="s">
        <v>1505</v>
      </c>
      <c r="E552" s="479" t="s">
        <v>1499</v>
      </c>
      <c r="F552" s="490">
        <v>10</v>
      </c>
      <c r="G552" s="490" t="s">
        <v>508</v>
      </c>
      <c r="H552" s="430" t="s">
        <v>1540</v>
      </c>
    </row>
    <row r="553" spans="1:8" x14ac:dyDescent="0.45">
      <c r="A553" s="490">
        <v>39</v>
      </c>
      <c r="B553" s="490" t="s">
        <v>1366</v>
      </c>
      <c r="C553" s="490" t="s">
        <v>1376</v>
      </c>
      <c r="D553" s="490" t="s">
        <v>1505</v>
      </c>
      <c r="E553" s="479" t="s">
        <v>1499</v>
      </c>
      <c r="F553" s="490">
        <v>14</v>
      </c>
      <c r="G553" s="490" t="s">
        <v>508</v>
      </c>
      <c r="H553" s="430" t="s">
        <v>1540</v>
      </c>
    </row>
    <row r="554" spans="1:8" x14ac:dyDescent="0.45">
      <c r="A554" s="490">
        <v>40</v>
      </c>
      <c r="B554" s="490" t="s">
        <v>1392</v>
      </c>
      <c r="C554" s="490" t="s">
        <v>1533</v>
      </c>
      <c r="D554" s="490" t="s">
        <v>322</v>
      </c>
      <c r="E554" s="479" t="s">
        <v>1499</v>
      </c>
      <c r="F554" s="490">
        <v>12</v>
      </c>
      <c r="G554" s="490" t="s">
        <v>508</v>
      </c>
      <c r="H554" s="430" t="s">
        <v>1540</v>
      </c>
    </row>
    <row r="555" spans="1:8" x14ac:dyDescent="0.45">
      <c r="A555" s="490">
        <v>41</v>
      </c>
      <c r="B555" s="490" t="s">
        <v>1366</v>
      </c>
      <c r="C555" s="490" t="s">
        <v>1367</v>
      </c>
      <c r="D555" s="490" t="s">
        <v>1505</v>
      </c>
      <c r="E555" s="479" t="s">
        <v>1499</v>
      </c>
      <c r="F555" s="490">
        <v>204</v>
      </c>
      <c r="G555" s="490" t="s">
        <v>526</v>
      </c>
      <c r="H555" s="430" t="s">
        <v>1541</v>
      </c>
    </row>
    <row r="556" spans="1:8" x14ac:dyDescent="0.45">
      <c r="A556" s="490">
        <v>42</v>
      </c>
      <c r="B556" s="490" t="s">
        <v>1366</v>
      </c>
      <c r="C556" s="490" t="s">
        <v>1383</v>
      </c>
      <c r="D556" s="490" t="s">
        <v>1505</v>
      </c>
      <c r="E556" s="479" t="s">
        <v>1499</v>
      </c>
      <c r="F556" s="490">
        <v>10</v>
      </c>
      <c r="G556" s="490" t="s">
        <v>508</v>
      </c>
      <c r="H556" s="430" t="s">
        <v>1541</v>
      </c>
    </row>
    <row r="557" spans="1:8" x14ac:dyDescent="0.45">
      <c r="A557" s="490">
        <v>43</v>
      </c>
      <c r="B557" s="490" t="s">
        <v>1366</v>
      </c>
      <c r="C557" s="490" t="s">
        <v>1372</v>
      </c>
      <c r="D557" s="490" t="s">
        <v>1505</v>
      </c>
      <c r="E557" s="479" t="s">
        <v>1499</v>
      </c>
      <c r="F557" s="490">
        <v>10</v>
      </c>
      <c r="G557" s="490" t="s">
        <v>508</v>
      </c>
      <c r="H557" s="430" t="s">
        <v>1541</v>
      </c>
    </row>
    <row r="558" spans="1:8" x14ac:dyDescent="0.45">
      <c r="A558" s="490">
        <v>44</v>
      </c>
      <c r="B558" s="490" t="s">
        <v>1366</v>
      </c>
      <c r="C558" s="490" t="s">
        <v>1376</v>
      </c>
      <c r="D558" s="490" t="s">
        <v>1505</v>
      </c>
      <c r="E558" s="479" t="s">
        <v>1499</v>
      </c>
      <c r="F558" s="490">
        <v>14</v>
      </c>
      <c r="G558" s="490" t="s">
        <v>508</v>
      </c>
      <c r="H558" s="430" t="s">
        <v>1541</v>
      </c>
    </row>
    <row r="559" spans="1:8" x14ac:dyDescent="0.45">
      <c r="A559" s="490">
        <v>45</v>
      </c>
      <c r="B559" s="490" t="s">
        <v>1392</v>
      </c>
      <c r="C559" s="490" t="s">
        <v>1533</v>
      </c>
      <c r="D559" s="490" t="s">
        <v>322</v>
      </c>
      <c r="E559" s="479" t="s">
        <v>1499</v>
      </c>
      <c r="F559" s="490">
        <v>12</v>
      </c>
      <c r="G559" s="490" t="s">
        <v>508</v>
      </c>
      <c r="H559" s="430" t="s">
        <v>1541</v>
      </c>
    </row>
    <row r="560" spans="1:8" x14ac:dyDescent="0.45">
      <c r="A560" s="490">
        <v>46</v>
      </c>
      <c r="B560" s="490" t="s">
        <v>1366</v>
      </c>
      <c r="C560" s="490" t="s">
        <v>1367</v>
      </c>
      <c r="D560" s="490" t="s">
        <v>1505</v>
      </c>
      <c r="E560" s="479" t="s">
        <v>1499</v>
      </c>
      <c r="F560" s="490">
        <v>204</v>
      </c>
      <c r="G560" s="490" t="s">
        <v>526</v>
      </c>
      <c r="H560" s="430" t="s">
        <v>1542</v>
      </c>
    </row>
    <row r="561" spans="1:8" x14ac:dyDescent="0.45">
      <c r="A561" s="490">
        <v>47</v>
      </c>
      <c r="B561" s="490" t="s">
        <v>1366</v>
      </c>
      <c r="C561" s="490" t="s">
        <v>1383</v>
      </c>
      <c r="D561" s="490" t="s">
        <v>1505</v>
      </c>
      <c r="E561" s="479" t="s">
        <v>1499</v>
      </c>
      <c r="F561" s="490">
        <v>10</v>
      </c>
      <c r="G561" s="490" t="s">
        <v>508</v>
      </c>
      <c r="H561" s="430" t="s">
        <v>1542</v>
      </c>
    </row>
    <row r="562" spans="1:8" x14ac:dyDescent="0.45">
      <c r="A562" s="490">
        <v>48</v>
      </c>
      <c r="B562" s="490" t="s">
        <v>1366</v>
      </c>
      <c r="C562" s="490" t="s">
        <v>1372</v>
      </c>
      <c r="D562" s="490" t="s">
        <v>1505</v>
      </c>
      <c r="E562" s="479" t="s">
        <v>1499</v>
      </c>
      <c r="F562" s="490">
        <v>10</v>
      </c>
      <c r="G562" s="490" t="s">
        <v>508</v>
      </c>
      <c r="H562" s="430" t="s">
        <v>1542</v>
      </c>
    </row>
    <row r="563" spans="1:8" x14ac:dyDescent="0.45">
      <c r="A563" s="490">
        <v>49</v>
      </c>
      <c r="B563" s="490" t="s">
        <v>1366</v>
      </c>
      <c r="C563" s="490" t="s">
        <v>1376</v>
      </c>
      <c r="D563" s="490" t="s">
        <v>1505</v>
      </c>
      <c r="E563" s="479" t="s">
        <v>1499</v>
      </c>
      <c r="F563" s="490">
        <v>14</v>
      </c>
      <c r="G563" s="490" t="s">
        <v>508</v>
      </c>
      <c r="H563" s="430" t="s">
        <v>1542</v>
      </c>
    </row>
    <row r="564" spans="1:8" x14ac:dyDescent="0.45">
      <c r="A564" s="490">
        <v>50</v>
      </c>
      <c r="B564" s="490" t="s">
        <v>1392</v>
      </c>
      <c r="C564" s="490" t="s">
        <v>1533</v>
      </c>
      <c r="D564" s="490" t="s">
        <v>322</v>
      </c>
      <c r="E564" s="479" t="s">
        <v>1499</v>
      </c>
      <c r="F564" s="490">
        <v>12</v>
      </c>
      <c r="G564" s="490" t="s">
        <v>508</v>
      </c>
      <c r="H564" s="430" t="s">
        <v>1542</v>
      </c>
    </row>
    <row r="565" spans="1:8" x14ac:dyDescent="0.45">
      <c r="A565" s="490">
        <v>51</v>
      </c>
      <c r="B565" s="490" t="s">
        <v>1366</v>
      </c>
      <c r="C565" s="490" t="s">
        <v>1367</v>
      </c>
      <c r="D565" s="490" t="s">
        <v>1505</v>
      </c>
      <c r="E565" s="479" t="s">
        <v>1499</v>
      </c>
      <c r="F565" s="490">
        <v>105</v>
      </c>
      <c r="G565" s="490" t="s">
        <v>526</v>
      </c>
      <c r="H565" s="430" t="s">
        <v>1543</v>
      </c>
    </row>
    <row r="566" spans="1:8" x14ac:dyDescent="0.45">
      <c r="A566" s="490">
        <v>52</v>
      </c>
      <c r="B566" s="490" t="s">
        <v>1366</v>
      </c>
      <c r="C566" s="490" t="s">
        <v>1383</v>
      </c>
      <c r="D566" s="490" t="s">
        <v>1505</v>
      </c>
      <c r="E566" s="479" t="s">
        <v>1499</v>
      </c>
      <c r="F566" s="490">
        <v>5</v>
      </c>
      <c r="G566" s="490" t="s">
        <v>508</v>
      </c>
      <c r="H566" s="430" t="s">
        <v>1543</v>
      </c>
    </row>
    <row r="567" spans="1:8" x14ac:dyDescent="0.45">
      <c r="A567" s="490">
        <v>53</v>
      </c>
      <c r="B567" s="490" t="s">
        <v>1366</v>
      </c>
      <c r="C567" s="490" t="s">
        <v>1372</v>
      </c>
      <c r="D567" s="490" t="s">
        <v>1505</v>
      </c>
      <c r="E567" s="479" t="s">
        <v>1499</v>
      </c>
      <c r="F567" s="490">
        <v>5</v>
      </c>
      <c r="G567" s="490" t="s">
        <v>508</v>
      </c>
      <c r="H567" s="430" t="s">
        <v>1543</v>
      </c>
    </row>
    <row r="568" spans="1:8" x14ac:dyDescent="0.45">
      <c r="A568" s="490">
        <v>54</v>
      </c>
      <c r="B568" s="490" t="s">
        <v>1366</v>
      </c>
      <c r="C568" s="490" t="s">
        <v>1376</v>
      </c>
      <c r="D568" s="490" t="s">
        <v>1505</v>
      </c>
      <c r="E568" s="479" t="s">
        <v>1499</v>
      </c>
      <c r="F568" s="490">
        <v>7</v>
      </c>
      <c r="G568" s="490" t="s">
        <v>508</v>
      </c>
      <c r="H568" s="430" t="s">
        <v>1543</v>
      </c>
    </row>
    <row r="569" spans="1:8" x14ac:dyDescent="0.45">
      <c r="A569" s="490">
        <v>55</v>
      </c>
      <c r="B569" s="490" t="s">
        <v>1392</v>
      </c>
      <c r="C569" s="490" t="s">
        <v>1533</v>
      </c>
      <c r="D569" s="490" t="s">
        <v>322</v>
      </c>
      <c r="E569" s="479" t="s">
        <v>1499</v>
      </c>
      <c r="F569" s="490">
        <v>5</v>
      </c>
      <c r="G569" s="490" t="s">
        <v>508</v>
      </c>
      <c r="H569" s="430" t="s">
        <v>1543</v>
      </c>
    </row>
    <row r="570" spans="1:8" x14ac:dyDescent="0.45">
      <c r="A570" s="490">
        <v>56</v>
      </c>
      <c r="B570" s="490" t="s">
        <v>1366</v>
      </c>
      <c r="C570" s="490" t="s">
        <v>1367</v>
      </c>
      <c r="D570" s="490" t="s">
        <v>1505</v>
      </c>
      <c r="E570" s="479" t="s">
        <v>1499</v>
      </c>
      <c r="F570" s="490">
        <v>105</v>
      </c>
      <c r="G570" s="490" t="s">
        <v>526</v>
      </c>
      <c r="H570" s="430" t="s">
        <v>1544</v>
      </c>
    </row>
    <row r="571" spans="1:8" x14ac:dyDescent="0.45">
      <c r="A571" s="490">
        <v>57</v>
      </c>
      <c r="B571" s="490" t="s">
        <v>1366</v>
      </c>
      <c r="C571" s="490" t="s">
        <v>1383</v>
      </c>
      <c r="D571" s="490" t="s">
        <v>1505</v>
      </c>
      <c r="E571" s="479" t="s">
        <v>1499</v>
      </c>
      <c r="F571" s="490">
        <v>5</v>
      </c>
      <c r="G571" s="490" t="s">
        <v>508</v>
      </c>
      <c r="H571" s="430" t="s">
        <v>1544</v>
      </c>
    </row>
    <row r="572" spans="1:8" x14ac:dyDescent="0.45">
      <c r="A572" s="490">
        <v>58</v>
      </c>
      <c r="B572" s="490" t="s">
        <v>1366</v>
      </c>
      <c r="C572" s="490" t="s">
        <v>1372</v>
      </c>
      <c r="D572" s="490" t="s">
        <v>1505</v>
      </c>
      <c r="E572" s="479" t="s">
        <v>1499</v>
      </c>
      <c r="F572" s="490">
        <v>5</v>
      </c>
      <c r="G572" s="490" t="s">
        <v>508</v>
      </c>
      <c r="H572" s="430" t="s">
        <v>1544</v>
      </c>
    </row>
    <row r="573" spans="1:8" x14ac:dyDescent="0.45">
      <c r="A573" s="490">
        <v>59</v>
      </c>
      <c r="B573" s="490" t="s">
        <v>1366</v>
      </c>
      <c r="C573" s="490" t="s">
        <v>1376</v>
      </c>
      <c r="D573" s="490" t="s">
        <v>1505</v>
      </c>
      <c r="E573" s="479" t="s">
        <v>1499</v>
      </c>
      <c r="F573" s="490">
        <v>7</v>
      </c>
      <c r="G573" s="490" t="s">
        <v>508</v>
      </c>
      <c r="H573" s="430" t="s">
        <v>1544</v>
      </c>
    </row>
    <row r="574" spans="1:8" x14ac:dyDescent="0.45">
      <c r="A574" s="490">
        <v>60</v>
      </c>
      <c r="B574" s="490" t="s">
        <v>1392</v>
      </c>
      <c r="C574" s="490" t="s">
        <v>1533</v>
      </c>
      <c r="D574" s="490" t="s">
        <v>322</v>
      </c>
      <c r="E574" s="479" t="s">
        <v>1499</v>
      </c>
      <c r="F574" s="490">
        <v>5</v>
      </c>
      <c r="G574" s="490" t="s">
        <v>508</v>
      </c>
      <c r="H574" s="430" t="s">
        <v>1544</v>
      </c>
    </row>
    <row r="575" spans="1:8" x14ac:dyDescent="0.45">
      <c r="A575" s="490">
        <v>61</v>
      </c>
      <c r="B575" s="490" t="s">
        <v>1366</v>
      </c>
      <c r="C575" s="490" t="s">
        <v>1367</v>
      </c>
      <c r="D575" s="490" t="s">
        <v>1505</v>
      </c>
      <c r="E575" s="479" t="s">
        <v>1499</v>
      </c>
      <c r="F575" s="490">
        <v>204</v>
      </c>
      <c r="G575" s="490" t="s">
        <v>526</v>
      </c>
      <c r="H575" s="430" t="s">
        <v>1545</v>
      </c>
    </row>
    <row r="576" spans="1:8" x14ac:dyDescent="0.45">
      <c r="A576" s="490">
        <v>62</v>
      </c>
      <c r="B576" s="490" t="s">
        <v>1366</v>
      </c>
      <c r="C576" s="490" t="s">
        <v>1383</v>
      </c>
      <c r="D576" s="490" t="s">
        <v>1505</v>
      </c>
      <c r="E576" s="479" t="s">
        <v>1499</v>
      </c>
      <c r="F576" s="490">
        <v>10</v>
      </c>
      <c r="G576" s="490" t="s">
        <v>508</v>
      </c>
      <c r="H576" s="430" t="s">
        <v>1545</v>
      </c>
    </row>
    <row r="577" spans="1:8" x14ac:dyDescent="0.45">
      <c r="A577" s="490">
        <v>63</v>
      </c>
      <c r="B577" s="490" t="s">
        <v>1366</v>
      </c>
      <c r="C577" s="490" t="s">
        <v>1372</v>
      </c>
      <c r="D577" s="490" t="s">
        <v>1505</v>
      </c>
      <c r="E577" s="479" t="s">
        <v>1499</v>
      </c>
      <c r="F577" s="490">
        <v>10</v>
      </c>
      <c r="G577" s="490" t="s">
        <v>508</v>
      </c>
      <c r="H577" s="430" t="s">
        <v>1545</v>
      </c>
    </row>
    <row r="578" spans="1:8" x14ac:dyDescent="0.45">
      <c r="A578" s="490">
        <v>64</v>
      </c>
      <c r="B578" s="490" t="s">
        <v>1366</v>
      </c>
      <c r="C578" s="490" t="s">
        <v>1376</v>
      </c>
      <c r="D578" s="490" t="s">
        <v>1505</v>
      </c>
      <c r="E578" s="479" t="s">
        <v>1499</v>
      </c>
      <c r="F578" s="490">
        <v>14</v>
      </c>
      <c r="G578" s="490" t="s">
        <v>508</v>
      </c>
      <c r="H578" s="430" t="s">
        <v>1545</v>
      </c>
    </row>
    <row r="579" spans="1:8" x14ac:dyDescent="0.45">
      <c r="A579" s="490">
        <v>65</v>
      </c>
      <c r="B579" s="490" t="s">
        <v>1392</v>
      </c>
      <c r="C579" s="490" t="s">
        <v>1533</v>
      </c>
      <c r="D579" s="490" t="s">
        <v>322</v>
      </c>
      <c r="E579" s="479" t="s">
        <v>1499</v>
      </c>
      <c r="F579" s="490">
        <v>12</v>
      </c>
      <c r="G579" s="490" t="s">
        <v>508</v>
      </c>
      <c r="H579" s="430" t="s">
        <v>1545</v>
      </c>
    </row>
    <row r="580" spans="1:8" x14ac:dyDescent="0.45">
      <c r="A580" s="490">
        <v>66</v>
      </c>
      <c r="B580" s="490" t="s">
        <v>1366</v>
      </c>
      <c r="C580" s="490" t="s">
        <v>1367</v>
      </c>
      <c r="D580" s="490" t="s">
        <v>1505</v>
      </c>
      <c r="E580" s="479" t="s">
        <v>1499</v>
      </c>
      <c r="F580" s="490">
        <v>204</v>
      </c>
      <c r="G580" s="490" t="s">
        <v>526</v>
      </c>
      <c r="H580" s="430" t="s">
        <v>1546</v>
      </c>
    </row>
    <row r="581" spans="1:8" x14ac:dyDescent="0.45">
      <c r="A581" s="490">
        <v>67</v>
      </c>
      <c r="B581" s="490" t="s">
        <v>1366</v>
      </c>
      <c r="C581" s="490" t="s">
        <v>1383</v>
      </c>
      <c r="D581" s="490" t="s">
        <v>1505</v>
      </c>
      <c r="E581" s="479" t="s">
        <v>1499</v>
      </c>
      <c r="F581" s="490">
        <v>10</v>
      </c>
      <c r="G581" s="490" t="s">
        <v>508</v>
      </c>
      <c r="H581" s="430" t="s">
        <v>1546</v>
      </c>
    </row>
    <row r="582" spans="1:8" x14ac:dyDescent="0.45">
      <c r="A582" s="490">
        <v>68</v>
      </c>
      <c r="B582" s="490" t="s">
        <v>1366</v>
      </c>
      <c r="C582" s="490" t="s">
        <v>1372</v>
      </c>
      <c r="D582" s="490" t="s">
        <v>1505</v>
      </c>
      <c r="E582" s="479" t="s">
        <v>1499</v>
      </c>
      <c r="F582" s="490">
        <v>10</v>
      </c>
      <c r="G582" s="490" t="s">
        <v>508</v>
      </c>
      <c r="H582" s="430" t="s">
        <v>1546</v>
      </c>
    </row>
    <row r="583" spans="1:8" x14ac:dyDescent="0.45">
      <c r="A583" s="490">
        <v>69</v>
      </c>
      <c r="B583" s="490" t="s">
        <v>1366</v>
      </c>
      <c r="C583" s="490" t="s">
        <v>1376</v>
      </c>
      <c r="D583" s="490" t="s">
        <v>1505</v>
      </c>
      <c r="E583" s="479" t="s">
        <v>1499</v>
      </c>
      <c r="F583" s="490">
        <v>14</v>
      </c>
      <c r="G583" s="490" t="s">
        <v>508</v>
      </c>
      <c r="H583" s="430" t="s">
        <v>1546</v>
      </c>
    </row>
    <row r="584" spans="1:8" x14ac:dyDescent="0.45">
      <c r="A584" s="490">
        <v>70</v>
      </c>
      <c r="B584" s="490" t="s">
        <v>1392</v>
      </c>
      <c r="C584" s="490" t="s">
        <v>1533</v>
      </c>
      <c r="D584" s="490" t="s">
        <v>322</v>
      </c>
      <c r="E584" s="479" t="s">
        <v>1499</v>
      </c>
      <c r="F584" s="490">
        <v>12</v>
      </c>
      <c r="G584" s="490" t="s">
        <v>508</v>
      </c>
      <c r="H584" s="430" t="s">
        <v>1546</v>
      </c>
    </row>
    <row r="585" spans="1:8" x14ac:dyDescent="0.45">
      <c r="A585" s="490">
        <v>71</v>
      </c>
      <c r="B585" s="490" t="s">
        <v>1366</v>
      </c>
      <c r="C585" s="490" t="s">
        <v>1367</v>
      </c>
      <c r="D585" s="490" t="s">
        <v>1505</v>
      </c>
      <c r="E585" s="479" t="s">
        <v>1499</v>
      </c>
      <c r="F585" s="490">
        <v>190</v>
      </c>
      <c r="G585" s="490" t="s">
        <v>526</v>
      </c>
      <c r="H585" s="430" t="s">
        <v>1547</v>
      </c>
    </row>
    <row r="586" spans="1:8" x14ac:dyDescent="0.45">
      <c r="A586" s="490">
        <v>72</v>
      </c>
      <c r="B586" s="490" t="s">
        <v>1366</v>
      </c>
      <c r="C586" s="490" t="s">
        <v>1383</v>
      </c>
      <c r="D586" s="490" t="s">
        <v>1505</v>
      </c>
      <c r="E586" s="479" t="s">
        <v>1499</v>
      </c>
      <c r="F586" s="490">
        <v>10</v>
      </c>
      <c r="G586" s="490" t="s">
        <v>508</v>
      </c>
      <c r="H586" s="430" t="s">
        <v>1547</v>
      </c>
    </row>
    <row r="587" spans="1:8" x14ac:dyDescent="0.45">
      <c r="A587" s="490">
        <v>73</v>
      </c>
      <c r="B587" s="490" t="s">
        <v>1366</v>
      </c>
      <c r="C587" s="490" t="s">
        <v>1372</v>
      </c>
      <c r="D587" s="490" t="s">
        <v>1505</v>
      </c>
      <c r="E587" s="479" t="s">
        <v>1499</v>
      </c>
      <c r="F587" s="490">
        <v>10</v>
      </c>
      <c r="G587" s="490" t="s">
        <v>508</v>
      </c>
      <c r="H587" s="430" t="s">
        <v>1547</v>
      </c>
    </row>
    <row r="588" spans="1:8" x14ac:dyDescent="0.45">
      <c r="A588" s="490">
        <v>74</v>
      </c>
      <c r="B588" s="490" t="s">
        <v>1366</v>
      </c>
      <c r="C588" s="490" t="s">
        <v>1376</v>
      </c>
      <c r="D588" s="490" t="s">
        <v>1505</v>
      </c>
      <c r="E588" s="479" t="s">
        <v>1499</v>
      </c>
      <c r="F588" s="490">
        <v>12</v>
      </c>
      <c r="G588" s="490" t="s">
        <v>508</v>
      </c>
      <c r="H588" s="430" t="s">
        <v>1547</v>
      </c>
    </row>
    <row r="589" spans="1:8" x14ac:dyDescent="0.45">
      <c r="A589" s="490">
        <v>75</v>
      </c>
      <c r="B589" s="490" t="s">
        <v>1392</v>
      </c>
      <c r="C589" s="490" t="s">
        <v>1533</v>
      </c>
      <c r="D589" s="490" t="s">
        <v>322</v>
      </c>
      <c r="E589" s="479" t="s">
        <v>1499</v>
      </c>
      <c r="F589" s="490">
        <v>10</v>
      </c>
      <c r="G589" s="490" t="s">
        <v>508</v>
      </c>
      <c r="H589" s="430" t="s">
        <v>1547</v>
      </c>
    </row>
    <row r="590" spans="1:8" x14ac:dyDescent="0.45">
      <c r="A590" s="490">
        <v>76</v>
      </c>
      <c r="B590" s="490" t="s">
        <v>1366</v>
      </c>
      <c r="C590" s="490" t="s">
        <v>1367</v>
      </c>
      <c r="D590" s="490" t="s">
        <v>1505</v>
      </c>
      <c r="E590" s="479" t="s">
        <v>1499</v>
      </c>
      <c r="F590" s="490">
        <v>175</v>
      </c>
      <c r="G590" s="490" t="s">
        <v>526</v>
      </c>
      <c r="H590" s="430" t="s">
        <v>1548</v>
      </c>
    </row>
    <row r="591" spans="1:8" x14ac:dyDescent="0.45">
      <c r="A591" s="490">
        <v>77</v>
      </c>
      <c r="B591" s="490" t="s">
        <v>1366</v>
      </c>
      <c r="C591" s="490" t="s">
        <v>1383</v>
      </c>
      <c r="D591" s="490" t="s">
        <v>1505</v>
      </c>
      <c r="E591" s="479" t="s">
        <v>1499</v>
      </c>
      <c r="F591" s="490">
        <v>8</v>
      </c>
      <c r="G591" s="490" t="s">
        <v>508</v>
      </c>
      <c r="H591" s="430" t="s">
        <v>1548</v>
      </c>
    </row>
    <row r="592" spans="1:8" x14ac:dyDescent="0.45">
      <c r="A592" s="490">
        <v>78</v>
      </c>
      <c r="B592" s="490" t="s">
        <v>1366</v>
      </c>
      <c r="C592" s="490" t="s">
        <v>1372</v>
      </c>
      <c r="D592" s="490" t="s">
        <v>1505</v>
      </c>
      <c r="E592" s="479" t="s">
        <v>1499</v>
      </c>
      <c r="F592" s="490">
        <v>10</v>
      </c>
      <c r="G592" s="490" t="s">
        <v>508</v>
      </c>
      <c r="H592" s="430" t="s">
        <v>1548</v>
      </c>
    </row>
    <row r="593" spans="1:8" x14ac:dyDescent="0.45">
      <c r="A593" s="490">
        <v>79</v>
      </c>
      <c r="B593" s="490" t="s">
        <v>1366</v>
      </c>
      <c r="C593" s="490" t="s">
        <v>1376</v>
      </c>
      <c r="D593" s="490" t="s">
        <v>1505</v>
      </c>
      <c r="E593" s="479" t="s">
        <v>1499</v>
      </c>
      <c r="F593" s="490">
        <v>12</v>
      </c>
      <c r="G593" s="490" t="s">
        <v>508</v>
      </c>
      <c r="H593" s="430" t="s">
        <v>1548</v>
      </c>
    </row>
    <row r="594" spans="1:8" x14ac:dyDescent="0.45">
      <c r="A594" s="490">
        <v>80</v>
      </c>
      <c r="B594" s="490" t="s">
        <v>1392</v>
      </c>
      <c r="C594" s="490" t="s">
        <v>1533</v>
      </c>
      <c r="D594" s="490" t="s">
        <v>322</v>
      </c>
      <c r="E594" s="479" t="s">
        <v>1499</v>
      </c>
      <c r="F594" s="490">
        <v>10</v>
      </c>
      <c r="G594" s="490" t="s">
        <v>508</v>
      </c>
      <c r="H594" s="430" t="s">
        <v>1548</v>
      </c>
    </row>
    <row r="595" spans="1:8" x14ac:dyDescent="0.45">
      <c r="B595" s="79"/>
      <c r="C595" s="79"/>
      <c r="D595" s="79"/>
      <c r="E595" s="1"/>
      <c r="F595" s="79"/>
      <c r="G595" s="79"/>
      <c r="H595" s="431"/>
    </row>
    <row r="597" spans="1:8" ht="15.75" x14ac:dyDescent="0.45">
      <c r="A597" s="612" t="s">
        <v>1549</v>
      </c>
      <c r="B597" s="613"/>
      <c r="C597" s="613"/>
      <c r="D597" s="613"/>
      <c r="E597" s="613"/>
      <c r="F597" s="613"/>
      <c r="G597" s="613"/>
      <c r="H597" s="614"/>
    </row>
    <row r="598" spans="1:8" ht="15.75" x14ac:dyDescent="0.45">
      <c r="A598" s="432" t="s">
        <v>501</v>
      </c>
      <c r="B598" s="432" t="s">
        <v>676</v>
      </c>
      <c r="C598" s="432" t="s">
        <v>1082</v>
      </c>
      <c r="D598" s="432" t="s">
        <v>876</v>
      </c>
      <c r="E598" s="432" t="s">
        <v>353</v>
      </c>
      <c r="F598" s="432" t="s">
        <v>105</v>
      </c>
      <c r="G598" s="432" t="s">
        <v>1364</v>
      </c>
      <c r="H598" s="432" t="s">
        <v>505</v>
      </c>
    </row>
    <row r="599" spans="1:8" x14ac:dyDescent="0.45">
      <c r="A599" s="490">
        <v>1</v>
      </c>
      <c r="B599" s="490"/>
      <c r="C599" s="490"/>
      <c r="D599" s="490"/>
      <c r="E599" s="490"/>
      <c r="F599" s="490"/>
      <c r="G599" s="490"/>
      <c r="H599" s="490" t="s">
        <v>1550</v>
      </c>
    </row>
    <row r="600" spans="1:8" x14ac:dyDescent="0.45">
      <c r="A600" s="490">
        <v>2</v>
      </c>
      <c r="B600" s="490"/>
      <c r="C600" s="490"/>
      <c r="D600" s="490"/>
      <c r="E600" s="490"/>
      <c r="F600" s="490"/>
      <c r="G600" s="490"/>
      <c r="H600" s="490" t="s">
        <v>1551</v>
      </c>
    </row>
    <row r="601" spans="1:8" x14ac:dyDescent="0.45">
      <c r="A601" s="490">
        <v>3</v>
      </c>
      <c r="B601" s="490"/>
      <c r="C601" s="490"/>
      <c r="D601" s="490"/>
      <c r="E601" s="490"/>
      <c r="F601" s="490"/>
      <c r="G601" s="490"/>
      <c r="H601" s="490" t="s">
        <v>1552</v>
      </c>
    </row>
    <row r="602" spans="1:8" x14ac:dyDescent="0.45">
      <c r="A602" s="490">
        <v>4</v>
      </c>
      <c r="B602" s="67"/>
      <c r="C602" s="67"/>
      <c r="D602" s="67"/>
      <c r="E602" s="67"/>
      <c r="F602" s="67"/>
      <c r="G602" s="67"/>
      <c r="H602" s="490" t="s">
        <v>1553</v>
      </c>
    </row>
    <row r="603" spans="1:8" x14ac:dyDescent="0.45">
      <c r="A603" s="490">
        <v>5</v>
      </c>
      <c r="B603" s="67"/>
      <c r="C603" s="67"/>
      <c r="D603" s="67"/>
      <c r="E603" s="67"/>
      <c r="F603" s="67"/>
      <c r="G603" s="67"/>
      <c r="H603" s="490" t="s">
        <v>1554</v>
      </c>
    </row>
    <row r="604" spans="1:8" x14ac:dyDescent="0.45">
      <c r="A604" s="490">
        <v>6</v>
      </c>
      <c r="B604" s="479" t="s">
        <v>1392</v>
      </c>
      <c r="C604" s="479" t="s">
        <v>1555</v>
      </c>
      <c r="D604" s="479" t="s">
        <v>322</v>
      </c>
      <c r="E604" s="479" t="s">
        <v>1556</v>
      </c>
      <c r="F604" s="479">
        <v>20</v>
      </c>
      <c r="G604" s="479" t="s">
        <v>508</v>
      </c>
      <c r="H604" s="479"/>
    </row>
    <row r="605" spans="1:8" x14ac:dyDescent="0.45">
      <c r="A605" s="490">
        <v>7</v>
      </c>
      <c r="B605" s="479" t="s">
        <v>1557</v>
      </c>
      <c r="C605" s="479" t="s">
        <v>1378</v>
      </c>
      <c r="D605" s="479" t="s">
        <v>322</v>
      </c>
      <c r="E605" s="479" t="s">
        <v>1556</v>
      </c>
      <c r="F605" s="479">
        <v>50</v>
      </c>
      <c r="G605" s="479" t="s">
        <v>508</v>
      </c>
      <c r="H605" s="479"/>
    </row>
    <row r="606" spans="1:8" x14ac:dyDescent="0.45">
      <c r="A606" s="490">
        <v>8</v>
      </c>
      <c r="B606" s="479" t="s">
        <v>1402</v>
      </c>
      <c r="C606" s="479" t="s">
        <v>1558</v>
      </c>
      <c r="D606" s="479" t="s">
        <v>322</v>
      </c>
      <c r="E606" s="479" t="s">
        <v>1559</v>
      </c>
      <c r="F606" s="479">
        <v>350</v>
      </c>
      <c r="G606" s="479" t="s">
        <v>508</v>
      </c>
      <c r="H606" s="479"/>
    </row>
    <row r="607" spans="1:8" x14ac:dyDescent="0.45">
      <c r="A607" s="490">
        <v>9</v>
      </c>
      <c r="B607" s="479" t="s">
        <v>1402</v>
      </c>
      <c r="C607" s="479" t="s">
        <v>1558</v>
      </c>
      <c r="D607" s="479" t="s">
        <v>322</v>
      </c>
      <c r="E607" s="479" t="s">
        <v>1560</v>
      </c>
      <c r="F607" s="479">
        <v>700</v>
      </c>
      <c r="G607" s="479" t="s">
        <v>508</v>
      </c>
      <c r="H607" s="479"/>
    </row>
    <row r="610" spans="1:8" ht="15.75" x14ac:dyDescent="0.45">
      <c r="A610" s="612" t="s">
        <v>1561</v>
      </c>
      <c r="B610" s="613"/>
      <c r="C610" s="613"/>
      <c r="D610" s="613"/>
      <c r="E610" s="613"/>
      <c r="F610" s="613"/>
      <c r="G610" s="613"/>
      <c r="H610" s="614"/>
    </row>
    <row r="611" spans="1:8" ht="15.75" x14ac:dyDescent="0.45">
      <c r="A611" s="432" t="s">
        <v>501</v>
      </c>
      <c r="B611" s="432" t="s">
        <v>676</v>
      </c>
      <c r="C611" s="432" t="s">
        <v>1082</v>
      </c>
      <c r="D611" s="432" t="s">
        <v>876</v>
      </c>
      <c r="E611" s="432" t="s">
        <v>353</v>
      </c>
      <c r="F611" s="432" t="s">
        <v>105</v>
      </c>
      <c r="G611" s="432" t="s">
        <v>1364</v>
      </c>
      <c r="H611" s="432" t="s">
        <v>505</v>
      </c>
    </row>
    <row r="612" spans="1:8" x14ac:dyDescent="0.45">
      <c r="A612" s="490">
        <v>1</v>
      </c>
      <c r="B612" s="490" t="s">
        <v>1385</v>
      </c>
      <c r="C612" s="490" t="s">
        <v>1562</v>
      </c>
      <c r="D612" s="490" t="s">
        <v>322</v>
      </c>
      <c r="E612" s="490" t="s">
        <v>322</v>
      </c>
      <c r="F612" s="490">
        <v>500</v>
      </c>
      <c r="G612" s="490" t="s">
        <v>1563</v>
      </c>
      <c r="H612" s="490"/>
    </row>
    <row r="613" spans="1:8" x14ac:dyDescent="0.45">
      <c r="A613" s="479">
        <v>2</v>
      </c>
      <c r="B613" s="479" t="s">
        <v>1366</v>
      </c>
      <c r="C613" s="479" t="s">
        <v>1562</v>
      </c>
      <c r="D613" s="479" t="s">
        <v>322</v>
      </c>
      <c r="E613" s="479" t="s">
        <v>322</v>
      </c>
      <c r="F613" s="479">
        <v>250</v>
      </c>
      <c r="G613" s="479" t="s">
        <v>1563</v>
      </c>
      <c r="H613" s="479"/>
    </row>
    <row r="614" spans="1:8" x14ac:dyDescent="0.45">
      <c r="A614" s="479">
        <v>3</v>
      </c>
      <c r="B614" s="479" t="s">
        <v>1564</v>
      </c>
      <c r="C614" s="479" t="s">
        <v>1565</v>
      </c>
      <c r="D614" s="479" t="s">
        <v>322</v>
      </c>
      <c r="E614" s="479" t="s">
        <v>322</v>
      </c>
      <c r="F614" s="479">
        <v>2000</v>
      </c>
      <c r="G614" s="479" t="s">
        <v>1566</v>
      </c>
      <c r="H614" s="479"/>
    </row>
    <row r="615" spans="1:8" x14ac:dyDescent="0.45">
      <c r="A615" s="490">
        <v>4</v>
      </c>
      <c r="B615" s="479" t="s">
        <v>1567</v>
      </c>
      <c r="C615" s="479" t="s">
        <v>1568</v>
      </c>
      <c r="D615" s="479"/>
      <c r="E615" s="479" t="s">
        <v>1437</v>
      </c>
      <c r="F615" s="479">
        <v>300</v>
      </c>
      <c r="G615" s="479" t="s">
        <v>508</v>
      </c>
      <c r="H615" s="479"/>
    </row>
    <row r="616" spans="1:8" x14ac:dyDescent="0.45">
      <c r="A616" s="490">
        <v>5</v>
      </c>
      <c r="B616" s="479" t="s">
        <v>1567</v>
      </c>
      <c r="C616" s="479" t="s">
        <v>1569</v>
      </c>
      <c r="D616" s="479" t="s">
        <v>322</v>
      </c>
      <c r="E616" s="479" t="s">
        <v>322</v>
      </c>
      <c r="F616" s="479">
        <v>3</v>
      </c>
      <c r="G616" s="479" t="s">
        <v>1570</v>
      </c>
      <c r="H616" s="67"/>
    </row>
    <row r="617" spans="1:8" x14ac:dyDescent="0.45">
      <c r="A617" s="479">
        <v>6</v>
      </c>
      <c r="B617" s="479" t="s">
        <v>1567</v>
      </c>
      <c r="C617" s="479" t="s">
        <v>1571</v>
      </c>
      <c r="D617" s="479" t="s">
        <v>322</v>
      </c>
      <c r="E617" s="479" t="s">
        <v>1572</v>
      </c>
      <c r="F617" s="479">
        <v>2</v>
      </c>
      <c r="G617" s="479" t="s">
        <v>1570</v>
      </c>
      <c r="H617" s="67"/>
    </row>
    <row r="618" spans="1:8" x14ac:dyDescent="0.45">
      <c r="A618" s="479">
        <v>7</v>
      </c>
      <c r="B618" s="479" t="s">
        <v>1567</v>
      </c>
      <c r="C618" s="479" t="s">
        <v>1573</v>
      </c>
      <c r="D618" s="479" t="s">
        <v>322</v>
      </c>
      <c r="E618" s="479" t="s">
        <v>322</v>
      </c>
      <c r="F618" s="479">
        <v>50</v>
      </c>
      <c r="G618" s="479" t="s">
        <v>508</v>
      </c>
      <c r="H618" s="67"/>
    </row>
    <row r="619" spans="1:8" x14ac:dyDescent="0.45">
      <c r="A619" s="490">
        <v>8</v>
      </c>
      <c r="B619" s="479" t="s">
        <v>1567</v>
      </c>
      <c r="C619" s="479" t="s">
        <v>1574</v>
      </c>
      <c r="D619" s="479" t="s">
        <v>322</v>
      </c>
      <c r="E619" s="479" t="s">
        <v>322</v>
      </c>
      <c r="F619" s="479">
        <v>3</v>
      </c>
      <c r="G619" s="479" t="s">
        <v>1570</v>
      </c>
      <c r="H619" s="67"/>
    </row>
    <row r="620" spans="1:8" x14ac:dyDescent="0.45">
      <c r="A620" s="490">
        <v>9</v>
      </c>
      <c r="B620" s="479" t="s">
        <v>1567</v>
      </c>
      <c r="C620" s="479" t="s">
        <v>1575</v>
      </c>
      <c r="D620" s="479" t="s">
        <v>322</v>
      </c>
      <c r="E620" s="479" t="s">
        <v>322</v>
      </c>
      <c r="F620" s="479">
        <v>3</v>
      </c>
      <c r="G620" s="479" t="s">
        <v>1570</v>
      </c>
      <c r="H620" s="67"/>
    </row>
    <row r="621" spans="1:8" x14ac:dyDescent="0.45">
      <c r="A621" s="479">
        <v>10</v>
      </c>
      <c r="B621" s="479" t="s">
        <v>1567</v>
      </c>
      <c r="C621" s="479" t="s">
        <v>1576</v>
      </c>
      <c r="D621" s="479" t="s">
        <v>322</v>
      </c>
      <c r="E621" s="479" t="s">
        <v>322</v>
      </c>
      <c r="F621" s="479">
        <v>3</v>
      </c>
      <c r="G621" s="479" t="s">
        <v>1570</v>
      </c>
      <c r="H621" s="67"/>
    </row>
    <row r="622" spans="1:8" x14ac:dyDescent="0.45">
      <c r="A622" s="479">
        <v>11</v>
      </c>
      <c r="B622" s="479" t="s">
        <v>1567</v>
      </c>
      <c r="C622" s="479" t="s">
        <v>1577</v>
      </c>
      <c r="D622" s="479" t="s">
        <v>322</v>
      </c>
      <c r="E622" s="479" t="s">
        <v>322</v>
      </c>
      <c r="F622" s="479">
        <v>1</v>
      </c>
      <c r="G622" s="479" t="s">
        <v>1570</v>
      </c>
      <c r="H622" s="67"/>
    </row>
    <row r="623" spans="1:8" x14ac:dyDescent="0.45">
      <c r="A623" s="490">
        <v>12</v>
      </c>
      <c r="B623" s="479" t="s">
        <v>1567</v>
      </c>
      <c r="C623" s="479" t="s">
        <v>1578</v>
      </c>
      <c r="D623" s="479" t="s">
        <v>322</v>
      </c>
      <c r="E623" s="479" t="s">
        <v>322</v>
      </c>
      <c r="F623" s="479">
        <v>1</v>
      </c>
      <c r="G623" s="479" t="s">
        <v>1570</v>
      </c>
      <c r="H623" s="67"/>
    </row>
    <row r="624" spans="1:8" x14ac:dyDescent="0.45">
      <c r="A624" s="490">
        <v>13</v>
      </c>
      <c r="B624" s="479" t="s">
        <v>1567</v>
      </c>
      <c r="C624" s="479" t="s">
        <v>1579</v>
      </c>
      <c r="D624" s="479" t="s">
        <v>322</v>
      </c>
      <c r="E624" s="479" t="s">
        <v>322</v>
      </c>
      <c r="F624" s="479">
        <v>5</v>
      </c>
      <c r="G624" s="479" t="s">
        <v>1570</v>
      </c>
      <c r="H624" s="67"/>
    </row>
    <row r="625" spans="1:8" x14ac:dyDescent="0.45">
      <c r="A625" s="479">
        <v>14</v>
      </c>
      <c r="B625" s="479" t="s">
        <v>1567</v>
      </c>
      <c r="C625" s="479" t="s">
        <v>1580</v>
      </c>
      <c r="D625" s="479" t="s">
        <v>322</v>
      </c>
      <c r="E625" s="479" t="s">
        <v>322</v>
      </c>
      <c r="F625" s="479">
        <v>5</v>
      </c>
      <c r="G625" s="479" t="s">
        <v>508</v>
      </c>
      <c r="H625" s="67"/>
    </row>
    <row r="626" spans="1:8" x14ac:dyDescent="0.45">
      <c r="A626" s="479">
        <v>15</v>
      </c>
      <c r="B626" s="479" t="s">
        <v>1567</v>
      </c>
      <c r="C626" s="479" t="s">
        <v>1581</v>
      </c>
      <c r="D626" s="479" t="s">
        <v>322</v>
      </c>
      <c r="E626" s="479" t="s">
        <v>322</v>
      </c>
      <c r="F626" s="479">
        <v>3</v>
      </c>
      <c r="G626" s="479" t="s">
        <v>1570</v>
      </c>
      <c r="H626" s="67"/>
    </row>
    <row r="627" spans="1:8" x14ac:dyDescent="0.45">
      <c r="A627" s="479">
        <v>16</v>
      </c>
      <c r="B627" s="479" t="s">
        <v>1567</v>
      </c>
      <c r="C627" s="479" t="s">
        <v>1582</v>
      </c>
      <c r="D627" s="479" t="s">
        <v>322</v>
      </c>
      <c r="E627" s="479" t="s">
        <v>322</v>
      </c>
      <c r="F627" s="479">
        <v>3</v>
      </c>
      <c r="G627" s="479" t="s">
        <v>508</v>
      </c>
      <c r="H627" s="67"/>
    </row>
    <row r="628" spans="1:8" x14ac:dyDescent="0.45">
      <c r="A628" s="479">
        <v>17</v>
      </c>
      <c r="B628" s="479" t="s">
        <v>1567</v>
      </c>
      <c r="C628" s="479" t="s">
        <v>1583</v>
      </c>
      <c r="D628" s="479" t="s">
        <v>322</v>
      </c>
      <c r="E628" s="479" t="s">
        <v>322</v>
      </c>
      <c r="F628" s="479">
        <v>1</v>
      </c>
      <c r="G628" s="479" t="s">
        <v>508</v>
      </c>
      <c r="H628" s="67"/>
    </row>
    <row r="629" spans="1:8" x14ac:dyDescent="0.45">
      <c r="A629" s="479">
        <v>18</v>
      </c>
      <c r="B629" s="479" t="s">
        <v>1567</v>
      </c>
      <c r="C629" s="479" t="s">
        <v>1584</v>
      </c>
      <c r="D629" s="479" t="s">
        <v>322</v>
      </c>
      <c r="E629" s="479" t="s">
        <v>322</v>
      </c>
      <c r="F629" s="479">
        <v>2</v>
      </c>
      <c r="G629" s="479" t="s">
        <v>508</v>
      </c>
      <c r="H629" s="67"/>
    </row>
    <row r="630" spans="1:8" x14ac:dyDescent="0.45">
      <c r="A630" s="479">
        <v>19</v>
      </c>
      <c r="B630" s="479" t="s">
        <v>1567</v>
      </c>
      <c r="C630" s="479" t="s">
        <v>1585</v>
      </c>
      <c r="D630" s="479" t="s">
        <v>322</v>
      </c>
      <c r="E630" s="479" t="s">
        <v>322</v>
      </c>
      <c r="F630" s="479">
        <v>2</v>
      </c>
      <c r="G630" s="479" t="s">
        <v>508</v>
      </c>
      <c r="H630" s="67"/>
    </row>
    <row r="631" spans="1:8" x14ac:dyDescent="0.45">
      <c r="A631" s="490">
        <v>20</v>
      </c>
      <c r="B631" s="479" t="s">
        <v>1567</v>
      </c>
      <c r="C631" s="479" t="s">
        <v>1586</v>
      </c>
      <c r="D631" s="479" t="s">
        <v>1587</v>
      </c>
      <c r="E631" s="479" t="s">
        <v>322</v>
      </c>
      <c r="F631" s="479">
        <v>1</v>
      </c>
      <c r="G631" s="479" t="s">
        <v>508</v>
      </c>
      <c r="H631" s="67"/>
    </row>
    <row r="632" spans="1:8" x14ac:dyDescent="0.45">
      <c r="A632" s="490">
        <v>21</v>
      </c>
      <c r="B632" s="479" t="s">
        <v>1567</v>
      </c>
      <c r="C632" s="479" t="s">
        <v>1588</v>
      </c>
      <c r="D632" s="479" t="s">
        <v>1589</v>
      </c>
      <c r="E632" s="479" t="s">
        <v>322</v>
      </c>
      <c r="F632" s="479">
        <v>1</v>
      </c>
      <c r="G632" s="479" t="s">
        <v>508</v>
      </c>
      <c r="H632" s="67"/>
    </row>
    <row r="634" spans="1:8" s="457" customFormat="1" x14ac:dyDescent="0.45"/>
    <row r="635" spans="1:8" s="457" customFormat="1" x14ac:dyDescent="0.45"/>
    <row r="636" spans="1:8" s="197" customFormat="1" ht="15.75" x14ac:dyDescent="0.45">
      <c r="A636" s="615" t="s">
        <v>1590</v>
      </c>
      <c r="B636" s="615"/>
      <c r="C636" s="615"/>
      <c r="D636" s="615"/>
      <c r="E636" s="615"/>
      <c r="F636" s="615"/>
      <c r="G636" s="615"/>
      <c r="H636" s="615"/>
    </row>
    <row r="637" spans="1:8" ht="47.25" x14ac:dyDescent="0.45">
      <c r="A637" s="456" t="s">
        <v>501</v>
      </c>
      <c r="B637" s="456" t="s">
        <v>2</v>
      </c>
      <c r="C637" s="456" t="s">
        <v>301</v>
      </c>
      <c r="D637" s="456" t="s">
        <v>1591</v>
      </c>
      <c r="E637" s="456" t="s">
        <v>1592</v>
      </c>
      <c r="F637" s="456" t="s">
        <v>1593</v>
      </c>
      <c r="G637" s="456" t="s">
        <v>1594</v>
      </c>
      <c r="H637" s="456" t="s">
        <v>505</v>
      </c>
    </row>
    <row r="638" spans="1:8" x14ac:dyDescent="0.45">
      <c r="A638" s="67">
        <v>1</v>
      </c>
      <c r="B638" s="616" t="s">
        <v>1595</v>
      </c>
      <c r="C638" s="617"/>
      <c r="D638" s="617"/>
      <c r="E638" s="617"/>
      <c r="F638" s="617"/>
      <c r="G638" s="617"/>
      <c r="H638" s="618"/>
    </row>
    <row r="639" spans="1:8" x14ac:dyDescent="0.45">
      <c r="B639" s="1"/>
      <c r="C639" s="1"/>
      <c r="D639" s="1"/>
      <c r="E639" s="1"/>
      <c r="F639" s="1"/>
      <c r="G639" s="1"/>
      <c r="H639" s="1"/>
    </row>
    <row r="641" spans="1:16" ht="15.75" x14ac:dyDescent="0.45">
      <c r="A641" s="615" t="s">
        <v>1596</v>
      </c>
      <c r="B641" s="615"/>
      <c r="C641" s="615"/>
      <c r="D641" s="615"/>
      <c r="E641" s="615"/>
      <c r="F641" s="615"/>
      <c r="G641" s="615"/>
      <c r="H641" s="615"/>
    </row>
    <row r="642" spans="1:16" ht="15.75" x14ac:dyDescent="0.5">
      <c r="A642" s="458" t="s">
        <v>501</v>
      </c>
      <c r="B642" s="458" t="s">
        <v>502</v>
      </c>
      <c r="C642" s="458" t="s">
        <v>1082</v>
      </c>
      <c r="D642" s="458" t="s">
        <v>1597</v>
      </c>
      <c r="E642" s="458" t="s">
        <v>353</v>
      </c>
      <c r="F642" s="458" t="s">
        <v>333</v>
      </c>
      <c r="G642" s="458" t="s">
        <v>504</v>
      </c>
      <c r="H642" s="458" t="s">
        <v>505</v>
      </c>
      <c r="J642" s="1"/>
    </row>
    <row r="643" spans="1:16" x14ac:dyDescent="0.45">
      <c r="A643" s="67">
        <v>1</v>
      </c>
      <c r="B643" s="67" t="s">
        <v>1365</v>
      </c>
      <c r="C643" s="67" t="s">
        <v>1598</v>
      </c>
      <c r="D643" s="490" t="s">
        <v>1599</v>
      </c>
      <c r="E643" s="490" t="s">
        <v>1600</v>
      </c>
      <c r="F643" s="490">
        <v>3</v>
      </c>
      <c r="G643" s="490" t="s">
        <v>508</v>
      </c>
      <c r="H643" s="490"/>
      <c r="J643" s="1"/>
      <c r="K643" s="479">
        <v>1</v>
      </c>
      <c r="L643" s="67" t="s">
        <v>1681</v>
      </c>
      <c r="M643" s="67" t="s">
        <v>1598</v>
      </c>
      <c r="N643" s="490" t="s">
        <v>1684</v>
      </c>
      <c r="O643" s="490" t="s">
        <v>441</v>
      </c>
      <c r="P643" s="490"/>
    </row>
    <row r="644" spans="1:16" x14ac:dyDescent="0.45">
      <c r="A644" s="459">
        <v>2</v>
      </c>
      <c r="B644" s="460" t="s">
        <v>1385</v>
      </c>
      <c r="C644" s="461" t="s">
        <v>1601</v>
      </c>
      <c r="D644" s="462" t="s">
        <v>1387</v>
      </c>
      <c r="E644" s="459">
        <v>2.5</v>
      </c>
      <c r="F644" s="459">
        <v>3</v>
      </c>
      <c r="G644" s="461" t="s">
        <v>508</v>
      </c>
      <c r="H644" s="461" t="s">
        <v>1602</v>
      </c>
      <c r="J644" s="1"/>
      <c r="K644" s="479">
        <v>2</v>
      </c>
      <c r="L644" s="67" t="s">
        <v>1682</v>
      </c>
      <c r="M644" s="67" t="s">
        <v>1608</v>
      </c>
      <c r="N644" s="490" t="s">
        <v>1685</v>
      </c>
      <c r="O644" s="490" t="s">
        <v>1686</v>
      </c>
      <c r="P644" s="490"/>
    </row>
    <row r="645" spans="1:16" x14ac:dyDescent="0.45">
      <c r="A645" s="67">
        <v>3</v>
      </c>
      <c r="B645" s="461" t="s">
        <v>1385</v>
      </c>
      <c r="C645" s="461" t="s">
        <v>1376</v>
      </c>
      <c r="D645" s="462" t="s">
        <v>1387</v>
      </c>
      <c r="E645" s="459">
        <v>2.5</v>
      </c>
      <c r="F645" s="459">
        <v>4</v>
      </c>
      <c r="G645" s="461" t="s">
        <v>508</v>
      </c>
      <c r="H645" s="461" t="s">
        <v>1602</v>
      </c>
      <c r="J645" s="1"/>
      <c r="K645" s="479">
        <v>3</v>
      </c>
      <c r="L645" s="67" t="s">
        <v>1683</v>
      </c>
      <c r="M645" s="67" t="s">
        <v>1613</v>
      </c>
      <c r="N645" s="490" t="s">
        <v>1685</v>
      </c>
      <c r="O645" s="490" t="s">
        <v>441</v>
      </c>
      <c r="P645" s="490"/>
    </row>
    <row r="646" spans="1:16" x14ac:dyDescent="0.45">
      <c r="A646" s="459">
        <v>4</v>
      </c>
      <c r="B646" s="461" t="s">
        <v>1385</v>
      </c>
      <c r="C646" s="461" t="s">
        <v>1372</v>
      </c>
      <c r="D646" s="462" t="s">
        <v>1387</v>
      </c>
      <c r="E646" s="459">
        <v>2.5</v>
      </c>
      <c r="F646" s="459">
        <v>4</v>
      </c>
      <c r="G646" s="461" t="s">
        <v>508</v>
      </c>
      <c r="H646" s="461" t="s">
        <v>1602</v>
      </c>
      <c r="J646" s="1"/>
    </row>
    <row r="647" spans="1:16" x14ac:dyDescent="0.45">
      <c r="A647" s="67">
        <v>5</v>
      </c>
      <c r="B647" s="461" t="s">
        <v>1385</v>
      </c>
      <c r="C647" s="461" t="s">
        <v>1376</v>
      </c>
      <c r="D647" s="462" t="s">
        <v>1387</v>
      </c>
      <c r="E647" s="459">
        <v>2.5</v>
      </c>
      <c r="F647" s="459">
        <v>4</v>
      </c>
      <c r="G647" s="461" t="s">
        <v>508</v>
      </c>
      <c r="H647" s="461" t="s">
        <v>1602</v>
      </c>
      <c r="J647" s="1"/>
    </row>
    <row r="648" spans="1:16" x14ac:dyDescent="0.45">
      <c r="A648" s="459">
        <v>6</v>
      </c>
      <c r="B648" s="461" t="s">
        <v>1385</v>
      </c>
      <c r="C648" s="461" t="s">
        <v>1376</v>
      </c>
      <c r="D648" s="462" t="s">
        <v>1387</v>
      </c>
      <c r="E648" s="459">
        <v>50</v>
      </c>
      <c r="F648" s="459">
        <v>4</v>
      </c>
      <c r="G648" s="461" t="s">
        <v>508</v>
      </c>
      <c r="H648" s="461" t="s">
        <v>1603</v>
      </c>
      <c r="J648" s="1"/>
    </row>
    <row r="649" spans="1:16" x14ac:dyDescent="0.45">
      <c r="A649" s="67">
        <v>7</v>
      </c>
      <c r="B649" s="461" t="s">
        <v>1385</v>
      </c>
      <c r="C649" s="461" t="s">
        <v>1372</v>
      </c>
      <c r="D649" s="462" t="s">
        <v>1387</v>
      </c>
      <c r="E649" s="459">
        <v>50</v>
      </c>
      <c r="F649" s="459">
        <v>10</v>
      </c>
      <c r="G649" s="461" t="s">
        <v>508</v>
      </c>
      <c r="H649" s="461" t="s">
        <v>1603</v>
      </c>
      <c r="J649" s="1"/>
    </row>
    <row r="650" spans="1:16" x14ac:dyDescent="0.45">
      <c r="A650" s="459">
        <v>8</v>
      </c>
      <c r="B650" s="461" t="s">
        <v>1385</v>
      </c>
      <c r="C650" s="461" t="s">
        <v>179</v>
      </c>
      <c r="D650" s="462" t="s">
        <v>1387</v>
      </c>
      <c r="E650" s="459">
        <v>50</v>
      </c>
      <c r="F650" s="459">
        <v>8</v>
      </c>
      <c r="G650" s="461" t="s">
        <v>508</v>
      </c>
      <c r="H650" s="461" t="s">
        <v>1603</v>
      </c>
      <c r="J650" s="1"/>
    </row>
    <row r="651" spans="1:16" x14ac:dyDescent="0.45">
      <c r="A651" s="67">
        <v>9</v>
      </c>
      <c r="B651" s="461" t="s">
        <v>1385</v>
      </c>
      <c r="C651" s="461" t="s">
        <v>1376</v>
      </c>
      <c r="D651" s="462" t="s">
        <v>1387</v>
      </c>
      <c r="E651" s="459">
        <v>50</v>
      </c>
      <c r="F651" s="459">
        <v>12</v>
      </c>
      <c r="G651" s="461" t="s">
        <v>508</v>
      </c>
      <c r="H651" s="461" t="s">
        <v>1603</v>
      </c>
      <c r="J651" s="1"/>
    </row>
    <row r="652" spans="1:16" x14ac:dyDescent="0.45">
      <c r="A652" s="459">
        <v>10</v>
      </c>
      <c r="B652" s="461" t="s">
        <v>1385</v>
      </c>
      <c r="C652" s="461" t="s">
        <v>1367</v>
      </c>
      <c r="D652" s="462" t="s">
        <v>1387</v>
      </c>
      <c r="E652" s="459">
        <v>50</v>
      </c>
      <c r="F652" s="459">
        <v>12</v>
      </c>
      <c r="G652" s="461" t="s">
        <v>526</v>
      </c>
      <c r="H652" s="461" t="s">
        <v>1603</v>
      </c>
      <c r="J652" s="1"/>
    </row>
    <row r="653" spans="1:16" x14ac:dyDescent="0.45">
      <c r="A653" s="67">
        <v>11</v>
      </c>
      <c r="B653" s="461" t="s">
        <v>1385</v>
      </c>
      <c r="C653" s="461" t="s">
        <v>1604</v>
      </c>
      <c r="D653" s="462" t="s">
        <v>1387</v>
      </c>
      <c r="E653" s="461" t="s">
        <v>1605</v>
      </c>
      <c r="F653" s="459">
        <v>5</v>
      </c>
      <c r="G653" s="461" t="s">
        <v>508</v>
      </c>
      <c r="H653" s="461" t="s">
        <v>1603</v>
      </c>
      <c r="J653" s="1"/>
    </row>
    <row r="654" spans="1:16" x14ac:dyDescent="0.45">
      <c r="A654" s="459">
        <v>12</v>
      </c>
      <c r="B654" s="461" t="s">
        <v>1385</v>
      </c>
      <c r="C654" s="461" t="s">
        <v>1367</v>
      </c>
      <c r="D654" s="462" t="s">
        <v>1387</v>
      </c>
      <c r="E654" s="459">
        <v>75</v>
      </c>
      <c r="F654" s="459">
        <v>12</v>
      </c>
      <c r="G654" s="461" t="s">
        <v>526</v>
      </c>
      <c r="H654" s="463" t="s">
        <v>1606</v>
      </c>
      <c r="J654" s="1"/>
    </row>
    <row r="655" spans="1:16" x14ac:dyDescent="0.45">
      <c r="A655" s="67">
        <v>13</v>
      </c>
      <c r="B655" s="461" t="s">
        <v>1385</v>
      </c>
      <c r="C655" s="461" t="s">
        <v>1372</v>
      </c>
      <c r="D655" s="462" t="s">
        <v>1387</v>
      </c>
      <c r="E655" s="459">
        <v>75</v>
      </c>
      <c r="F655" s="459">
        <v>10</v>
      </c>
      <c r="G655" s="461" t="s">
        <v>508</v>
      </c>
      <c r="H655" s="463" t="s">
        <v>1606</v>
      </c>
      <c r="J655" s="1"/>
    </row>
    <row r="656" spans="1:16" x14ac:dyDescent="0.45">
      <c r="A656" s="459">
        <v>14</v>
      </c>
      <c r="B656" s="461" t="s">
        <v>1385</v>
      </c>
      <c r="C656" s="461" t="s">
        <v>1383</v>
      </c>
      <c r="D656" s="462" t="s">
        <v>1387</v>
      </c>
      <c r="E656" s="459">
        <v>50</v>
      </c>
      <c r="F656" s="459">
        <v>10</v>
      </c>
      <c r="G656" s="461" t="s">
        <v>508</v>
      </c>
      <c r="H656" s="461" t="s">
        <v>1603</v>
      </c>
      <c r="J656" s="1"/>
    </row>
    <row r="657" spans="1:10" x14ac:dyDescent="0.45">
      <c r="D657" s="13"/>
      <c r="E657" s="1"/>
      <c r="F657" s="1"/>
      <c r="G657" s="1"/>
      <c r="H657" s="1"/>
      <c r="J657" s="1"/>
    </row>
    <row r="659" spans="1:10" ht="15.75" x14ac:dyDescent="0.45">
      <c r="A659" s="612" t="s">
        <v>1607</v>
      </c>
      <c r="B659" s="613"/>
      <c r="C659" s="613"/>
      <c r="D659" s="613"/>
      <c r="E659" s="613"/>
      <c r="F659" s="613"/>
      <c r="G659" s="613"/>
      <c r="H659" s="614"/>
    </row>
    <row r="660" spans="1:10" ht="15.75" x14ac:dyDescent="0.45">
      <c r="A660" s="493" t="s">
        <v>501</v>
      </c>
      <c r="B660" s="493" t="s">
        <v>676</v>
      </c>
      <c r="C660" s="493" t="s">
        <v>1082</v>
      </c>
      <c r="D660" s="493" t="s">
        <v>876</v>
      </c>
      <c r="E660" s="493" t="s">
        <v>353</v>
      </c>
      <c r="F660" s="493" t="s">
        <v>105</v>
      </c>
      <c r="G660" s="493" t="s">
        <v>1364</v>
      </c>
      <c r="H660" s="493" t="s">
        <v>505</v>
      </c>
    </row>
    <row r="661" spans="1:10" x14ac:dyDescent="0.45">
      <c r="A661" s="67">
        <v>1</v>
      </c>
      <c r="B661" s="67" t="s">
        <v>1365</v>
      </c>
      <c r="C661" s="67" t="s">
        <v>1608</v>
      </c>
      <c r="D661" s="490" t="s">
        <v>1599</v>
      </c>
      <c r="E661" s="490" t="s">
        <v>1609</v>
      </c>
      <c r="F661" s="490">
        <v>3</v>
      </c>
      <c r="G661" s="490" t="s">
        <v>508</v>
      </c>
      <c r="H661" s="490"/>
    </row>
    <row r="662" spans="1:10" x14ac:dyDescent="0.45">
      <c r="A662" s="67">
        <v>2</v>
      </c>
      <c r="B662" s="67" t="s">
        <v>1385</v>
      </c>
      <c r="C662" s="67" t="s">
        <v>1610</v>
      </c>
      <c r="D662" s="462" t="s">
        <v>1387</v>
      </c>
      <c r="E662" s="479" t="s">
        <v>1380</v>
      </c>
      <c r="F662" s="479">
        <v>3</v>
      </c>
      <c r="G662" s="479" t="s">
        <v>508</v>
      </c>
      <c r="H662" s="479" t="s">
        <v>1602</v>
      </c>
    </row>
    <row r="663" spans="1:10" x14ac:dyDescent="0.45">
      <c r="A663" s="67">
        <v>3</v>
      </c>
      <c r="B663" s="67" t="s">
        <v>1374</v>
      </c>
      <c r="C663" s="67" t="s">
        <v>1429</v>
      </c>
      <c r="D663" s="462" t="s">
        <v>1387</v>
      </c>
      <c r="E663" s="479" t="s">
        <v>1380</v>
      </c>
      <c r="F663" s="479">
        <v>6</v>
      </c>
      <c r="G663" s="479" t="s">
        <v>508</v>
      </c>
      <c r="H663" s="479" t="s">
        <v>1602</v>
      </c>
    </row>
    <row r="664" spans="1:10" x14ac:dyDescent="0.45">
      <c r="A664" s="67">
        <v>4</v>
      </c>
      <c r="B664" s="67" t="s">
        <v>1385</v>
      </c>
      <c r="C664" s="67" t="s">
        <v>1376</v>
      </c>
      <c r="D664" s="462" t="s">
        <v>1387</v>
      </c>
      <c r="E664" s="479" t="s">
        <v>1380</v>
      </c>
      <c r="F664" s="479">
        <v>6</v>
      </c>
      <c r="G664" s="479" t="s">
        <v>508</v>
      </c>
      <c r="H664" s="479" t="s">
        <v>1602</v>
      </c>
    </row>
    <row r="665" spans="1:10" x14ac:dyDescent="0.45">
      <c r="A665" s="67">
        <v>5</v>
      </c>
      <c r="B665" s="67" t="s">
        <v>1385</v>
      </c>
      <c r="C665" s="67" t="s">
        <v>1376</v>
      </c>
      <c r="D665" s="462" t="s">
        <v>1387</v>
      </c>
      <c r="E665" s="479" t="s">
        <v>1380</v>
      </c>
      <c r="F665" s="479">
        <v>6</v>
      </c>
      <c r="G665" s="479" t="s">
        <v>508</v>
      </c>
      <c r="H665" s="479" t="s">
        <v>1602</v>
      </c>
    </row>
    <row r="666" spans="1:10" x14ac:dyDescent="0.45">
      <c r="A666" s="67">
        <v>6</v>
      </c>
      <c r="B666" s="67" t="s">
        <v>1453</v>
      </c>
      <c r="C666" s="67" t="s">
        <v>1376</v>
      </c>
      <c r="D666" s="462" t="s">
        <v>1387</v>
      </c>
      <c r="E666" s="479" t="s">
        <v>1380</v>
      </c>
      <c r="F666" s="479">
        <v>3</v>
      </c>
      <c r="G666" s="479" t="s">
        <v>508</v>
      </c>
      <c r="H666" s="479" t="s">
        <v>1603</v>
      </c>
    </row>
    <row r="667" spans="1:10" x14ac:dyDescent="0.45">
      <c r="A667" s="67">
        <v>7</v>
      </c>
      <c r="B667" s="67" t="s">
        <v>1453</v>
      </c>
      <c r="C667" s="67" t="s">
        <v>1372</v>
      </c>
      <c r="D667" s="462" t="s">
        <v>1387</v>
      </c>
      <c r="E667" s="479" t="s">
        <v>1380</v>
      </c>
      <c r="F667" s="479">
        <v>20</v>
      </c>
      <c r="G667" s="479" t="s">
        <v>508</v>
      </c>
      <c r="H667" s="479" t="s">
        <v>1603</v>
      </c>
    </row>
    <row r="668" spans="1:10" x14ac:dyDescent="0.45">
      <c r="A668" s="67">
        <v>8</v>
      </c>
      <c r="B668" s="67" t="s">
        <v>1453</v>
      </c>
      <c r="C668" s="67" t="s">
        <v>1611</v>
      </c>
      <c r="D668" s="462" t="s">
        <v>1387</v>
      </c>
      <c r="E668" s="479" t="s">
        <v>1380</v>
      </c>
      <c r="F668" s="479">
        <v>6</v>
      </c>
      <c r="G668" s="479" t="s">
        <v>508</v>
      </c>
      <c r="H668" s="479" t="s">
        <v>1603</v>
      </c>
    </row>
    <row r="669" spans="1:10" x14ac:dyDescent="0.45">
      <c r="A669" s="67">
        <v>9</v>
      </c>
      <c r="B669" s="67" t="s">
        <v>1453</v>
      </c>
      <c r="C669" s="67" t="s">
        <v>1376</v>
      </c>
      <c r="D669" s="462" t="s">
        <v>1387</v>
      </c>
      <c r="E669" s="479" t="s">
        <v>1380</v>
      </c>
      <c r="F669" s="479">
        <v>12</v>
      </c>
      <c r="G669" s="479" t="s">
        <v>508</v>
      </c>
      <c r="H669" s="479" t="s">
        <v>1603</v>
      </c>
    </row>
    <row r="670" spans="1:10" x14ac:dyDescent="0.45">
      <c r="A670" s="67">
        <v>10</v>
      </c>
      <c r="B670" s="67" t="s">
        <v>1453</v>
      </c>
      <c r="C670" s="67" t="s">
        <v>1367</v>
      </c>
      <c r="D670" s="462" t="s">
        <v>1387</v>
      </c>
      <c r="E670" s="479" t="s">
        <v>1380</v>
      </c>
      <c r="F670" s="479">
        <v>80</v>
      </c>
      <c r="G670" s="479" t="s">
        <v>526</v>
      </c>
      <c r="H670" s="479" t="s">
        <v>1603</v>
      </c>
    </row>
    <row r="672" spans="1:10" ht="15.75" x14ac:dyDescent="0.45">
      <c r="A672" s="615" t="s">
        <v>1612</v>
      </c>
      <c r="B672" s="615"/>
      <c r="C672" s="615"/>
      <c r="D672" s="615"/>
      <c r="E672" s="615"/>
      <c r="F672" s="615"/>
      <c r="G672" s="615"/>
      <c r="H672" s="615"/>
    </row>
    <row r="673" spans="1:8" ht="15.75" x14ac:dyDescent="0.45">
      <c r="A673" s="493" t="s">
        <v>501</v>
      </c>
      <c r="B673" s="493" t="s">
        <v>676</v>
      </c>
      <c r="C673" s="493" t="s">
        <v>1082</v>
      </c>
      <c r="D673" s="493" t="s">
        <v>876</v>
      </c>
      <c r="E673" s="493" t="s">
        <v>353</v>
      </c>
      <c r="F673" s="493" t="s">
        <v>105</v>
      </c>
      <c r="G673" s="493" t="s">
        <v>1364</v>
      </c>
      <c r="H673" s="493" t="s">
        <v>505</v>
      </c>
    </row>
    <row r="674" spans="1:8" x14ac:dyDescent="0.45">
      <c r="A674" s="67">
        <v>1</v>
      </c>
      <c r="B674" s="67" t="s">
        <v>1365</v>
      </c>
      <c r="C674" s="67" t="s">
        <v>1613</v>
      </c>
      <c r="D674" s="490" t="s">
        <v>1599</v>
      </c>
      <c r="E674" s="490" t="s">
        <v>1609</v>
      </c>
      <c r="F674" s="490">
        <v>3</v>
      </c>
      <c r="G674" s="490" t="s">
        <v>508</v>
      </c>
      <c r="H674" s="490"/>
    </row>
    <row r="675" spans="1:8" x14ac:dyDescent="0.45">
      <c r="A675" s="67">
        <v>1</v>
      </c>
      <c r="B675" s="460" t="s">
        <v>1385</v>
      </c>
      <c r="C675" s="461" t="s">
        <v>1601</v>
      </c>
      <c r="D675" s="462" t="s">
        <v>1387</v>
      </c>
      <c r="E675" s="479" t="s">
        <v>1380</v>
      </c>
      <c r="F675" s="464">
        <v>3</v>
      </c>
      <c r="G675" s="464" t="s">
        <v>508</v>
      </c>
      <c r="H675" s="464" t="s">
        <v>1602</v>
      </c>
    </row>
    <row r="676" spans="1:8" x14ac:dyDescent="0.45">
      <c r="A676" s="67">
        <v>2</v>
      </c>
      <c r="B676" s="461" t="s">
        <v>1385</v>
      </c>
      <c r="C676" s="461" t="s">
        <v>1376</v>
      </c>
      <c r="D676" s="462" t="s">
        <v>1387</v>
      </c>
      <c r="E676" s="479" t="s">
        <v>1380</v>
      </c>
      <c r="F676" s="464">
        <v>4</v>
      </c>
      <c r="G676" s="464" t="s">
        <v>508</v>
      </c>
      <c r="H676" s="464" t="s">
        <v>1602</v>
      </c>
    </row>
    <row r="677" spans="1:8" x14ac:dyDescent="0.45">
      <c r="A677" s="67">
        <v>3</v>
      </c>
      <c r="B677" s="461" t="s">
        <v>1385</v>
      </c>
      <c r="C677" s="461" t="s">
        <v>1372</v>
      </c>
      <c r="D677" s="462" t="s">
        <v>1387</v>
      </c>
      <c r="E677" s="479" t="s">
        <v>1380</v>
      </c>
      <c r="F677" s="464">
        <v>4</v>
      </c>
      <c r="G677" s="464" t="s">
        <v>508</v>
      </c>
      <c r="H677" s="464" t="s">
        <v>1602</v>
      </c>
    </row>
    <row r="678" spans="1:8" x14ac:dyDescent="0.45">
      <c r="A678" s="67">
        <v>4</v>
      </c>
      <c r="B678" s="67" t="s">
        <v>1385</v>
      </c>
      <c r="C678" s="67" t="s">
        <v>1376</v>
      </c>
      <c r="D678" s="462" t="s">
        <v>1387</v>
      </c>
      <c r="E678" s="479" t="s">
        <v>1380</v>
      </c>
      <c r="F678" s="490">
        <v>6</v>
      </c>
      <c r="G678" s="464" t="s">
        <v>508</v>
      </c>
      <c r="H678" s="490" t="s">
        <v>1602</v>
      </c>
    </row>
    <row r="679" spans="1:8" x14ac:dyDescent="0.45">
      <c r="A679" s="67">
        <v>5</v>
      </c>
      <c r="B679" s="67" t="s">
        <v>1385</v>
      </c>
      <c r="C679" s="67" t="s">
        <v>1376</v>
      </c>
      <c r="D679" s="462" t="s">
        <v>1387</v>
      </c>
      <c r="E679" s="479" t="s">
        <v>1380</v>
      </c>
      <c r="F679" s="490">
        <v>6</v>
      </c>
      <c r="G679" s="464" t="s">
        <v>508</v>
      </c>
      <c r="H679" s="490" t="s">
        <v>1602</v>
      </c>
    </row>
    <row r="680" spans="1:8" x14ac:dyDescent="0.45">
      <c r="A680" s="67">
        <v>6</v>
      </c>
      <c r="B680" s="67" t="s">
        <v>1453</v>
      </c>
      <c r="C680" s="67" t="s">
        <v>1376</v>
      </c>
      <c r="D680" s="462" t="s">
        <v>1387</v>
      </c>
      <c r="E680" s="479" t="s">
        <v>1380</v>
      </c>
      <c r="F680" s="490">
        <v>3</v>
      </c>
      <c r="G680" s="464" t="s">
        <v>508</v>
      </c>
      <c r="H680" s="490" t="s">
        <v>1603</v>
      </c>
    </row>
    <row r="681" spans="1:8" x14ac:dyDescent="0.45">
      <c r="A681" s="67">
        <v>7</v>
      </c>
      <c r="B681" s="67" t="s">
        <v>1453</v>
      </c>
      <c r="C681" s="67" t="s">
        <v>1372</v>
      </c>
      <c r="D681" s="462" t="s">
        <v>1387</v>
      </c>
      <c r="E681" s="479" t="s">
        <v>1380</v>
      </c>
      <c r="F681" s="490">
        <v>20</v>
      </c>
      <c r="G681" s="464" t="s">
        <v>508</v>
      </c>
      <c r="H681" s="490" t="s">
        <v>1603</v>
      </c>
    </row>
    <row r="682" spans="1:8" x14ac:dyDescent="0.45">
      <c r="A682" s="67">
        <v>8</v>
      </c>
      <c r="B682" s="67" t="s">
        <v>1453</v>
      </c>
      <c r="C682" s="67" t="s">
        <v>1611</v>
      </c>
      <c r="D682" s="462" t="s">
        <v>1387</v>
      </c>
      <c r="E682" s="479" t="s">
        <v>1380</v>
      </c>
      <c r="F682" s="490">
        <v>6</v>
      </c>
      <c r="G682" s="464" t="s">
        <v>508</v>
      </c>
      <c r="H682" s="490" t="s">
        <v>1603</v>
      </c>
    </row>
    <row r="683" spans="1:8" x14ac:dyDescent="0.45">
      <c r="A683" s="67">
        <v>9</v>
      </c>
      <c r="B683" s="67" t="s">
        <v>1453</v>
      </c>
      <c r="C683" s="67" t="s">
        <v>1376</v>
      </c>
      <c r="D683" s="462" t="s">
        <v>1387</v>
      </c>
      <c r="E683" s="479" t="s">
        <v>1380</v>
      </c>
      <c r="F683" s="490">
        <v>12</v>
      </c>
      <c r="G683" s="464" t="s">
        <v>508</v>
      </c>
      <c r="H683" s="490" t="s">
        <v>1603</v>
      </c>
    </row>
    <row r="684" spans="1:8" x14ac:dyDescent="0.45">
      <c r="A684" s="67">
        <v>10</v>
      </c>
      <c r="B684" s="67" t="s">
        <v>1453</v>
      </c>
      <c r="C684" s="67" t="s">
        <v>1367</v>
      </c>
      <c r="D684" s="462" t="s">
        <v>1387</v>
      </c>
      <c r="E684" s="479" t="s">
        <v>1380</v>
      </c>
      <c r="F684" s="490">
        <v>50</v>
      </c>
      <c r="G684" s="490" t="s">
        <v>526</v>
      </c>
      <c r="H684" s="490" t="s">
        <v>1603</v>
      </c>
    </row>
    <row r="687" spans="1:8" ht="15.75" x14ac:dyDescent="0.45">
      <c r="A687" s="612" t="s">
        <v>1614</v>
      </c>
      <c r="B687" s="613"/>
      <c r="C687" s="613"/>
      <c r="D687" s="613"/>
      <c r="E687" s="613"/>
      <c r="F687" s="613"/>
      <c r="G687" s="613"/>
      <c r="H687" s="614"/>
    </row>
    <row r="688" spans="1:8" ht="15.75" x14ac:dyDescent="0.45">
      <c r="A688" s="493" t="s">
        <v>501</v>
      </c>
      <c r="B688" s="493" t="s">
        <v>676</v>
      </c>
      <c r="C688" s="493" t="s">
        <v>1082</v>
      </c>
      <c r="D688" s="493" t="s">
        <v>876</v>
      </c>
      <c r="E688" s="493" t="s">
        <v>353</v>
      </c>
      <c r="F688" s="493" t="s">
        <v>105</v>
      </c>
      <c r="G688" s="493" t="s">
        <v>1364</v>
      </c>
      <c r="H688" s="493" t="s">
        <v>505</v>
      </c>
    </row>
    <row r="689" spans="1:12" ht="18" x14ac:dyDescent="0.45">
      <c r="A689" s="611" t="s">
        <v>1615</v>
      </c>
      <c r="B689" s="611"/>
      <c r="C689" s="611"/>
      <c r="D689" s="611"/>
      <c r="E689" s="611"/>
      <c r="F689" s="611"/>
      <c r="G689" s="611"/>
      <c r="H689" s="611"/>
    </row>
    <row r="690" spans="1:12" x14ac:dyDescent="0.45">
      <c r="A690" s="67">
        <v>1</v>
      </c>
      <c r="B690" s="67" t="s">
        <v>1365</v>
      </c>
      <c r="C690" s="67" t="s">
        <v>1616</v>
      </c>
      <c r="D690" s="2" t="s">
        <v>1617</v>
      </c>
      <c r="E690" s="67" t="s">
        <v>1618</v>
      </c>
      <c r="F690" s="67">
        <v>1</v>
      </c>
      <c r="G690" s="67" t="s">
        <v>508</v>
      </c>
      <c r="H690" s="67" t="s">
        <v>1619</v>
      </c>
      <c r="J690" s="1"/>
      <c r="K690" s="339"/>
      <c r="L690" s="339"/>
    </row>
    <row r="691" spans="1:12" x14ac:dyDescent="0.45">
      <c r="A691" s="67">
        <v>2</v>
      </c>
      <c r="B691" s="67" t="s">
        <v>1366</v>
      </c>
      <c r="C691" s="67" t="s">
        <v>1620</v>
      </c>
      <c r="D691" s="2" t="s">
        <v>1505</v>
      </c>
      <c r="E691" s="67" t="s">
        <v>1380</v>
      </c>
      <c r="F691" s="67">
        <v>1</v>
      </c>
      <c r="G691" s="67" t="s">
        <v>508</v>
      </c>
      <c r="H691" s="67" t="s">
        <v>1602</v>
      </c>
      <c r="J691" s="1"/>
      <c r="K691" s="339"/>
      <c r="L691" s="339"/>
    </row>
    <row r="692" spans="1:12" x14ac:dyDescent="0.45">
      <c r="A692" s="67">
        <v>3</v>
      </c>
      <c r="B692" s="67" t="s">
        <v>1366</v>
      </c>
      <c r="C692" s="67" t="s">
        <v>1367</v>
      </c>
      <c r="D692" s="2" t="s">
        <v>1505</v>
      </c>
      <c r="E692" s="67" t="s">
        <v>1380</v>
      </c>
      <c r="F692" s="67">
        <v>2</v>
      </c>
      <c r="G692" s="67" t="s">
        <v>526</v>
      </c>
      <c r="H692" s="67" t="s">
        <v>1602</v>
      </c>
      <c r="J692" s="1"/>
      <c r="K692" s="339"/>
      <c r="L692" s="339"/>
    </row>
    <row r="693" spans="1:12" x14ac:dyDescent="0.45">
      <c r="A693" s="67">
        <v>4</v>
      </c>
      <c r="B693" s="67" t="s">
        <v>1366</v>
      </c>
      <c r="C693" s="67" t="s">
        <v>1376</v>
      </c>
      <c r="D693" s="2" t="s">
        <v>1505</v>
      </c>
      <c r="E693" s="67" t="s">
        <v>1380</v>
      </c>
      <c r="F693" s="67">
        <v>1</v>
      </c>
      <c r="G693" s="67" t="s">
        <v>508</v>
      </c>
      <c r="H693" s="67" t="s">
        <v>1602</v>
      </c>
      <c r="J693" s="1"/>
      <c r="K693" s="339"/>
      <c r="L693" s="339"/>
    </row>
    <row r="694" spans="1:12" x14ac:dyDescent="0.45">
      <c r="A694" s="67">
        <v>5</v>
      </c>
      <c r="B694" s="67" t="s">
        <v>1385</v>
      </c>
      <c r="C694" s="67" t="s">
        <v>1376</v>
      </c>
      <c r="D694" s="2" t="s">
        <v>1621</v>
      </c>
      <c r="E694" s="67" t="s">
        <v>1369</v>
      </c>
      <c r="F694" s="67">
        <v>1</v>
      </c>
      <c r="G694" s="67" t="s">
        <v>508</v>
      </c>
      <c r="H694" s="67" t="s">
        <v>1603</v>
      </c>
      <c r="J694" s="1"/>
      <c r="K694" s="339"/>
      <c r="L694" s="339"/>
    </row>
    <row r="695" spans="1:12" x14ac:dyDescent="0.45">
      <c r="A695" s="67">
        <v>6</v>
      </c>
      <c r="B695" s="67" t="s">
        <v>1385</v>
      </c>
      <c r="C695" s="67" t="s">
        <v>1372</v>
      </c>
      <c r="D695" s="2" t="s">
        <v>1621</v>
      </c>
      <c r="E695" s="67" t="s">
        <v>1369</v>
      </c>
      <c r="F695" s="67">
        <v>4</v>
      </c>
      <c r="G695" s="67" t="s">
        <v>508</v>
      </c>
      <c r="H695" s="67" t="s">
        <v>1603</v>
      </c>
      <c r="J695" s="1"/>
      <c r="K695" s="339"/>
      <c r="L695" s="339"/>
    </row>
    <row r="696" spans="1:12" x14ac:dyDescent="0.45">
      <c r="A696" s="67">
        <v>7</v>
      </c>
      <c r="B696" s="67" t="s">
        <v>1374</v>
      </c>
      <c r="C696" s="67" t="s">
        <v>1483</v>
      </c>
      <c r="D696" s="2" t="s">
        <v>1622</v>
      </c>
      <c r="E696" s="67" t="s">
        <v>1381</v>
      </c>
      <c r="F696" s="67">
        <v>3</v>
      </c>
      <c r="G696" s="67" t="s">
        <v>508</v>
      </c>
      <c r="H696" s="67" t="s">
        <v>1623</v>
      </c>
      <c r="J696" s="1"/>
      <c r="K696" s="339"/>
      <c r="L696" s="339"/>
    </row>
    <row r="697" spans="1:12" x14ac:dyDescent="0.45">
      <c r="A697" s="67">
        <v>8</v>
      </c>
      <c r="B697" s="67" t="s">
        <v>1385</v>
      </c>
      <c r="C697" s="67" t="s">
        <v>1383</v>
      </c>
      <c r="D697" s="2" t="s">
        <v>1621</v>
      </c>
      <c r="E697" s="67" t="s">
        <v>1369</v>
      </c>
      <c r="F697" s="67">
        <v>4</v>
      </c>
      <c r="G697" s="67" t="s">
        <v>508</v>
      </c>
      <c r="H697" s="67" t="s">
        <v>1623</v>
      </c>
      <c r="J697" s="1"/>
      <c r="K697" s="339"/>
      <c r="L697" s="339"/>
    </row>
    <row r="698" spans="1:12" x14ac:dyDescent="0.45">
      <c r="A698" s="67">
        <v>9</v>
      </c>
      <c r="B698" s="67" t="s">
        <v>1385</v>
      </c>
      <c r="C698" s="67" t="s">
        <v>1624</v>
      </c>
      <c r="D698" s="2" t="s">
        <v>1621</v>
      </c>
      <c r="E698" s="67" t="s">
        <v>1625</v>
      </c>
      <c r="F698" s="67">
        <v>3</v>
      </c>
      <c r="G698" s="67" t="s">
        <v>508</v>
      </c>
      <c r="H698" s="67" t="s">
        <v>1623</v>
      </c>
      <c r="J698" s="1"/>
      <c r="K698" s="339"/>
      <c r="L698" s="339"/>
    </row>
    <row r="699" spans="1:12" x14ac:dyDescent="0.45">
      <c r="A699" s="67">
        <v>10</v>
      </c>
      <c r="B699" s="67" t="s">
        <v>1385</v>
      </c>
      <c r="C699" s="67" t="s">
        <v>1384</v>
      </c>
      <c r="D699" s="2" t="s">
        <v>1621</v>
      </c>
      <c r="E699" s="67" t="s">
        <v>1381</v>
      </c>
      <c r="F699" s="67">
        <v>3</v>
      </c>
      <c r="G699" s="67" t="s">
        <v>508</v>
      </c>
      <c r="H699" s="67" t="s">
        <v>1623</v>
      </c>
      <c r="J699" s="1"/>
      <c r="K699" s="339"/>
      <c r="L699" s="339"/>
    </row>
    <row r="700" spans="1:12" x14ac:dyDescent="0.45">
      <c r="A700" s="67">
        <v>11</v>
      </c>
      <c r="B700" s="67" t="s">
        <v>1385</v>
      </c>
      <c r="C700" s="67" t="s">
        <v>1376</v>
      </c>
      <c r="D700" s="2" t="s">
        <v>1626</v>
      </c>
      <c r="E700" s="67" t="s">
        <v>1388</v>
      </c>
      <c r="F700" s="67">
        <v>3</v>
      </c>
      <c r="G700" s="67" t="s">
        <v>508</v>
      </c>
      <c r="H700" s="67" t="s">
        <v>1623</v>
      </c>
      <c r="J700" s="1"/>
      <c r="K700" s="339"/>
      <c r="L700" s="339"/>
    </row>
    <row r="701" spans="1:12" x14ac:dyDescent="0.45">
      <c r="A701" s="67">
        <v>12</v>
      </c>
      <c r="B701" s="67" t="s">
        <v>1385</v>
      </c>
      <c r="C701" s="67" t="s">
        <v>1372</v>
      </c>
      <c r="D701" s="2" t="s">
        <v>1626</v>
      </c>
      <c r="E701" s="67" t="s">
        <v>1388</v>
      </c>
      <c r="F701" s="67">
        <v>16</v>
      </c>
      <c r="G701" s="67" t="s">
        <v>508</v>
      </c>
      <c r="H701" s="67" t="s">
        <v>1623</v>
      </c>
      <c r="J701" s="1"/>
      <c r="K701" s="339"/>
      <c r="L701" s="339"/>
    </row>
    <row r="702" spans="1:12" x14ac:dyDescent="0.45">
      <c r="A702" s="67">
        <v>13</v>
      </c>
      <c r="B702" s="67" t="s">
        <v>1385</v>
      </c>
      <c r="C702" s="67" t="s">
        <v>1367</v>
      </c>
      <c r="D702" s="2" t="s">
        <v>1626</v>
      </c>
      <c r="E702" s="67" t="s">
        <v>1388</v>
      </c>
      <c r="F702" s="67">
        <v>15</v>
      </c>
      <c r="G702" s="67" t="s">
        <v>526</v>
      </c>
      <c r="H702" s="67" t="s">
        <v>1623</v>
      </c>
      <c r="J702" s="1"/>
      <c r="K702" s="339"/>
      <c r="L702" s="339"/>
    </row>
    <row r="703" spans="1:12" x14ac:dyDescent="0.45">
      <c r="A703" s="67">
        <v>14</v>
      </c>
      <c r="B703" s="67" t="s">
        <v>1385</v>
      </c>
      <c r="C703" s="67" t="s">
        <v>1367</v>
      </c>
      <c r="D703" s="2" t="s">
        <v>1621</v>
      </c>
      <c r="E703" s="67" t="s">
        <v>1381</v>
      </c>
      <c r="F703" s="67">
        <v>1</v>
      </c>
      <c r="G703" s="67" t="s">
        <v>526</v>
      </c>
      <c r="H703" s="67" t="s">
        <v>1623</v>
      </c>
      <c r="J703" s="1"/>
      <c r="K703" s="339"/>
      <c r="L703" s="339"/>
    </row>
    <row r="704" spans="1:12" x14ac:dyDescent="0.45">
      <c r="A704" s="67">
        <v>15</v>
      </c>
      <c r="B704" s="67" t="s">
        <v>1385</v>
      </c>
      <c r="C704" s="67" t="s">
        <v>1367</v>
      </c>
      <c r="D704" s="2" t="s">
        <v>1621</v>
      </c>
      <c r="E704" s="67" t="s">
        <v>1369</v>
      </c>
      <c r="F704" s="67">
        <v>6</v>
      </c>
      <c r="G704" s="67" t="s">
        <v>526</v>
      </c>
      <c r="H704" s="67" t="s">
        <v>1623</v>
      </c>
      <c r="J704" s="1"/>
      <c r="K704" s="339"/>
      <c r="L704" s="339"/>
    </row>
    <row r="705" spans="1:18" x14ac:dyDescent="0.45">
      <c r="A705" s="67">
        <v>16</v>
      </c>
      <c r="B705" s="67" t="s">
        <v>1385</v>
      </c>
      <c r="C705" s="67" t="s">
        <v>1627</v>
      </c>
      <c r="D705" s="2" t="s">
        <v>1628</v>
      </c>
      <c r="E705" s="67" t="s">
        <v>1369</v>
      </c>
      <c r="F705" s="67">
        <v>1</v>
      </c>
      <c r="G705" s="67" t="s">
        <v>508</v>
      </c>
      <c r="H705" s="67" t="s">
        <v>1623</v>
      </c>
      <c r="J705" s="1"/>
      <c r="K705" s="339"/>
      <c r="L705" s="339"/>
    </row>
    <row r="706" spans="1:18" x14ac:dyDescent="0.45">
      <c r="A706" s="67">
        <v>17</v>
      </c>
      <c r="B706" s="67" t="s">
        <v>1385</v>
      </c>
      <c r="C706" s="67" t="s">
        <v>1629</v>
      </c>
      <c r="D706" s="2" t="s">
        <v>1628</v>
      </c>
      <c r="E706" s="67" t="s">
        <v>1369</v>
      </c>
      <c r="F706" s="67">
        <v>2</v>
      </c>
      <c r="G706" s="67" t="s">
        <v>508</v>
      </c>
      <c r="H706" s="67" t="s">
        <v>1623</v>
      </c>
      <c r="J706" s="1"/>
      <c r="K706" s="339"/>
      <c r="L706" s="339"/>
    </row>
    <row r="707" spans="1:18" x14ac:dyDescent="0.45">
      <c r="A707" s="67">
        <v>18</v>
      </c>
      <c r="B707" s="67" t="s">
        <v>1385</v>
      </c>
      <c r="C707" s="67" t="s">
        <v>1394</v>
      </c>
      <c r="D707" s="2" t="s">
        <v>1621</v>
      </c>
      <c r="E707" s="67" t="s">
        <v>1630</v>
      </c>
      <c r="F707" s="67">
        <v>1</v>
      </c>
      <c r="G707" s="67" t="s">
        <v>508</v>
      </c>
      <c r="H707" s="67" t="s">
        <v>1603</v>
      </c>
      <c r="J707" s="1"/>
      <c r="K707" s="339"/>
      <c r="L707" s="339"/>
    </row>
    <row r="708" spans="1:18" x14ac:dyDescent="0.45">
      <c r="A708" s="67">
        <v>19</v>
      </c>
      <c r="B708" s="67" t="s">
        <v>1385</v>
      </c>
      <c r="C708" s="67" t="s">
        <v>1384</v>
      </c>
      <c r="D708" s="2" t="s">
        <v>1621</v>
      </c>
      <c r="E708" s="67" t="s">
        <v>1380</v>
      </c>
      <c r="F708" s="67">
        <v>2</v>
      </c>
      <c r="G708" s="67" t="s">
        <v>508</v>
      </c>
      <c r="H708" s="67" t="s">
        <v>1434</v>
      </c>
      <c r="J708" s="1"/>
      <c r="K708" s="339"/>
      <c r="L708" s="339"/>
    </row>
    <row r="709" spans="1:18" x14ac:dyDescent="0.45">
      <c r="A709" s="67">
        <v>20</v>
      </c>
      <c r="B709" s="67"/>
      <c r="C709" s="67" t="s">
        <v>1434</v>
      </c>
      <c r="D709" s="2" t="s">
        <v>1631</v>
      </c>
      <c r="E709" s="67" t="s">
        <v>1380</v>
      </c>
      <c r="F709" s="67">
        <v>1</v>
      </c>
      <c r="G709" s="67" t="s">
        <v>508</v>
      </c>
      <c r="H709" s="67" t="s">
        <v>1434</v>
      </c>
      <c r="J709" s="1"/>
      <c r="K709" s="339"/>
      <c r="L709" s="339"/>
    </row>
    <row r="710" spans="1:18" x14ac:dyDescent="0.45">
      <c r="A710" s="67">
        <v>21</v>
      </c>
      <c r="B710" s="67" t="s">
        <v>1385</v>
      </c>
      <c r="C710" s="67" t="s">
        <v>1394</v>
      </c>
      <c r="D710" s="2" t="s">
        <v>1621</v>
      </c>
      <c r="E710" s="67" t="s">
        <v>1632</v>
      </c>
      <c r="F710" s="67">
        <v>1</v>
      </c>
      <c r="G710" s="67" t="s">
        <v>508</v>
      </c>
      <c r="H710" s="67" t="s">
        <v>1603</v>
      </c>
      <c r="J710" s="1"/>
      <c r="K710" s="339"/>
      <c r="L710" s="339"/>
    </row>
    <row r="711" spans="1:18" x14ac:dyDescent="0.45">
      <c r="A711" s="67">
        <v>22</v>
      </c>
      <c r="B711" s="67" t="s">
        <v>1385</v>
      </c>
      <c r="C711" s="67" t="s">
        <v>1367</v>
      </c>
      <c r="D711" s="2" t="s">
        <v>1621</v>
      </c>
      <c r="E711" s="67" t="s">
        <v>1380</v>
      </c>
      <c r="F711" s="67">
        <v>1</v>
      </c>
      <c r="G711" s="67" t="s">
        <v>526</v>
      </c>
      <c r="H711" s="67" t="s">
        <v>1603</v>
      </c>
      <c r="J711" s="1"/>
      <c r="K711" s="339"/>
      <c r="L711" s="339"/>
    </row>
    <row r="712" spans="1:18" x14ac:dyDescent="0.45">
      <c r="A712" s="67">
        <v>23</v>
      </c>
      <c r="B712" s="67" t="s">
        <v>1385</v>
      </c>
      <c r="C712" s="67" t="s">
        <v>1367</v>
      </c>
      <c r="D712" s="2" t="s">
        <v>1621</v>
      </c>
      <c r="E712" s="67" t="s">
        <v>1471</v>
      </c>
      <c r="F712" s="67">
        <v>6</v>
      </c>
      <c r="G712" s="67" t="s">
        <v>526</v>
      </c>
      <c r="H712" s="67" t="s">
        <v>1603</v>
      </c>
      <c r="J712" s="1"/>
      <c r="K712" s="339"/>
      <c r="L712" s="339"/>
    </row>
    <row r="713" spans="1:18" x14ac:dyDescent="0.45">
      <c r="A713" s="67">
        <v>24</v>
      </c>
      <c r="B713" s="67" t="s">
        <v>1385</v>
      </c>
      <c r="C713" s="67" t="s">
        <v>1629</v>
      </c>
      <c r="D713" s="2" t="s">
        <v>1621</v>
      </c>
      <c r="E713" s="67" t="s">
        <v>1471</v>
      </c>
      <c r="F713" s="67">
        <v>1</v>
      </c>
      <c r="G713" s="67" t="s">
        <v>508</v>
      </c>
      <c r="H713" s="67" t="s">
        <v>1603</v>
      </c>
      <c r="J713" s="1"/>
      <c r="K713" s="339"/>
      <c r="L713" s="339"/>
    </row>
    <row r="714" spans="1:18" x14ac:dyDescent="0.45">
      <c r="A714" s="67">
        <v>25</v>
      </c>
      <c r="B714" s="67" t="s">
        <v>1385</v>
      </c>
      <c r="C714" s="67" t="s">
        <v>1633</v>
      </c>
      <c r="D714" s="2" t="s">
        <v>1621</v>
      </c>
      <c r="E714" s="67" t="s">
        <v>1471</v>
      </c>
      <c r="F714" s="67">
        <v>1</v>
      </c>
      <c r="G714" s="67" t="s">
        <v>508</v>
      </c>
      <c r="H714" s="67" t="s">
        <v>1603</v>
      </c>
      <c r="J714" s="1"/>
      <c r="K714" s="339"/>
      <c r="L714" s="339"/>
    </row>
    <row r="715" spans="1:18" x14ac:dyDescent="0.45">
      <c r="A715" s="67">
        <v>26</v>
      </c>
      <c r="B715" s="67" t="s">
        <v>1634</v>
      </c>
      <c r="C715" s="67" t="s">
        <v>1635</v>
      </c>
      <c r="D715" s="2" t="s">
        <v>1622</v>
      </c>
      <c r="E715" s="67" t="s">
        <v>1636</v>
      </c>
      <c r="F715" s="67">
        <v>4</v>
      </c>
      <c r="G715" s="67" t="s">
        <v>508</v>
      </c>
      <c r="H715" s="67" t="s">
        <v>1603</v>
      </c>
      <c r="J715" s="1"/>
      <c r="K715" s="339"/>
      <c r="L715" s="339"/>
    </row>
    <row r="716" spans="1:18" x14ac:dyDescent="0.45">
      <c r="A716" s="67">
        <v>27</v>
      </c>
      <c r="B716" s="67" t="s">
        <v>1634</v>
      </c>
      <c r="C716" s="67" t="s">
        <v>1637</v>
      </c>
      <c r="D716" s="2" t="s">
        <v>1622</v>
      </c>
      <c r="E716" s="67" t="s">
        <v>1638</v>
      </c>
      <c r="F716" s="67">
        <v>8</v>
      </c>
      <c r="G716" s="67" t="s">
        <v>508</v>
      </c>
      <c r="H716" s="67" t="s">
        <v>1603</v>
      </c>
      <c r="J716" s="1"/>
      <c r="K716" s="339"/>
      <c r="L716" s="339"/>
    </row>
    <row r="717" spans="1:18" x14ac:dyDescent="0.45">
      <c r="A717" s="67">
        <v>28</v>
      </c>
      <c r="B717" s="67"/>
      <c r="C717" s="67" t="s">
        <v>1013</v>
      </c>
      <c r="D717" s="2" t="s">
        <v>1639</v>
      </c>
      <c r="E717" s="67" t="s">
        <v>1599</v>
      </c>
      <c r="F717" s="67">
        <v>1</v>
      </c>
      <c r="G717" s="67" t="s">
        <v>508</v>
      </c>
      <c r="H717" s="67"/>
      <c r="J717" s="1"/>
      <c r="K717" s="339"/>
      <c r="L717" s="339"/>
    </row>
    <row r="718" spans="1:18" x14ac:dyDescent="0.45">
      <c r="D718" s="13"/>
      <c r="J718" s="1"/>
      <c r="K718" s="339"/>
      <c r="L718" s="339"/>
    </row>
    <row r="719" spans="1:18" ht="18" x14ac:dyDescent="0.45">
      <c r="A719" s="611" t="s">
        <v>1640</v>
      </c>
      <c r="B719" s="611"/>
      <c r="C719" s="611"/>
      <c r="D719" s="611"/>
      <c r="E719" s="611"/>
      <c r="F719" s="611"/>
      <c r="G719" s="611"/>
      <c r="H719" s="611"/>
      <c r="J719" s="1"/>
      <c r="K719" s="465"/>
      <c r="L719" s="465"/>
      <c r="M719" s="465"/>
      <c r="N719" s="466">
        <v>12.777777777777779</v>
      </c>
      <c r="O719" s="465">
        <v>12</v>
      </c>
      <c r="P719" s="465">
        <v>68</v>
      </c>
      <c r="Q719" s="465" t="s">
        <v>1641</v>
      </c>
      <c r="R719" s="465" t="s">
        <v>1619</v>
      </c>
    </row>
    <row r="720" spans="1:18" x14ac:dyDescent="0.45">
      <c r="A720" s="67">
        <v>1</v>
      </c>
      <c r="B720" s="67" t="s">
        <v>1365</v>
      </c>
      <c r="C720" s="67" t="s">
        <v>1616</v>
      </c>
      <c r="D720" s="2" t="s">
        <v>1617</v>
      </c>
      <c r="E720" s="67" t="s">
        <v>1618</v>
      </c>
      <c r="F720" s="67">
        <v>1</v>
      </c>
      <c r="G720" s="67" t="s">
        <v>508</v>
      </c>
      <c r="H720" s="67" t="s">
        <v>1619</v>
      </c>
      <c r="J720" s="1"/>
      <c r="K720" s="67">
        <v>4</v>
      </c>
      <c r="L720" s="67" t="s">
        <v>20</v>
      </c>
      <c r="M720" s="67" t="s">
        <v>1642</v>
      </c>
      <c r="N720" s="2">
        <v>9.4444444444444446</v>
      </c>
      <c r="O720" s="67">
        <v>9.5</v>
      </c>
      <c r="P720" s="67">
        <v>60</v>
      </c>
      <c r="Q720" s="67" t="s">
        <v>1643</v>
      </c>
      <c r="R720" s="67" t="s">
        <v>1644</v>
      </c>
    </row>
    <row r="721" spans="1:18" x14ac:dyDescent="0.45">
      <c r="A721" s="67">
        <v>2</v>
      </c>
      <c r="B721" s="67" t="s">
        <v>1366</v>
      </c>
      <c r="C721" s="67" t="s">
        <v>1620</v>
      </c>
      <c r="D721" s="2" t="s">
        <v>1505</v>
      </c>
      <c r="E721" s="67" t="s">
        <v>1380</v>
      </c>
      <c r="F721" s="67">
        <v>1</v>
      </c>
      <c r="G721" s="67" t="s">
        <v>508</v>
      </c>
      <c r="H721" s="67" t="s">
        <v>1602</v>
      </c>
      <c r="J721" s="1"/>
      <c r="K721" s="67">
        <v>5</v>
      </c>
      <c r="L721" s="67" t="s">
        <v>22</v>
      </c>
      <c r="M721" s="67" t="s">
        <v>1642</v>
      </c>
      <c r="N721" s="2">
        <v>8.5555555555555554</v>
      </c>
      <c r="O721" s="67">
        <v>9</v>
      </c>
      <c r="P721" s="67">
        <v>60</v>
      </c>
      <c r="Q721" s="67" t="s">
        <v>1645</v>
      </c>
      <c r="R721" s="67" t="s">
        <v>1644</v>
      </c>
    </row>
    <row r="722" spans="1:18" x14ac:dyDescent="0.45">
      <c r="A722" s="67">
        <v>3</v>
      </c>
      <c r="B722" s="67" t="s">
        <v>1366</v>
      </c>
      <c r="C722" s="67" t="s">
        <v>1367</v>
      </c>
      <c r="D722" s="2" t="s">
        <v>1505</v>
      </c>
      <c r="E722" s="67" t="s">
        <v>1380</v>
      </c>
      <c r="F722" s="67">
        <v>2</v>
      </c>
      <c r="G722" s="67" t="s">
        <v>526</v>
      </c>
      <c r="H722" s="67" t="s">
        <v>1602</v>
      </c>
      <c r="J722" s="1"/>
      <c r="K722" s="67">
        <v>6</v>
      </c>
      <c r="L722" s="67" t="s">
        <v>24</v>
      </c>
      <c r="M722" s="67" t="s">
        <v>1642</v>
      </c>
      <c r="N722" s="2">
        <v>9.7777777777777786</v>
      </c>
      <c r="O722" s="67">
        <v>9.5</v>
      </c>
      <c r="P722" s="67">
        <v>60</v>
      </c>
      <c r="Q722" s="67" t="s">
        <v>1643</v>
      </c>
      <c r="R722" s="67" t="s">
        <v>1644</v>
      </c>
    </row>
    <row r="723" spans="1:18" x14ac:dyDescent="0.45">
      <c r="A723" s="67">
        <v>4</v>
      </c>
      <c r="B723" s="67" t="s">
        <v>1366</v>
      </c>
      <c r="C723" s="67" t="s">
        <v>1376</v>
      </c>
      <c r="D723" s="2" t="s">
        <v>1505</v>
      </c>
      <c r="E723" s="67" t="s">
        <v>1380</v>
      </c>
      <c r="F723" s="67">
        <v>1</v>
      </c>
      <c r="G723" s="67" t="s">
        <v>508</v>
      </c>
      <c r="H723" s="67" t="s">
        <v>1602</v>
      </c>
      <c r="J723" s="1"/>
      <c r="K723" s="67">
        <v>7</v>
      </c>
      <c r="L723" s="67" t="s">
        <v>27</v>
      </c>
      <c r="M723" s="67" t="s">
        <v>1616</v>
      </c>
      <c r="N723" s="2">
        <v>15.333333333333334</v>
      </c>
      <c r="O723" s="67">
        <v>15</v>
      </c>
      <c r="P723" s="67">
        <v>60</v>
      </c>
      <c r="Q723" s="67" t="s">
        <v>1641</v>
      </c>
      <c r="R723" s="67" t="s">
        <v>1619</v>
      </c>
    </row>
    <row r="724" spans="1:18" x14ac:dyDescent="0.45">
      <c r="A724" s="67">
        <v>5</v>
      </c>
      <c r="B724" s="67" t="s">
        <v>1385</v>
      </c>
      <c r="C724" s="67" t="s">
        <v>1376</v>
      </c>
      <c r="D724" s="2" t="s">
        <v>1621</v>
      </c>
      <c r="E724" s="67" t="s">
        <v>1369</v>
      </c>
      <c r="F724" s="67">
        <v>1</v>
      </c>
      <c r="G724" s="67" t="s">
        <v>508</v>
      </c>
      <c r="H724" s="67" t="s">
        <v>1603</v>
      </c>
      <c r="J724" s="1"/>
      <c r="K724" s="67">
        <v>8</v>
      </c>
      <c r="L724" s="67" t="s">
        <v>29</v>
      </c>
      <c r="M724" s="67" t="s">
        <v>1616</v>
      </c>
      <c r="N724" s="2">
        <v>15.333333333333334</v>
      </c>
      <c r="O724" s="67">
        <v>15</v>
      </c>
      <c r="P724" s="67">
        <v>60</v>
      </c>
      <c r="Q724" s="67" t="s">
        <v>1641</v>
      </c>
      <c r="R724" s="67" t="s">
        <v>1619</v>
      </c>
    </row>
    <row r="725" spans="1:18" x14ac:dyDescent="0.45">
      <c r="A725" s="67">
        <v>6</v>
      </c>
      <c r="B725" s="67" t="s">
        <v>1385</v>
      </c>
      <c r="C725" s="67" t="s">
        <v>1372</v>
      </c>
      <c r="D725" s="2" t="s">
        <v>1621</v>
      </c>
      <c r="E725" s="67" t="s">
        <v>1369</v>
      </c>
      <c r="F725" s="67">
        <v>4</v>
      </c>
      <c r="G725" s="67" t="s">
        <v>508</v>
      </c>
      <c r="H725" s="67" t="s">
        <v>1603</v>
      </c>
      <c r="J725" s="1"/>
      <c r="K725" s="67">
        <v>9</v>
      </c>
      <c r="L725" s="67" t="s">
        <v>31</v>
      </c>
      <c r="M725" s="67" t="s">
        <v>1616</v>
      </c>
      <c r="N725" s="2">
        <v>10.666666666666666</v>
      </c>
      <c r="O725" s="67">
        <v>12</v>
      </c>
      <c r="P725" s="67">
        <v>68</v>
      </c>
      <c r="Q725" s="67" t="s">
        <v>1641</v>
      </c>
      <c r="R725" s="67" t="s">
        <v>1619</v>
      </c>
    </row>
    <row r="726" spans="1:18" x14ac:dyDescent="0.45">
      <c r="A726" s="67">
        <v>7</v>
      </c>
      <c r="B726" s="67" t="s">
        <v>1374</v>
      </c>
      <c r="C726" s="67" t="s">
        <v>1483</v>
      </c>
      <c r="D726" s="2" t="s">
        <v>1622</v>
      </c>
      <c r="E726" s="67" t="s">
        <v>1381</v>
      </c>
      <c r="F726" s="67">
        <v>3</v>
      </c>
      <c r="G726" s="67" t="s">
        <v>508</v>
      </c>
      <c r="H726" s="67" t="s">
        <v>1623</v>
      </c>
      <c r="J726" s="1"/>
      <c r="K726" s="67">
        <v>10</v>
      </c>
      <c r="L726" s="67" t="s">
        <v>1646</v>
      </c>
      <c r="M726" s="67" t="s">
        <v>1616</v>
      </c>
      <c r="N726" s="2">
        <v>11.833333333333332</v>
      </c>
      <c r="O726" s="67">
        <v>12</v>
      </c>
      <c r="P726" s="67">
        <v>68</v>
      </c>
      <c r="Q726" s="67" t="s">
        <v>1641</v>
      </c>
      <c r="R726" s="67" t="s">
        <v>1619</v>
      </c>
    </row>
    <row r="727" spans="1:18" x14ac:dyDescent="0.45">
      <c r="A727" s="67">
        <v>8</v>
      </c>
      <c r="B727" s="67" t="s">
        <v>1385</v>
      </c>
      <c r="C727" s="67" t="s">
        <v>1383</v>
      </c>
      <c r="D727" s="2" t="s">
        <v>1621</v>
      </c>
      <c r="E727" s="67" t="s">
        <v>1369</v>
      </c>
      <c r="F727" s="67">
        <v>4</v>
      </c>
      <c r="G727" s="67" t="s">
        <v>508</v>
      </c>
      <c r="H727" s="67" t="s">
        <v>1623</v>
      </c>
      <c r="J727" s="1"/>
      <c r="K727" s="67">
        <v>11</v>
      </c>
      <c r="L727" s="67" t="s">
        <v>37</v>
      </c>
      <c r="M727" s="67" t="s">
        <v>1647</v>
      </c>
      <c r="N727" s="2">
        <v>8.6666666666666661</v>
      </c>
      <c r="O727" s="67">
        <v>9</v>
      </c>
      <c r="P727" s="67">
        <v>60</v>
      </c>
      <c r="Q727" s="67" t="s">
        <v>1645</v>
      </c>
      <c r="R727" s="67" t="s">
        <v>1644</v>
      </c>
    </row>
    <row r="728" spans="1:18" x14ac:dyDescent="0.45">
      <c r="A728" s="67">
        <v>9</v>
      </c>
      <c r="B728" s="67" t="s">
        <v>1385</v>
      </c>
      <c r="C728" s="67" t="s">
        <v>1624</v>
      </c>
      <c r="D728" s="2" t="s">
        <v>1621</v>
      </c>
      <c r="E728" s="67" t="s">
        <v>1625</v>
      </c>
      <c r="F728" s="67">
        <v>3</v>
      </c>
      <c r="G728" s="67" t="s">
        <v>508</v>
      </c>
      <c r="H728" s="67" t="s">
        <v>1623</v>
      </c>
      <c r="J728" s="1"/>
      <c r="K728" s="67">
        <v>12</v>
      </c>
      <c r="L728" s="67" t="s">
        <v>39</v>
      </c>
      <c r="M728" s="67" t="s">
        <v>1616</v>
      </c>
      <c r="N728" s="2">
        <v>11.33</v>
      </c>
      <c r="O728" s="67">
        <v>12</v>
      </c>
      <c r="P728" s="67">
        <v>68</v>
      </c>
      <c r="Q728" s="67" t="s">
        <v>1641</v>
      </c>
      <c r="R728" s="67" t="s">
        <v>1619</v>
      </c>
    </row>
    <row r="729" spans="1:18" x14ac:dyDescent="0.45">
      <c r="A729" s="67">
        <v>10</v>
      </c>
      <c r="B729" s="67" t="s">
        <v>1385</v>
      </c>
      <c r="C729" s="67" t="s">
        <v>1384</v>
      </c>
      <c r="D729" s="2" t="s">
        <v>1621</v>
      </c>
      <c r="E729" s="67" t="s">
        <v>1381</v>
      </c>
      <c r="F729" s="67">
        <v>3</v>
      </c>
      <c r="G729" s="67" t="s">
        <v>508</v>
      </c>
      <c r="H729" s="67" t="s">
        <v>1623</v>
      </c>
      <c r="J729" s="1"/>
      <c r="K729" s="339"/>
      <c r="L729" s="339"/>
    </row>
    <row r="730" spans="1:18" x14ac:dyDescent="0.45">
      <c r="A730" s="67">
        <v>11</v>
      </c>
      <c r="B730" s="67" t="s">
        <v>1385</v>
      </c>
      <c r="C730" s="67" t="s">
        <v>1376</v>
      </c>
      <c r="D730" s="2" t="s">
        <v>1626</v>
      </c>
      <c r="E730" s="67" t="s">
        <v>1388</v>
      </c>
      <c r="F730" s="67">
        <v>3</v>
      </c>
      <c r="G730" s="67" t="s">
        <v>508</v>
      </c>
      <c r="H730" s="67" t="s">
        <v>1623</v>
      </c>
    </row>
    <row r="731" spans="1:18" x14ac:dyDescent="0.45">
      <c r="A731" s="67">
        <v>12</v>
      </c>
      <c r="B731" s="67" t="s">
        <v>1385</v>
      </c>
      <c r="C731" s="67" t="s">
        <v>1372</v>
      </c>
      <c r="D731" s="2" t="s">
        <v>1626</v>
      </c>
      <c r="E731" s="67" t="s">
        <v>1388</v>
      </c>
      <c r="F731" s="67">
        <v>16</v>
      </c>
      <c r="G731" s="67" t="s">
        <v>508</v>
      </c>
      <c r="H731" s="67" t="s">
        <v>1623</v>
      </c>
    </row>
    <row r="732" spans="1:18" x14ac:dyDescent="0.45">
      <c r="A732" s="67">
        <v>13</v>
      </c>
      <c r="B732" s="67" t="s">
        <v>1385</v>
      </c>
      <c r="C732" s="67" t="s">
        <v>1367</v>
      </c>
      <c r="D732" s="2" t="s">
        <v>1626</v>
      </c>
      <c r="E732" s="67" t="s">
        <v>1388</v>
      </c>
      <c r="F732" s="67">
        <v>15</v>
      </c>
      <c r="G732" s="67" t="s">
        <v>526</v>
      </c>
      <c r="H732" s="67" t="s">
        <v>1623</v>
      </c>
    </row>
    <row r="733" spans="1:18" x14ac:dyDescent="0.45">
      <c r="A733" s="67">
        <v>14</v>
      </c>
      <c r="B733" s="67" t="s">
        <v>1385</v>
      </c>
      <c r="C733" s="67" t="s">
        <v>1367</v>
      </c>
      <c r="D733" s="2" t="s">
        <v>1621</v>
      </c>
      <c r="E733" s="67" t="s">
        <v>1381</v>
      </c>
      <c r="F733" s="67">
        <v>1</v>
      </c>
      <c r="G733" s="67" t="s">
        <v>526</v>
      </c>
      <c r="H733" s="67" t="s">
        <v>1623</v>
      </c>
    </row>
    <row r="734" spans="1:18" x14ac:dyDescent="0.45">
      <c r="A734" s="67">
        <v>15</v>
      </c>
      <c r="B734" s="67" t="s">
        <v>1385</v>
      </c>
      <c r="C734" s="67" t="s">
        <v>1367</v>
      </c>
      <c r="D734" s="2" t="s">
        <v>1621</v>
      </c>
      <c r="E734" s="67" t="s">
        <v>1369</v>
      </c>
      <c r="F734" s="67">
        <v>6</v>
      </c>
      <c r="G734" s="67" t="s">
        <v>526</v>
      </c>
      <c r="H734" s="67" t="s">
        <v>1623</v>
      </c>
    </row>
    <row r="735" spans="1:18" x14ac:dyDescent="0.45">
      <c r="A735" s="67">
        <v>16</v>
      </c>
      <c r="B735" s="67" t="s">
        <v>1385</v>
      </c>
      <c r="C735" s="67" t="s">
        <v>1627</v>
      </c>
      <c r="D735" s="2" t="s">
        <v>1628</v>
      </c>
      <c r="E735" s="67" t="s">
        <v>1369</v>
      </c>
      <c r="F735" s="67">
        <v>1</v>
      </c>
      <c r="G735" s="67" t="s">
        <v>508</v>
      </c>
      <c r="H735" s="67" t="s">
        <v>1623</v>
      </c>
    </row>
    <row r="736" spans="1:18" x14ac:dyDescent="0.45">
      <c r="A736" s="67">
        <v>17</v>
      </c>
      <c r="B736" s="67" t="s">
        <v>1385</v>
      </c>
      <c r="C736" s="67" t="s">
        <v>1629</v>
      </c>
      <c r="D736" s="2" t="s">
        <v>1628</v>
      </c>
      <c r="E736" s="67" t="s">
        <v>1369</v>
      </c>
      <c r="F736" s="67">
        <v>2</v>
      </c>
      <c r="G736" s="67" t="s">
        <v>508</v>
      </c>
      <c r="H736" s="67" t="s">
        <v>1623</v>
      </c>
    </row>
    <row r="737" spans="1:8" x14ac:dyDescent="0.45">
      <c r="A737" s="67">
        <v>18</v>
      </c>
      <c r="B737" s="67" t="s">
        <v>1385</v>
      </c>
      <c r="C737" s="67" t="s">
        <v>1394</v>
      </c>
      <c r="D737" s="2" t="s">
        <v>1621</v>
      </c>
      <c r="E737" s="67" t="s">
        <v>1630</v>
      </c>
      <c r="F737" s="67">
        <v>1</v>
      </c>
      <c r="G737" s="67" t="s">
        <v>508</v>
      </c>
      <c r="H737" s="67" t="s">
        <v>1603</v>
      </c>
    </row>
    <row r="738" spans="1:8" x14ac:dyDescent="0.45">
      <c r="A738" s="67">
        <v>19</v>
      </c>
      <c r="B738" s="67" t="s">
        <v>1385</v>
      </c>
      <c r="C738" s="67" t="s">
        <v>1384</v>
      </c>
      <c r="D738" s="2" t="s">
        <v>1621</v>
      </c>
      <c r="E738" s="67" t="s">
        <v>1380</v>
      </c>
      <c r="F738" s="67">
        <v>2</v>
      </c>
      <c r="G738" s="67" t="s">
        <v>508</v>
      </c>
      <c r="H738" s="67" t="s">
        <v>1434</v>
      </c>
    </row>
    <row r="739" spans="1:8" x14ac:dyDescent="0.45">
      <c r="A739" s="67">
        <v>20</v>
      </c>
      <c r="B739" s="67"/>
      <c r="C739" s="67" t="s">
        <v>1434</v>
      </c>
      <c r="D739" s="2" t="s">
        <v>1631</v>
      </c>
      <c r="E739" s="67" t="s">
        <v>1380</v>
      </c>
      <c r="F739" s="67">
        <v>1</v>
      </c>
      <c r="G739" s="67" t="s">
        <v>508</v>
      </c>
      <c r="H739" s="67" t="s">
        <v>1434</v>
      </c>
    </row>
    <row r="740" spans="1:8" x14ac:dyDescent="0.45">
      <c r="A740" s="67">
        <v>21</v>
      </c>
      <c r="B740" s="67" t="s">
        <v>1385</v>
      </c>
      <c r="C740" s="67" t="s">
        <v>1394</v>
      </c>
      <c r="D740" s="2" t="s">
        <v>1621</v>
      </c>
      <c r="E740" s="67" t="s">
        <v>1632</v>
      </c>
      <c r="F740" s="67">
        <v>1</v>
      </c>
      <c r="G740" s="67" t="s">
        <v>508</v>
      </c>
      <c r="H740" s="67" t="s">
        <v>1603</v>
      </c>
    </row>
    <row r="741" spans="1:8" x14ac:dyDescent="0.45">
      <c r="A741" s="67">
        <v>22</v>
      </c>
      <c r="B741" s="67" t="s">
        <v>1385</v>
      </c>
      <c r="C741" s="67" t="s">
        <v>1367</v>
      </c>
      <c r="D741" s="2" t="s">
        <v>1621</v>
      </c>
      <c r="E741" s="67" t="s">
        <v>1380</v>
      </c>
      <c r="F741" s="67">
        <v>1</v>
      </c>
      <c r="G741" s="67" t="s">
        <v>526</v>
      </c>
      <c r="H741" s="67" t="s">
        <v>1603</v>
      </c>
    </row>
    <row r="742" spans="1:8" x14ac:dyDescent="0.45">
      <c r="A742" s="67">
        <v>23</v>
      </c>
      <c r="B742" s="67" t="s">
        <v>1385</v>
      </c>
      <c r="C742" s="67" t="s">
        <v>1367</v>
      </c>
      <c r="D742" s="2" t="s">
        <v>1621</v>
      </c>
      <c r="E742" s="67" t="s">
        <v>1471</v>
      </c>
      <c r="F742" s="67">
        <v>6</v>
      </c>
      <c r="G742" s="67" t="s">
        <v>526</v>
      </c>
      <c r="H742" s="67" t="s">
        <v>1603</v>
      </c>
    </row>
    <row r="743" spans="1:8" x14ac:dyDescent="0.45">
      <c r="A743" s="67">
        <v>24</v>
      </c>
      <c r="B743" s="67" t="s">
        <v>1385</v>
      </c>
      <c r="C743" s="67" t="s">
        <v>1629</v>
      </c>
      <c r="D743" s="2" t="s">
        <v>1621</v>
      </c>
      <c r="E743" s="67" t="s">
        <v>1471</v>
      </c>
      <c r="F743" s="67">
        <v>1</v>
      </c>
      <c r="G743" s="67" t="s">
        <v>508</v>
      </c>
      <c r="H743" s="67" t="s">
        <v>1603</v>
      </c>
    </row>
    <row r="744" spans="1:8" x14ac:dyDescent="0.45">
      <c r="A744" s="67">
        <v>25</v>
      </c>
      <c r="B744" s="67" t="s">
        <v>1385</v>
      </c>
      <c r="C744" s="67" t="s">
        <v>1633</v>
      </c>
      <c r="D744" s="2" t="s">
        <v>1621</v>
      </c>
      <c r="E744" s="67" t="s">
        <v>1471</v>
      </c>
      <c r="F744" s="67">
        <v>1</v>
      </c>
      <c r="G744" s="67" t="s">
        <v>508</v>
      </c>
      <c r="H744" s="67" t="s">
        <v>1603</v>
      </c>
    </row>
    <row r="745" spans="1:8" x14ac:dyDescent="0.45">
      <c r="A745" s="67">
        <v>26</v>
      </c>
      <c r="B745" s="67" t="s">
        <v>1634</v>
      </c>
      <c r="C745" s="67" t="s">
        <v>1635</v>
      </c>
      <c r="D745" s="2" t="s">
        <v>1622</v>
      </c>
      <c r="E745" s="67" t="s">
        <v>1636</v>
      </c>
      <c r="F745" s="67">
        <v>4</v>
      </c>
      <c r="G745" s="67" t="s">
        <v>508</v>
      </c>
      <c r="H745" s="67" t="s">
        <v>1603</v>
      </c>
    </row>
    <row r="746" spans="1:8" x14ac:dyDescent="0.45">
      <c r="A746" s="67">
        <v>27</v>
      </c>
      <c r="B746" s="67" t="s">
        <v>1634</v>
      </c>
      <c r="C746" s="67" t="s">
        <v>1637</v>
      </c>
      <c r="D746" s="2" t="s">
        <v>1622</v>
      </c>
      <c r="E746" s="67" t="s">
        <v>1638</v>
      </c>
      <c r="F746" s="67">
        <v>8</v>
      </c>
      <c r="G746" s="67" t="s">
        <v>508</v>
      </c>
      <c r="H746" s="67" t="s">
        <v>1603</v>
      </c>
    </row>
    <row r="747" spans="1:8" x14ac:dyDescent="0.45">
      <c r="A747" s="67">
        <v>28</v>
      </c>
      <c r="B747" s="67"/>
      <c r="C747" s="67" t="s">
        <v>1013</v>
      </c>
      <c r="D747" s="2" t="s">
        <v>1639</v>
      </c>
      <c r="E747" s="67" t="s">
        <v>1599</v>
      </c>
      <c r="F747" s="67">
        <v>1</v>
      </c>
      <c r="G747" s="67" t="s">
        <v>508</v>
      </c>
      <c r="H747" s="67"/>
    </row>
    <row r="749" spans="1:8" ht="18" x14ac:dyDescent="0.45">
      <c r="A749" s="611" t="s">
        <v>1648</v>
      </c>
      <c r="B749" s="611"/>
      <c r="C749" s="611"/>
      <c r="D749" s="611"/>
      <c r="E749" s="611"/>
      <c r="F749" s="611"/>
      <c r="G749" s="611"/>
      <c r="H749" s="611"/>
    </row>
    <row r="750" spans="1:8" x14ac:dyDescent="0.45">
      <c r="A750" s="67">
        <v>1</v>
      </c>
      <c r="B750" s="67" t="s">
        <v>1365</v>
      </c>
      <c r="C750" s="67" t="s">
        <v>1616</v>
      </c>
      <c r="D750" s="2" t="s">
        <v>1617</v>
      </c>
      <c r="E750" s="67" t="s">
        <v>1618</v>
      </c>
      <c r="F750" s="67">
        <v>1</v>
      </c>
      <c r="G750" s="67" t="s">
        <v>508</v>
      </c>
      <c r="H750" s="67" t="s">
        <v>1619</v>
      </c>
    </row>
    <row r="751" spans="1:8" x14ac:dyDescent="0.45">
      <c r="A751" s="67">
        <v>2</v>
      </c>
      <c r="B751" s="67" t="s">
        <v>1366</v>
      </c>
      <c r="C751" s="67" t="s">
        <v>1620</v>
      </c>
      <c r="D751" s="2" t="s">
        <v>1505</v>
      </c>
      <c r="E751" s="67" t="s">
        <v>1380</v>
      </c>
      <c r="F751" s="67">
        <v>1</v>
      </c>
      <c r="G751" s="67" t="s">
        <v>508</v>
      </c>
      <c r="H751" s="67" t="s">
        <v>1602</v>
      </c>
    </row>
    <row r="752" spans="1:8" x14ac:dyDescent="0.45">
      <c r="A752" s="67">
        <v>3</v>
      </c>
      <c r="B752" s="67" t="s">
        <v>1366</v>
      </c>
      <c r="C752" s="67" t="s">
        <v>1367</v>
      </c>
      <c r="D752" s="2" t="s">
        <v>1505</v>
      </c>
      <c r="E752" s="67" t="s">
        <v>1380</v>
      </c>
      <c r="F752" s="67">
        <v>2</v>
      </c>
      <c r="G752" s="67" t="s">
        <v>526</v>
      </c>
      <c r="H752" s="67" t="s">
        <v>1602</v>
      </c>
    </row>
    <row r="753" spans="1:8" x14ac:dyDescent="0.45">
      <c r="A753" s="67">
        <v>4</v>
      </c>
      <c r="B753" s="67" t="s">
        <v>1366</v>
      </c>
      <c r="C753" s="67" t="s">
        <v>1376</v>
      </c>
      <c r="D753" s="2" t="s">
        <v>1505</v>
      </c>
      <c r="E753" s="67" t="s">
        <v>1380</v>
      </c>
      <c r="F753" s="67">
        <v>1</v>
      </c>
      <c r="G753" s="67" t="s">
        <v>508</v>
      </c>
      <c r="H753" s="67" t="s">
        <v>1602</v>
      </c>
    </row>
    <row r="754" spans="1:8" x14ac:dyDescent="0.45">
      <c r="A754" s="67">
        <v>5</v>
      </c>
      <c r="B754" s="67" t="s">
        <v>1385</v>
      </c>
      <c r="C754" s="67" t="s">
        <v>1376</v>
      </c>
      <c r="D754" s="2" t="s">
        <v>1621</v>
      </c>
      <c r="E754" s="67" t="s">
        <v>1369</v>
      </c>
      <c r="F754" s="67">
        <v>1</v>
      </c>
      <c r="G754" s="67" t="s">
        <v>508</v>
      </c>
      <c r="H754" s="67" t="s">
        <v>1603</v>
      </c>
    </row>
    <row r="755" spans="1:8" x14ac:dyDescent="0.45">
      <c r="A755" s="67">
        <v>6</v>
      </c>
      <c r="B755" s="67" t="s">
        <v>1385</v>
      </c>
      <c r="C755" s="67" t="s">
        <v>1372</v>
      </c>
      <c r="D755" s="2" t="s">
        <v>1621</v>
      </c>
      <c r="E755" s="67" t="s">
        <v>1369</v>
      </c>
      <c r="F755" s="67">
        <v>4</v>
      </c>
      <c r="G755" s="67" t="s">
        <v>508</v>
      </c>
      <c r="H755" s="67" t="s">
        <v>1603</v>
      </c>
    </row>
    <row r="756" spans="1:8" x14ac:dyDescent="0.45">
      <c r="A756" s="67">
        <v>7</v>
      </c>
      <c r="B756" s="67" t="s">
        <v>1374</v>
      </c>
      <c r="C756" s="67" t="s">
        <v>1483</v>
      </c>
      <c r="D756" s="2" t="s">
        <v>1622</v>
      </c>
      <c r="E756" s="67" t="s">
        <v>1381</v>
      </c>
      <c r="F756" s="67">
        <v>3</v>
      </c>
      <c r="G756" s="67" t="s">
        <v>508</v>
      </c>
      <c r="H756" s="67" t="s">
        <v>1623</v>
      </c>
    </row>
    <row r="757" spans="1:8" x14ac:dyDescent="0.45">
      <c r="A757" s="67">
        <v>8</v>
      </c>
      <c r="B757" s="67" t="s">
        <v>1385</v>
      </c>
      <c r="C757" s="67" t="s">
        <v>1383</v>
      </c>
      <c r="D757" s="2" t="s">
        <v>1621</v>
      </c>
      <c r="E757" s="67" t="s">
        <v>1369</v>
      </c>
      <c r="F757" s="67">
        <v>4</v>
      </c>
      <c r="G757" s="67" t="s">
        <v>508</v>
      </c>
      <c r="H757" s="67" t="s">
        <v>1623</v>
      </c>
    </row>
    <row r="758" spans="1:8" x14ac:dyDescent="0.45">
      <c r="A758" s="67">
        <v>9</v>
      </c>
      <c r="B758" s="67" t="s">
        <v>1385</v>
      </c>
      <c r="C758" s="67" t="s">
        <v>1624</v>
      </c>
      <c r="D758" s="2" t="s">
        <v>1621</v>
      </c>
      <c r="E758" s="67" t="s">
        <v>1625</v>
      </c>
      <c r="F758" s="67">
        <v>3</v>
      </c>
      <c r="G758" s="67" t="s">
        <v>508</v>
      </c>
      <c r="H758" s="67" t="s">
        <v>1623</v>
      </c>
    </row>
    <row r="759" spans="1:8" x14ac:dyDescent="0.45">
      <c r="A759" s="67">
        <v>10</v>
      </c>
      <c r="B759" s="67" t="s">
        <v>1385</v>
      </c>
      <c r="C759" s="67" t="s">
        <v>1384</v>
      </c>
      <c r="D759" s="2" t="s">
        <v>1621</v>
      </c>
      <c r="E759" s="67" t="s">
        <v>1381</v>
      </c>
      <c r="F759" s="67">
        <v>3</v>
      </c>
      <c r="G759" s="67" t="s">
        <v>508</v>
      </c>
      <c r="H759" s="67" t="s">
        <v>1623</v>
      </c>
    </row>
    <row r="760" spans="1:8" x14ac:dyDescent="0.45">
      <c r="A760" s="67">
        <v>11</v>
      </c>
      <c r="B760" s="67" t="s">
        <v>1385</v>
      </c>
      <c r="C760" s="67" t="s">
        <v>1376</v>
      </c>
      <c r="D760" s="2" t="s">
        <v>1626</v>
      </c>
      <c r="E760" s="67" t="s">
        <v>1388</v>
      </c>
      <c r="F760" s="67">
        <v>3</v>
      </c>
      <c r="G760" s="67" t="s">
        <v>508</v>
      </c>
      <c r="H760" s="67" t="s">
        <v>1623</v>
      </c>
    </row>
    <row r="761" spans="1:8" x14ac:dyDescent="0.45">
      <c r="A761" s="67">
        <v>12</v>
      </c>
      <c r="B761" s="67" t="s">
        <v>1385</v>
      </c>
      <c r="C761" s="67" t="s">
        <v>1372</v>
      </c>
      <c r="D761" s="2" t="s">
        <v>1626</v>
      </c>
      <c r="E761" s="67" t="s">
        <v>1388</v>
      </c>
      <c r="F761" s="67">
        <v>16</v>
      </c>
      <c r="G761" s="67" t="s">
        <v>508</v>
      </c>
      <c r="H761" s="67" t="s">
        <v>1623</v>
      </c>
    </row>
    <row r="762" spans="1:8" x14ac:dyDescent="0.45">
      <c r="A762" s="67">
        <v>13</v>
      </c>
      <c r="B762" s="67" t="s">
        <v>1385</v>
      </c>
      <c r="C762" s="67" t="s">
        <v>1367</v>
      </c>
      <c r="D762" s="2" t="s">
        <v>1626</v>
      </c>
      <c r="E762" s="67" t="s">
        <v>1388</v>
      </c>
      <c r="F762" s="67">
        <v>15</v>
      </c>
      <c r="G762" s="67" t="s">
        <v>526</v>
      </c>
      <c r="H762" s="67" t="s">
        <v>1623</v>
      </c>
    </row>
    <row r="763" spans="1:8" x14ac:dyDescent="0.45">
      <c r="A763" s="67">
        <v>14</v>
      </c>
      <c r="B763" s="67" t="s">
        <v>1385</v>
      </c>
      <c r="C763" s="67" t="s">
        <v>1367</v>
      </c>
      <c r="D763" s="2" t="s">
        <v>1621</v>
      </c>
      <c r="E763" s="67" t="s">
        <v>1381</v>
      </c>
      <c r="F763" s="67">
        <v>1</v>
      </c>
      <c r="G763" s="67" t="s">
        <v>526</v>
      </c>
      <c r="H763" s="67" t="s">
        <v>1623</v>
      </c>
    </row>
    <row r="764" spans="1:8" x14ac:dyDescent="0.45">
      <c r="A764" s="67">
        <v>15</v>
      </c>
      <c r="B764" s="67" t="s">
        <v>1385</v>
      </c>
      <c r="C764" s="67" t="s">
        <v>1367</v>
      </c>
      <c r="D764" s="2" t="s">
        <v>1621</v>
      </c>
      <c r="E764" s="67" t="s">
        <v>1369</v>
      </c>
      <c r="F764" s="67">
        <v>6</v>
      </c>
      <c r="G764" s="67" t="s">
        <v>526</v>
      </c>
      <c r="H764" s="67" t="s">
        <v>1623</v>
      </c>
    </row>
    <row r="765" spans="1:8" x14ac:dyDescent="0.45">
      <c r="A765" s="67">
        <v>16</v>
      </c>
      <c r="B765" s="67" t="s">
        <v>1385</v>
      </c>
      <c r="C765" s="67" t="s">
        <v>1627</v>
      </c>
      <c r="D765" s="2" t="s">
        <v>1628</v>
      </c>
      <c r="E765" s="67" t="s">
        <v>1369</v>
      </c>
      <c r="F765" s="67">
        <v>1</v>
      </c>
      <c r="G765" s="67" t="s">
        <v>508</v>
      </c>
      <c r="H765" s="67" t="s">
        <v>1623</v>
      </c>
    </row>
    <row r="766" spans="1:8" x14ac:dyDescent="0.45">
      <c r="A766" s="67">
        <v>17</v>
      </c>
      <c r="B766" s="67" t="s">
        <v>1385</v>
      </c>
      <c r="C766" s="67" t="s">
        <v>1629</v>
      </c>
      <c r="D766" s="2" t="s">
        <v>1628</v>
      </c>
      <c r="E766" s="67" t="s">
        <v>1369</v>
      </c>
      <c r="F766" s="67">
        <v>2</v>
      </c>
      <c r="G766" s="67" t="s">
        <v>508</v>
      </c>
      <c r="H766" s="67" t="s">
        <v>1623</v>
      </c>
    </row>
    <row r="767" spans="1:8" x14ac:dyDescent="0.45">
      <c r="A767" s="67">
        <v>18</v>
      </c>
      <c r="B767" s="67" t="s">
        <v>1385</v>
      </c>
      <c r="C767" s="67" t="s">
        <v>1394</v>
      </c>
      <c r="D767" s="2" t="s">
        <v>1621</v>
      </c>
      <c r="E767" s="67" t="s">
        <v>1630</v>
      </c>
      <c r="F767" s="67">
        <v>1</v>
      </c>
      <c r="G767" s="67" t="s">
        <v>508</v>
      </c>
      <c r="H767" s="67" t="s">
        <v>1603</v>
      </c>
    </row>
    <row r="768" spans="1:8" x14ac:dyDescent="0.45">
      <c r="A768" s="67">
        <v>19</v>
      </c>
      <c r="B768" s="67" t="s">
        <v>1385</v>
      </c>
      <c r="C768" s="67" t="s">
        <v>1384</v>
      </c>
      <c r="D768" s="2" t="s">
        <v>1621</v>
      </c>
      <c r="E768" s="67" t="s">
        <v>1380</v>
      </c>
      <c r="F768" s="67">
        <v>2</v>
      </c>
      <c r="G768" s="67" t="s">
        <v>508</v>
      </c>
      <c r="H768" s="67" t="s">
        <v>1434</v>
      </c>
    </row>
    <row r="769" spans="1:8" x14ac:dyDescent="0.45">
      <c r="A769" s="67">
        <v>20</v>
      </c>
      <c r="B769" s="67"/>
      <c r="C769" s="67" t="s">
        <v>1434</v>
      </c>
      <c r="D769" s="2" t="s">
        <v>1631</v>
      </c>
      <c r="E769" s="67" t="s">
        <v>1380</v>
      </c>
      <c r="F769" s="67">
        <v>1</v>
      </c>
      <c r="G769" s="67" t="s">
        <v>508</v>
      </c>
      <c r="H769" s="67" t="s">
        <v>1434</v>
      </c>
    </row>
    <row r="770" spans="1:8" x14ac:dyDescent="0.45">
      <c r="A770" s="67">
        <v>21</v>
      </c>
      <c r="B770" s="67" t="s">
        <v>1385</v>
      </c>
      <c r="C770" s="67" t="s">
        <v>1394</v>
      </c>
      <c r="D770" s="2" t="s">
        <v>1621</v>
      </c>
      <c r="E770" s="67" t="s">
        <v>1632</v>
      </c>
      <c r="F770" s="67">
        <v>1</v>
      </c>
      <c r="G770" s="67" t="s">
        <v>508</v>
      </c>
      <c r="H770" s="67" t="s">
        <v>1603</v>
      </c>
    </row>
    <row r="771" spans="1:8" x14ac:dyDescent="0.45">
      <c r="A771" s="67">
        <v>22</v>
      </c>
      <c r="B771" s="67" t="s">
        <v>1385</v>
      </c>
      <c r="C771" s="67" t="s">
        <v>1367</v>
      </c>
      <c r="D771" s="2" t="s">
        <v>1621</v>
      </c>
      <c r="E771" s="67" t="s">
        <v>1380</v>
      </c>
      <c r="F771" s="67">
        <v>1</v>
      </c>
      <c r="G771" s="67" t="s">
        <v>526</v>
      </c>
      <c r="H771" s="67" t="s">
        <v>1603</v>
      </c>
    </row>
    <row r="772" spans="1:8" x14ac:dyDescent="0.45">
      <c r="A772" s="67">
        <v>23</v>
      </c>
      <c r="B772" s="67" t="s">
        <v>1385</v>
      </c>
      <c r="C772" s="67" t="s">
        <v>1367</v>
      </c>
      <c r="D772" s="2" t="s">
        <v>1621</v>
      </c>
      <c r="E772" s="67" t="s">
        <v>1471</v>
      </c>
      <c r="F772" s="67">
        <v>6</v>
      </c>
      <c r="G772" s="67" t="s">
        <v>526</v>
      </c>
      <c r="H772" s="67" t="s">
        <v>1603</v>
      </c>
    </row>
    <row r="773" spans="1:8" x14ac:dyDescent="0.45">
      <c r="A773" s="67">
        <v>24</v>
      </c>
      <c r="B773" s="67" t="s">
        <v>1385</v>
      </c>
      <c r="C773" s="67" t="s">
        <v>1629</v>
      </c>
      <c r="D773" s="2" t="s">
        <v>1621</v>
      </c>
      <c r="E773" s="67" t="s">
        <v>1471</v>
      </c>
      <c r="F773" s="67">
        <v>1</v>
      </c>
      <c r="G773" s="67" t="s">
        <v>508</v>
      </c>
      <c r="H773" s="67" t="s">
        <v>1603</v>
      </c>
    </row>
    <row r="774" spans="1:8" x14ac:dyDescent="0.45">
      <c r="A774" s="67">
        <v>25</v>
      </c>
      <c r="B774" s="67" t="s">
        <v>1385</v>
      </c>
      <c r="C774" s="67" t="s">
        <v>1633</v>
      </c>
      <c r="D774" s="2" t="s">
        <v>1621</v>
      </c>
      <c r="E774" s="67" t="s">
        <v>1471</v>
      </c>
      <c r="F774" s="67">
        <v>1</v>
      </c>
      <c r="G774" s="67" t="s">
        <v>508</v>
      </c>
      <c r="H774" s="67" t="s">
        <v>1603</v>
      </c>
    </row>
    <row r="775" spans="1:8" x14ac:dyDescent="0.45">
      <c r="A775" s="67">
        <v>26</v>
      </c>
      <c r="B775" s="67" t="s">
        <v>1634</v>
      </c>
      <c r="C775" s="67" t="s">
        <v>1635</v>
      </c>
      <c r="D775" s="2" t="s">
        <v>1622</v>
      </c>
      <c r="E775" s="67" t="s">
        <v>1636</v>
      </c>
      <c r="F775" s="67">
        <v>4</v>
      </c>
      <c r="G775" s="67" t="s">
        <v>508</v>
      </c>
      <c r="H775" s="67" t="s">
        <v>1603</v>
      </c>
    </row>
    <row r="776" spans="1:8" x14ac:dyDescent="0.45">
      <c r="A776" s="67">
        <v>27</v>
      </c>
      <c r="B776" s="67" t="s">
        <v>1634</v>
      </c>
      <c r="C776" s="67" t="s">
        <v>1637</v>
      </c>
      <c r="D776" s="2" t="s">
        <v>1622</v>
      </c>
      <c r="E776" s="67" t="s">
        <v>1638</v>
      </c>
      <c r="F776" s="67">
        <v>8</v>
      </c>
      <c r="G776" s="67" t="s">
        <v>508</v>
      </c>
      <c r="H776" s="67" t="s">
        <v>1603</v>
      </c>
    </row>
    <row r="777" spans="1:8" x14ac:dyDescent="0.45">
      <c r="A777" s="67">
        <v>28</v>
      </c>
      <c r="B777" s="67"/>
      <c r="C777" s="67" t="s">
        <v>1013</v>
      </c>
      <c r="D777" s="2" t="s">
        <v>1639</v>
      </c>
      <c r="E777" s="67" t="s">
        <v>1599</v>
      </c>
      <c r="F777" s="67">
        <v>1</v>
      </c>
      <c r="G777" s="67" t="s">
        <v>508</v>
      </c>
      <c r="H777" s="67"/>
    </row>
    <row r="779" spans="1:8" ht="18" x14ac:dyDescent="0.45">
      <c r="A779" s="611" t="s">
        <v>1649</v>
      </c>
      <c r="B779" s="611"/>
      <c r="C779" s="611"/>
      <c r="D779" s="611"/>
      <c r="E779" s="611"/>
      <c r="F779" s="611"/>
      <c r="G779" s="611"/>
      <c r="H779" s="611"/>
    </row>
    <row r="780" spans="1:8" x14ac:dyDescent="0.45">
      <c r="A780" s="67">
        <v>1</v>
      </c>
      <c r="B780" s="67" t="s">
        <v>1365</v>
      </c>
      <c r="C780" s="67" t="s">
        <v>1642</v>
      </c>
      <c r="D780" s="2" t="s">
        <v>1617</v>
      </c>
      <c r="E780" s="67" t="s">
        <v>1650</v>
      </c>
      <c r="F780" s="67">
        <v>1</v>
      </c>
      <c r="G780" s="67" t="s">
        <v>508</v>
      </c>
      <c r="H780" s="67" t="s">
        <v>1644</v>
      </c>
    </row>
    <row r="781" spans="1:8" x14ac:dyDescent="0.45">
      <c r="A781" s="67">
        <v>2</v>
      </c>
      <c r="B781" s="67" t="s">
        <v>1366</v>
      </c>
      <c r="C781" s="67" t="s">
        <v>1620</v>
      </c>
      <c r="D781" s="2" t="s">
        <v>1505</v>
      </c>
      <c r="E781" s="67" t="s">
        <v>1369</v>
      </c>
      <c r="F781" s="67">
        <v>1</v>
      </c>
      <c r="G781" s="67" t="s">
        <v>508</v>
      </c>
      <c r="H781" s="67" t="s">
        <v>1602</v>
      </c>
    </row>
    <row r="782" spans="1:8" x14ac:dyDescent="0.45">
      <c r="A782" s="67">
        <v>3</v>
      </c>
      <c r="B782" s="67" t="s">
        <v>1366</v>
      </c>
      <c r="C782" s="67" t="s">
        <v>1367</v>
      </c>
      <c r="D782" s="2" t="s">
        <v>1505</v>
      </c>
      <c r="E782" s="67" t="s">
        <v>1369</v>
      </c>
      <c r="F782" s="67">
        <v>2</v>
      </c>
      <c r="G782" s="67" t="s">
        <v>526</v>
      </c>
      <c r="H782" s="67" t="s">
        <v>1602</v>
      </c>
    </row>
    <row r="783" spans="1:8" x14ac:dyDescent="0.45">
      <c r="A783" s="67">
        <v>4</v>
      </c>
      <c r="B783" s="67" t="s">
        <v>1366</v>
      </c>
      <c r="C783" s="67" t="s">
        <v>1376</v>
      </c>
      <c r="D783" s="2" t="s">
        <v>1505</v>
      </c>
      <c r="E783" s="67" t="s">
        <v>1369</v>
      </c>
      <c r="F783" s="67">
        <v>1</v>
      </c>
      <c r="G783" s="67" t="s">
        <v>508</v>
      </c>
      <c r="H783" s="67" t="s">
        <v>1602</v>
      </c>
    </row>
    <row r="784" spans="1:8" x14ac:dyDescent="0.45">
      <c r="A784" s="67">
        <v>5</v>
      </c>
      <c r="B784" s="67" t="s">
        <v>1385</v>
      </c>
      <c r="C784" s="67" t="s">
        <v>1376</v>
      </c>
      <c r="D784" s="2" t="s">
        <v>1621</v>
      </c>
      <c r="E784" s="67" t="s">
        <v>1369</v>
      </c>
      <c r="F784" s="67">
        <v>1</v>
      </c>
      <c r="G784" s="67" t="s">
        <v>508</v>
      </c>
      <c r="H784" s="67" t="s">
        <v>1603</v>
      </c>
    </row>
    <row r="785" spans="1:8" x14ac:dyDescent="0.45">
      <c r="A785" s="67">
        <v>6</v>
      </c>
      <c r="B785" s="67" t="s">
        <v>1385</v>
      </c>
      <c r="C785" s="67" t="s">
        <v>1372</v>
      </c>
      <c r="D785" s="2" t="s">
        <v>1621</v>
      </c>
      <c r="E785" s="67" t="s">
        <v>1369</v>
      </c>
      <c r="F785" s="67">
        <v>4</v>
      </c>
      <c r="G785" s="67" t="s">
        <v>508</v>
      </c>
      <c r="H785" s="67" t="s">
        <v>1603</v>
      </c>
    </row>
    <row r="786" spans="1:8" x14ac:dyDescent="0.45">
      <c r="A786" s="67">
        <v>7</v>
      </c>
      <c r="B786" s="67" t="s">
        <v>1374</v>
      </c>
      <c r="C786" s="67" t="s">
        <v>1483</v>
      </c>
      <c r="D786" s="2" t="s">
        <v>1622</v>
      </c>
      <c r="E786" s="67" t="s">
        <v>1381</v>
      </c>
      <c r="F786" s="67">
        <v>3</v>
      </c>
      <c r="G786" s="67" t="s">
        <v>508</v>
      </c>
      <c r="H786" s="67" t="s">
        <v>1623</v>
      </c>
    </row>
    <row r="787" spans="1:8" x14ac:dyDescent="0.45">
      <c r="A787" s="67">
        <v>8</v>
      </c>
      <c r="B787" s="67" t="s">
        <v>1385</v>
      </c>
      <c r="C787" s="67" t="s">
        <v>1383</v>
      </c>
      <c r="D787" s="2" t="s">
        <v>1621</v>
      </c>
      <c r="E787" s="67" t="s">
        <v>1369</v>
      </c>
      <c r="F787" s="67">
        <v>4</v>
      </c>
      <c r="G787" s="67" t="s">
        <v>508</v>
      </c>
      <c r="H787" s="67" t="s">
        <v>1623</v>
      </c>
    </row>
    <row r="788" spans="1:8" x14ac:dyDescent="0.45">
      <c r="A788" s="67">
        <v>9</v>
      </c>
      <c r="B788" s="67" t="s">
        <v>1385</v>
      </c>
      <c r="C788" s="67" t="s">
        <v>1624</v>
      </c>
      <c r="D788" s="2" t="s">
        <v>1621</v>
      </c>
      <c r="E788" s="67" t="s">
        <v>1625</v>
      </c>
      <c r="F788" s="67">
        <v>3</v>
      </c>
      <c r="G788" s="67" t="s">
        <v>508</v>
      </c>
      <c r="H788" s="67" t="s">
        <v>1623</v>
      </c>
    </row>
    <row r="789" spans="1:8" x14ac:dyDescent="0.45">
      <c r="A789" s="67">
        <v>10</v>
      </c>
      <c r="B789" s="67" t="s">
        <v>1385</v>
      </c>
      <c r="C789" s="67" t="s">
        <v>1384</v>
      </c>
      <c r="D789" s="2" t="s">
        <v>1621</v>
      </c>
      <c r="E789" s="67" t="s">
        <v>1381</v>
      </c>
      <c r="F789" s="67">
        <v>3</v>
      </c>
      <c r="G789" s="67" t="s">
        <v>508</v>
      </c>
      <c r="H789" s="67" t="s">
        <v>1623</v>
      </c>
    </row>
    <row r="790" spans="1:8" x14ac:dyDescent="0.45">
      <c r="A790" s="67">
        <v>11</v>
      </c>
      <c r="B790" s="67" t="s">
        <v>1385</v>
      </c>
      <c r="C790" s="67" t="s">
        <v>1376</v>
      </c>
      <c r="D790" s="2" t="s">
        <v>1626</v>
      </c>
      <c r="E790" s="67" t="s">
        <v>1388</v>
      </c>
      <c r="F790" s="67">
        <v>3</v>
      </c>
      <c r="G790" s="67" t="s">
        <v>508</v>
      </c>
      <c r="H790" s="67" t="s">
        <v>1623</v>
      </c>
    </row>
    <row r="791" spans="1:8" x14ac:dyDescent="0.45">
      <c r="A791" s="67">
        <v>12</v>
      </c>
      <c r="B791" s="67" t="s">
        <v>1385</v>
      </c>
      <c r="C791" s="67" t="s">
        <v>1372</v>
      </c>
      <c r="D791" s="2" t="s">
        <v>1626</v>
      </c>
      <c r="E791" s="67" t="s">
        <v>1388</v>
      </c>
      <c r="F791" s="67">
        <v>16</v>
      </c>
      <c r="G791" s="67" t="s">
        <v>508</v>
      </c>
      <c r="H791" s="67" t="s">
        <v>1623</v>
      </c>
    </row>
    <row r="792" spans="1:8" x14ac:dyDescent="0.45">
      <c r="A792" s="67">
        <v>13</v>
      </c>
      <c r="B792" s="67" t="s">
        <v>1385</v>
      </c>
      <c r="C792" s="67" t="s">
        <v>1367</v>
      </c>
      <c r="D792" s="2" t="s">
        <v>1626</v>
      </c>
      <c r="E792" s="67" t="s">
        <v>1388</v>
      </c>
      <c r="F792" s="67">
        <v>15</v>
      </c>
      <c r="G792" s="67" t="s">
        <v>526</v>
      </c>
      <c r="H792" s="67" t="s">
        <v>1623</v>
      </c>
    </row>
    <row r="793" spans="1:8" x14ac:dyDescent="0.45">
      <c r="A793" s="67">
        <v>14</v>
      </c>
      <c r="B793" s="67" t="s">
        <v>1385</v>
      </c>
      <c r="C793" s="67" t="s">
        <v>1367</v>
      </c>
      <c r="D793" s="2" t="s">
        <v>1621</v>
      </c>
      <c r="E793" s="67" t="s">
        <v>1381</v>
      </c>
      <c r="F793" s="67">
        <v>1</v>
      </c>
      <c r="G793" s="67" t="s">
        <v>526</v>
      </c>
      <c r="H793" s="67" t="s">
        <v>1623</v>
      </c>
    </row>
    <row r="794" spans="1:8" x14ac:dyDescent="0.45">
      <c r="A794" s="67">
        <v>15</v>
      </c>
      <c r="B794" s="67" t="s">
        <v>1385</v>
      </c>
      <c r="C794" s="67" t="s">
        <v>1367</v>
      </c>
      <c r="D794" s="2" t="s">
        <v>1621</v>
      </c>
      <c r="E794" s="67" t="s">
        <v>1369</v>
      </c>
      <c r="F794" s="67">
        <v>6</v>
      </c>
      <c r="G794" s="67" t="s">
        <v>526</v>
      </c>
      <c r="H794" s="67" t="s">
        <v>1623</v>
      </c>
    </row>
    <row r="795" spans="1:8" x14ac:dyDescent="0.45">
      <c r="A795" s="67">
        <v>16</v>
      </c>
      <c r="B795" s="67" t="s">
        <v>1385</v>
      </c>
      <c r="C795" s="67" t="s">
        <v>1627</v>
      </c>
      <c r="D795" s="2" t="s">
        <v>1628</v>
      </c>
      <c r="E795" s="67" t="s">
        <v>1369</v>
      </c>
      <c r="F795" s="67">
        <v>1</v>
      </c>
      <c r="G795" s="67" t="s">
        <v>508</v>
      </c>
      <c r="H795" s="67" t="s">
        <v>1623</v>
      </c>
    </row>
    <row r="796" spans="1:8" x14ac:dyDescent="0.45">
      <c r="A796" s="67">
        <v>17</v>
      </c>
      <c r="B796" s="67" t="s">
        <v>1385</v>
      </c>
      <c r="C796" s="67" t="s">
        <v>1629</v>
      </c>
      <c r="D796" s="2" t="s">
        <v>1628</v>
      </c>
      <c r="E796" s="67" t="s">
        <v>1369</v>
      </c>
      <c r="F796" s="67">
        <v>2</v>
      </c>
      <c r="G796" s="67" t="s">
        <v>508</v>
      </c>
      <c r="H796" s="67" t="s">
        <v>1623</v>
      </c>
    </row>
    <row r="797" spans="1:8" x14ac:dyDescent="0.45">
      <c r="A797" s="67">
        <v>18</v>
      </c>
      <c r="B797" s="67" t="s">
        <v>1385</v>
      </c>
      <c r="C797" s="67" t="s">
        <v>1394</v>
      </c>
      <c r="D797" s="2" t="s">
        <v>1621</v>
      </c>
      <c r="E797" s="67" t="s">
        <v>1630</v>
      </c>
      <c r="F797" s="67">
        <v>1</v>
      </c>
      <c r="G797" s="67" t="s">
        <v>508</v>
      </c>
      <c r="H797" s="67" t="s">
        <v>1603</v>
      </c>
    </row>
    <row r="798" spans="1:8" x14ac:dyDescent="0.45">
      <c r="A798" s="67">
        <v>19</v>
      </c>
      <c r="B798" s="67" t="s">
        <v>1385</v>
      </c>
      <c r="C798" s="67" t="s">
        <v>1384</v>
      </c>
      <c r="D798" s="2" t="s">
        <v>1621</v>
      </c>
      <c r="E798" s="67" t="s">
        <v>1380</v>
      </c>
      <c r="F798" s="67">
        <v>2</v>
      </c>
      <c r="G798" s="67" t="s">
        <v>508</v>
      </c>
      <c r="H798" s="67" t="s">
        <v>1434</v>
      </c>
    </row>
    <row r="799" spans="1:8" x14ac:dyDescent="0.45">
      <c r="A799" s="67">
        <v>20</v>
      </c>
      <c r="B799" s="67"/>
      <c r="C799" s="67" t="s">
        <v>1434</v>
      </c>
      <c r="D799" s="2" t="s">
        <v>1631</v>
      </c>
      <c r="E799" s="67" t="s">
        <v>1380</v>
      </c>
      <c r="F799" s="67">
        <v>1</v>
      </c>
      <c r="G799" s="67" t="s">
        <v>508</v>
      </c>
      <c r="H799" s="67" t="s">
        <v>1434</v>
      </c>
    </row>
    <row r="800" spans="1:8" x14ac:dyDescent="0.45">
      <c r="A800" s="67">
        <v>21</v>
      </c>
      <c r="B800" s="67" t="s">
        <v>1385</v>
      </c>
      <c r="C800" s="67" t="s">
        <v>1394</v>
      </c>
      <c r="D800" s="2" t="s">
        <v>1621</v>
      </c>
      <c r="E800" s="67" t="s">
        <v>1632</v>
      </c>
      <c r="F800" s="67">
        <v>1</v>
      </c>
      <c r="G800" s="67" t="s">
        <v>508</v>
      </c>
      <c r="H800" s="67" t="s">
        <v>1603</v>
      </c>
    </row>
    <row r="801" spans="1:8" x14ac:dyDescent="0.45">
      <c r="A801" s="67">
        <v>22</v>
      </c>
      <c r="B801" s="67" t="s">
        <v>1385</v>
      </c>
      <c r="C801" s="67" t="s">
        <v>1367</v>
      </c>
      <c r="D801" s="2" t="s">
        <v>1621</v>
      </c>
      <c r="E801" s="67" t="s">
        <v>1380</v>
      </c>
      <c r="F801" s="67">
        <v>1</v>
      </c>
      <c r="G801" s="67" t="s">
        <v>526</v>
      </c>
      <c r="H801" s="67" t="s">
        <v>1603</v>
      </c>
    </row>
    <row r="802" spans="1:8" x14ac:dyDescent="0.45">
      <c r="A802" s="67">
        <v>23</v>
      </c>
      <c r="B802" s="67" t="s">
        <v>1385</v>
      </c>
      <c r="C802" s="67" t="s">
        <v>1367</v>
      </c>
      <c r="D802" s="2" t="s">
        <v>1621</v>
      </c>
      <c r="E802" s="67" t="s">
        <v>1471</v>
      </c>
      <c r="F802" s="67">
        <v>6</v>
      </c>
      <c r="G802" s="67" t="s">
        <v>526</v>
      </c>
      <c r="H802" s="67" t="s">
        <v>1603</v>
      </c>
    </row>
    <row r="803" spans="1:8" x14ac:dyDescent="0.45">
      <c r="A803" s="67">
        <v>24</v>
      </c>
      <c r="B803" s="67" t="s">
        <v>1385</v>
      </c>
      <c r="C803" s="67" t="s">
        <v>1629</v>
      </c>
      <c r="D803" s="2" t="s">
        <v>1621</v>
      </c>
      <c r="E803" s="67" t="s">
        <v>1471</v>
      </c>
      <c r="F803" s="67">
        <v>1</v>
      </c>
      <c r="G803" s="67" t="s">
        <v>508</v>
      </c>
      <c r="H803" s="67" t="s">
        <v>1603</v>
      </c>
    </row>
    <row r="804" spans="1:8" x14ac:dyDescent="0.45">
      <c r="A804" s="67">
        <v>25</v>
      </c>
      <c r="B804" s="67" t="s">
        <v>1385</v>
      </c>
      <c r="C804" s="67" t="s">
        <v>1633</v>
      </c>
      <c r="D804" s="2" t="s">
        <v>1621</v>
      </c>
      <c r="E804" s="67" t="s">
        <v>1471</v>
      </c>
      <c r="F804" s="67">
        <v>1</v>
      </c>
      <c r="G804" s="67" t="s">
        <v>508</v>
      </c>
      <c r="H804" s="67" t="s">
        <v>1603</v>
      </c>
    </row>
    <row r="805" spans="1:8" x14ac:dyDescent="0.45">
      <c r="A805" s="67">
        <v>26</v>
      </c>
      <c r="B805" s="67" t="s">
        <v>1634</v>
      </c>
      <c r="C805" s="67" t="s">
        <v>1635</v>
      </c>
      <c r="D805" s="2" t="s">
        <v>1622</v>
      </c>
      <c r="E805" s="67" t="s">
        <v>1636</v>
      </c>
      <c r="F805" s="67">
        <v>4</v>
      </c>
      <c r="G805" s="67" t="s">
        <v>508</v>
      </c>
      <c r="H805" s="67" t="s">
        <v>1603</v>
      </c>
    </row>
    <row r="806" spans="1:8" x14ac:dyDescent="0.45">
      <c r="A806" s="67">
        <v>27</v>
      </c>
      <c r="B806" s="67" t="s">
        <v>1634</v>
      </c>
      <c r="C806" s="67" t="s">
        <v>1637</v>
      </c>
      <c r="D806" s="2" t="s">
        <v>1622</v>
      </c>
      <c r="E806" s="67" t="s">
        <v>1638</v>
      </c>
      <c r="F806" s="67">
        <v>8</v>
      </c>
      <c r="G806" s="67" t="s">
        <v>508</v>
      </c>
      <c r="H806" s="67" t="s">
        <v>1603</v>
      </c>
    </row>
    <row r="807" spans="1:8" x14ac:dyDescent="0.45">
      <c r="A807" s="67">
        <v>28</v>
      </c>
      <c r="B807" s="67"/>
      <c r="C807" s="67" t="s">
        <v>1013</v>
      </c>
      <c r="D807" s="2" t="s">
        <v>1639</v>
      </c>
      <c r="E807" s="67" t="s">
        <v>1599</v>
      </c>
      <c r="F807" s="67">
        <v>1</v>
      </c>
      <c r="G807" s="67" t="s">
        <v>508</v>
      </c>
      <c r="H807" s="67"/>
    </row>
    <row r="809" spans="1:8" ht="18" x14ac:dyDescent="0.45">
      <c r="A809" s="611" t="s">
        <v>1651</v>
      </c>
      <c r="B809" s="611"/>
      <c r="C809" s="611"/>
      <c r="D809" s="611"/>
      <c r="E809" s="611"/>
      <c r="F809" s="611"/>
      <c r="G809" s="611"/>
      <c r="H809" s="611"/>
    </row>
    <row r="810" spans="1:8" x14ac:dyDescent="0.45">
      <c r="A810" s="67">
        <v>1</v>
      </c>
      <c r="B810" s="67" t="s">
        <v>1365</v>
      </c>
      <c r="C810" s="67" t="s">
        <v>1642</v>
      </c>
      <c r="D810" s="2" t="s">
        <v>1617</v>
      </c>
      <c r="E810" s="67" t="s">
        <v>1650</v>
      </c>
      <c r="F810" s="67">
        <v>1</v>
      </c>
      <c r="G810" s="67" t="s">
        <v>508</v>
      </c>
      <c r="H810" s="67" t="s">
        <v>1644</v>
      </c>
    </row>
    <row r="811" spans="1:8" x14ac:dyDescent="0.45">
      <c r="A811" s="67">
        <v>2</v>
      </c>
      <c r="B811" s="67" t="s">
        <v>1366</v>
      </c>
      <c r="C811" s="67" t="s">
        <v>1620</v>
      </c>
      <c r="D811" s="2" t="s">
        <v>1505</v>
      </c>
      <c r="E811" s="67" t="s">
        <v>1369</v>
      </c>
      <c r="F811" s="67">
        <v>1</v>
      </c>
      <c r="G811" s="67" t="s">
        <v>508</v>
      </c>
      <c r="H811" s="67" t="s">
        <v>1602</v>
      </c>
    </row>
    <row r="812" spans="1:8" x14ac:dyDescent="0.45">
      <c r="A812" s="67">
        <v>3</v>
      </c>
      <c r="B812" s="67" t="s">
        <v>1366</v>
      </c>
      <c r="C812" s="67" t="s">
        <v>1367</v>
      </c>
      <c r="D812" s="2" t="s">
        <v>1505</v>
      </c>
      <c r="E812" s="67" t="s">
        <v>1369</v>
      </c>
      <c r="F812" s="67">
        <v>2</v>
      </c>
      <c r="G812" s="67" t="s">
        <v>526</v>
      </c>
      <c r="H812" s="67" t="s">
        <v>1602</v>
      </c>
    </row>
    <row r="813" spans="1:8" x14ac:dyDescent="0.45">
      <c r="A813" s="67">
        <v>4</v>
      </c>
      <c r="B813" s="67" t="s">
        <v>1366</v>
      </c>
      <c r="C813" s="67" t="s">
        <v>1376</v>
      </c>
      <c r="D813" s="2" t="s">
        <v>1505</v>
      </c>
      <c r="E813" s="67" t="s">
        <v>1369</v>
      </c>
      <c r="F813" s="67">
        <v>1</v>
      </c>
      <c r="G813" s="67" t="s">
        <v>508</v>
      </c>
      <c r="H813" s="67" t="s">
        <v>1602</v>
      </c>
    </row>
    <row r="814" spans="1:8" x14ac:dyDescent="0.45">
      <c r="A814" s="67">
        <v>5</v>
      </c>
      <c r="B814" s="67" t="s">
        <v>1385</v>
      </c>
      <c r="C814" s="67" t="s">
        <v>1376</v>
      </c>
      <c r="D814" s="2" t="s">
        <v>1621</v>
      </c>
      <c r="E814" s="67" t="s">
        <v>1369</v>
      </c>
      <c r="F814" s="67">
        <v>1</v>
      </c>
      <c r="G814" s="67" t="s">
        <v>508</v>
      </c>
      <c r="H814" s="67" t="s">
        <v>1603</v>
      </c>
    </row>
    <row r="815" spans="1:8" x14ac:dyDescent="0.45">
      <c r="A815" s="67">
        <v>6</v>
      </c>
      <c r="B815" s="67" t="s">
        <v>1385</v>
      </c>
      <c r="C815" s="67" t="s">
        <v>1372</v>
      </c>
      <c r="D815" s="2" t="s">
        <v>1621</v>
      </c>
      <c r="E815" s="67" t="s">
        <v>1369</v>
      </c>
      <c r="F815" s="67">
        <v>4</v>
      </c>
      <c r="G815" s="67" t="s">
        <v>508</v>
      </c>
      <c r="H815" s="67" t="s">
        <v>1603</v>
      </c>
    </row>
    <row r="816" spans="1:8" x14ac:dyDescent="0.45">
      <c r="A816" s="67">
        <v>7</v>
      </c>
      <c r="B816" s="67" t="s">
        <v>1374</v>
      </c>
      <c r="C816" s="67" t="s">
        <v>1483</v>
      </c>
      <c r="D816" s="2" t="s">
        <v>1622</v>
      </c>
      <c r="E816" s="67" t="s">
        <v>1381</v>
      </c>
      <c r="F816" s="67">
        <v>3</v>
      </c>
      <c r="G816" s="67" t="s">
        <v>508</v>
      </c>
      <c r="H816" s="67" t="s">
        <v>1623</v>
      </c>
    </row>
    <row r="817" spans="1:8" x14ac:dyDescent="0.45">
      <c r="A817" s="67">
        <v>8</v>
      </c>
      <c r="B817" s="67" t="s">
        <v>1385</v>
      </c>
      <c r="C817" s="67" t="s">
        <v>1383</v>
      </c>
      <c r="D817" s="2" t="s">
        <v>1621</v>
      </c>
      <c r="E817" s="67" t="s">
        <v>1369</v>
      </c>
      <c r="F817" s="67">
        <v>4</v>
      </c>
      <c r="G817" s="67" t="s">
        <v>508</v>
      </c>
      <c r="H817" s="67" t="s">
        <v>1623</v>
      </c>
    </row>
    <row r="818" spans="1:8" x14ac:dyDescent="0.45">
      <c r="A818" s="67">
        <v>9</v>
      </c>
      <c r="B818" s="67" t="s">
        <v>1385</v>
      </c>
      <c r="C818" s="67" t="s">
        <v>1624</v>
      </c>
      <c r="D818" s="2" t="s">
        <v>1621</v>
      </c>
      <c r="E818" s="67" t="s">
        <v>1625</v>
      </c>
      <c r="F818" s="67">
        <v>3</v>
      </c>
      <c r="G818" s="67" t="s">
        <v>508</v>
      </c>
      <c r="H818" s="67" t="s">
        <v>1623</v>
      </c>
    </row>
    <row r="819" spans="1:8" x14ac:dyDescent="0.45">
      <c r="A819" s="67">
        <v>10</v>
      </c>
      <c r="B819" s="67" t="s">
        <v>1385</v>
      </c>
      <c r="C819" s="67" t="s">
        <v>1384</v>
      </c>
      <c r="D819" s="2" t="s">
        <v>1621</v>
      </c>
      <c r="E819" s="67" t="s">
        <v>1381</v>
      </c>
      <c r="F819" s="67">
        <v>3</v>
      </c>
      <c r="G819" s="67" t="s">
        <v>508</v>
      </c>
      <c r="H819" s="67" t="s">
        <v>1623</v>
      </c>
    </row>
    <row r="820" spans="1:8" x14ac:dyDescent="0.45">
      <c r="A820" s="67">
        <v>11</v>
      </c>
      <c r="B820" s="67" t="s">
        <v>1385</v>
      </c>
      <c r="C820" s="67" t="s">
        <v>1376</v>
      </c>
      <c r="D820" s="2" t="s">
        <v>1626</v>
      </c>
      <c r="E820" s="67" t="s">
        <v>1388</v>
      </c>
      <c r="F820" s="67">
        <v>3</v>
      </c>
      <c r="G820" s="67" t="s">
        <v>508</v>
      </c>
      <c r="H820" s="67" t="s">
        <v>1623</v>
      </c>
    </row>
    <row r="821" spans="1:8" x14ac:dyDescent="0.45">
      <c r="A821" s="67">
        <v>12</v>
      </c>
      <c r="B821" s="67" t="s">
        <v>1385</v>
      </c>
      <c r="C821" s="67" t="s">
        <v>1372</v>
      </c>
      <c r="D821" s="2" t="s">
        <v>1626</v>
      </c>
      <c r="E821" s="67" t="s">
        <v>1388</v>
      </c>
      <c r="F821" s="67">
        <v>16</v>
      </c>
      <c r="G821" s="67" t="s">
        <v>508</v>
      </c>
      <c r="H821" s="67" t="s">
        <v>1623</v>
      </c>
    </row>
    <row r="822" spans="1:8" x14ac:dyDescent="0.45">
      <c r="A822" s="67">
        <v>13</v>
      </c>
      <c r="B822" s="67" t="s">
        <v>1385</v>
      </c>
      <c r="C822" s="67" t="s">
        <v>1367</v>
      </c>
      <c r="D822" s="2" t="s">
        <v>1626</v>
      </c>
      <c r="E822" s="67" t="s">
        <v>1388</v>
      </c>
      <c r="F822" s="67">
        <v>15</v>
      </c>
      <c r="G822" s="67" t="s">
        <v>526</v>
      </c>
      <c r="H822" s="67" t="s">
        <v>1623</v>
      </c>
    </row>
    <row r="823" spans="1:8" x14ac:dyDescent="0.45">
      <c r="A823" s="67">
        <v>14</v>
      </c>
      <c r="B823" s="67" t="s">
        <v>1385</v>
      </c>
      <c r="C823" s="67" t="s">
        <v>1367</v>
      </c>
      <c r="D823" s="2" t="s">
        <v>1621</v>
      </c>
      <c r="E823" s="67" t="s">
        <v>1381</v>
      </c>
      <c r="F823" s="67">
        <v>1</v>
      </c>
      <c r="G823" s="67" t="s">
        <v>526</v>
      </c>
      <c r="H823" s="67" t="s">
        <v>1623</v>
      </c>
    </row>
    <row r="824" spans="1:8" x14ac:dyDescent="0.45">
      <c r="A824" s="67">
        <v>15</v>
      </c>
      <c r="B824" s="67" t="s">
        <v>1385</v>
      </c>
      <c r="C824" s="67" t="s">
        <v>1367</v>
      </c>
      <c r="D824" s="2" t="s">
        <v>1621</v>
      </c>
      <c r="E824" s="67" t="s">
        <v>1369</v>
      </c>
      <c r="F824" s="67">
        <v>6</v>
      </c>
      <c r="G824" s="67" t="s">
        <v>526</v>
      </c>
      <c r="H824" s="67" t="s">
        <v>1623</v>
      </c>
    </row>
    <row r="825" spans="1:8" x14ac:dyDescent="0.45">
      <c r="A825" s="67">
        <v>16</v>
      </c>
      <c r="B825" s="67" t="s">
        <v>1385</v>
      </c>
      <c r="C825" s="67" t="s">
        <v>1627</v>
      </c>
      <c r="D825" s="2" t="s">
        <v>1628</v>
      </c>
      <c r="E825" s="67" t="s">
        <v>1369</v>
      </c>
      <c r="F825" s="67">
        <v>1</v>
      </c>
      <c r="G825" s="67" t="s">
        <v>508</v>
      </c>
      <c r="H825" s="67" t="s">
        <v>1623</v>
      </c>
    </row>
    <row r="826" spans="1:8" x14ac:dyDescent="0.45">
      <c r="A826" s="67">
        <v>17</v>
      </c>
      <c r="B826" s="67" t="s">
        <v>1385</v>
      </c>
      <c r="C826" s="67" t="s">
        <v>1629</v>
      </c>
      <c r="D826" s="2" t="s">
        <v>1628</v>
      </c>
      <c r="E826" s="67" t="s">
        <v>1369</v>
      </c>
      <c r="F826" s="67">
        <v>2</v>
      </c>
      <c r="G826" s="67" t="s">
        <v>508</v>
      </c>
      <c r="H826" s="67" t="s">
        <v>1623</v>
      </c>
    </row>
    <row r="827" spans="1:8" x14ac:dyDescent="0.45">
      <c r="A827" s="67">
        <v>18</v>
      </c>
      <c r="B827" s="67" t="s">
        <v>1385</v>
      </c>
      <c r="C827" s="67" t="s">
        <v>1394</v>
      </c>
      <c r="D827" s="2" t="s">
        <v>1621</v>
      </c>
      <c r="E827" s="67" t="s">
        <v>1630</v>
      </c>
      <c r="F827" s="67">
        <v>1</v>
      </c>
      <c r="G827" s="67" t="s">
        <v>508</v>
      </c>
      <c r="H827" s="67" t="s">
        <v>1603</v>
      </c>
    </row>
    <row r="828" spans="1:8" x14ac:dyDescent="0.45">
      <c r="A828" s="67">
        <v>19</v>
      </c>
      <c r="B828" s="67" t="s">
        <v>1385</v>
      </c>
      <c r="C828" s="67" t="s">
        <v>1384</v>
      </c>
      <c r="D828" s="2" t="s">
        <v>1621</v>
      </c>
      <c r="E828" s="67" t="s">
        <v>1380</v>
      </c>
      <c r="F828" s="67">
        <v>2</v>
      </c>
      <c r="G828" s="67" t="s">
        <v>508</v>
      </c>
      <c r="H828" s="67" t="s">
        <v>1434</v>
      </c>
    </row>
    <row r="829" spans="1:8" x14ac:dyDescent="0.45">
      <c r="A829" s="67">
        <v>20</v>
      </c>
      <c r="B829" s="67"/>
      <c r="C829" s="67" t="s">
        <v>1434</v>
      </c>
      <c r="D829" s="2" t="s">
        <v>1631</v>
      </c>
      <c r="E829" s="67" t="s">
        <v>1380</v>
      </c>
      <c r="F829" s="67">
        <v>1</v>
      </c>
      <c r="G829" s="67" t="s">
        <v>508</v>
      </c>
      <c r="H829" s="67" t="s">
        <v>1434</v>
      </c>
    </row>
    <row r="830" spans="1:8" x14ac:dyDescent="0.45">
      <c r="A830" s="67">
        <v>21</v>
      </c>
      <c r="B830" s="67" t="s">
        <v>1385</v>
      </c>
      <c r="C830" s="67" t="s">
        <v>1394</v>
      </c>
      <c r="D830" s="2" t="s">
        <v>1621</v>
      </c>
      <c r="E830" s="67" t="s">
        <v>1632</v>
      </c>
      <c r="F830" s="67">
        <v>1</v>
      </c>
      <c r="G830" s="67" t="s">
        <v>508</v>
      </c>
      <c r="H830" s="67" t="s">
        <v>1603</v>
      </c>
    </row>
    <row r="831" spans="1:8" x14ac:dyDescent="0.45">
      <c r="A831" s="67">
        <v>22</v>
      </c>
      <c r="B831" s="67" t="s">
        <v>1385</v>
      </c>
      <c r="C831" s="67" t="s">
        <v>1367</v>
      </c>
      <c r="D831" s="2" t="s">
        <v>1621</v>
      </c>
      <c r="E831" s="67" t="s">
        <v>1380</v>
      </c>
      <c r="F831" s="67">
        <v>1</v>
      </c>
      <c r="G831" s="67" t="s">
        <v>526</v>
      </c>
      <c r="H831" s="67" t="s">
        <v>1603</v>
      </c>
    </row>
    <row r="832" spans="1:8" x14ac:dyDescent="0.45">
      <c r="A832" s="67">
        <v>23</v>
      </c>
      <c r="B832" s="67" t="s">
        <v>1385</v>
      </c>
      <c r="C832" s="67" t="s">
        <v>1367</v>
      </c>
      <c r="D832" s="2" t="s">
        <v>1621</v>
      </c>
      <c r="E832" s="67" t="s">
        <v>1471</v>
      </c>
      <c r="F832" s="67">
        <v>6</v>
      </c>
      <c r="G832" s="67" t="s">
        <v>526</v>
      </c>
      <c r="H832" s="67" t="s">
        <v>1603</v>
      </c>
    </row>
    <row r="833" spans="1:8" x14ac:dyDescent="0.45">
      <c r="A833" s="67">
        <v>24</v>
      </c>
      <c r="B833" s="67" t="s">
        <v>1385</v>
      </c>
      <c r="C833" s="67" t="s">
        <v>1629</v>
      </c>
      <c r="D833" s="2" t="s">
        <v>1621</v>
      </c>
      <c r="E833" s="67" t="s">
        <v>1471</v>
      </c>
      <c r="F833" s="67">
        <v>1</v>
      </c>
      <c r="G833" s="67" t="s">
        <v>508</v>
      </c>
      <c r="H833" s="67" t="s">
        <v>1603</v>
      </c>
    </row>
    <row r="834" spans="1:8" x14ac:dyDescent="0.45">
      <c r="A834" s="67">
        <v>25</v>
      </c>
      <c r="B834" s="67" t="s">
        <v>1385</v>
      </c>
      <c r="C834" s="67" t="s">
        <v>1633</v>
      </c>
      <c r="D834" s="2" t="s">
        <v>1621</v>
      </c>
      <c r="E834" s="67" t="s">
        <v>1471</v>
      </c>
      <c r="F834" s="67">
        <v>1</v>
      </c>
      <c r="G834" s="67" t="s">
        <v>508</v>
      </c>
      <c r="H834" s="67" t="s">
        <v>1603</v>
      </c>
    </row>
    <row r="835" spans="1:8" x14ac:dyDescent="0.45">
      <c r="A835" s="67">
        <v>26</v>
      </c>
      <c r="B835" s="67" t="s">
        <v>1634</v>
      </c>
      <c r="C835" s="67" t="s">
        <v>1635</v>
      </c>
      <c r="D835" s="2" t="s">
        <v>1622</v>
      </c>
      <c r="E835" s="67" t="s">
        <v>1636</v>
      </c>
      <c r="F835" s="67">
        <v>4</v>
      </c>
      <c r="G835" s="67" t="s">
        <v>508</v>
      </c>
      <c r="H835" s="67" t="s">
        <v>1603</v>
      </c>
    </row>
    <row r="836" spans="1:8" x14ac:dyDescent="0.45">
      <c r="A836" s="67">
        <v>27</v>
      </c>
      <c r="B836" s="67" t="s">
        <v>1634</v>
      </c>
      <c r="C836" s="67" t="s">
        <v>1637</v>
      </c>
      <c r="D836" s="2" t="s">
        <v>1622</v>
      </c>
      <c r="E836" s="67" t="s">
        <v>1638</v>
      </c>
      <c r="F836" s="67">
        <v>8</v>
      </c>
      <c r="G836" s="67" t="s">
        <v>508</v>
      </c>
      <c r="H836" s="67" t="s">
        <v>1603</v>
      </c>
    </row>
    <row r="837" spans="1:8" x14ac:dyDescent="0.45">
      <c r="A837" s="67">
        <v>28</v>
      </c>
      <c r="B837" s="67"/>
      <c r="C837" s="67" t="s">
        <v>1013</v>
      </c>
      <c r="D837" s="2" t="s">
        <v>1639</v>
      </c>
      <c r="E837" s="67" t="s">
        <v>1599</v>
      </c>
      <c r="F837" s="67">
        <v>1</v>
      </c>
      <c r="G837" s="67" t="s">
        <v>508</v>
      </c>
      <c r="H837" s="67"/>
    </row>
    <row r="839" spans="1:8" ht="18" x14ac:dyDescent="0.45">
      <c r="A839" s="611" t="s">
        <v>1652</v>
      </c>
      <c r="B839" s="611"/>
      <c r="C839" s="611"/>
      <c r="D839" s="611"/>
      <c r="E839" s="611"/>
      <c r="F839" s="611"/>
      <c r="G839" s="611"/>
      <c r="H839" s="611"/>
    </row>
    <row r="840" spans="1:8" x14ac:dyDescent="0.45">
      <c r="A840" s="67">
        <v>1</v>
      </c>
      <c r="B840" s="67" t="s">
        <v>1365</v>
      </c>
      <c r="C840" s="67" t="s">
        <v>1642</v>
      </c>
      <c r="D840" s="2" t="s">
        <v>1617</v>
      </c>
      <c r="E840" s="67" t="s">
        <v>1650</v>
      </c>
      <c r="F840" s="67">
        <v>1</v>
      </c>
      <c r="G840" s="67" t="s">
        <v>508</v>
      </c>
      <c r="H840" s="67" t="s">
        <v>1644</v>
      </c>
    </row>
    <row r="841" spans="1:8" x14ac:dyDescent="0.45">
      <c r="A841" s="67">
        <v>2</v>
      </c>
      <c r="B841" s="67" t="s">
        <v>1366</v>
      </c>
      <c r="C841" s="67" t="s">
        <v>1620</v>
      </c>
      <c r="D841" s="2" t="s">
        <v>1505</v>
      </c>
      <c r="E841" s="67" t="s">
        <v>1369</v>
      </c>
      <c r="F841" s="67">
        <v>1</v>
      </c>
      <c r="G841" s="67" t="s">
        <v>508</v>
      </c>
      <c r="H841" s="67" t="s">
        <v>1602</v>
      </c>
    </row>
    <row r="842" spans="1:8" x14ac:dyDescent="0.45">
      <c r="A842" s="67">
        <v>3</v>
      </c>
      <c r="B842" s="67" t="s">
        <v>1366</v>
      </c>
      <c r="C842" s="67" t="s">
        <v>1367</v>
      </c>
      <c r="D842" s="2" t="s">
        <v>1505</v>
      </c>
      <c r="E842" s="67" t="s">
        <v>1369</v>
      </c>
      <c r="F842" s="67">
        <v>2</v>
      </c>
      <c r="G842" s="67" t="s">
        <v>526</v>
      </c>
      <c r="H842" s="67" t="s">
        <v>1602</v>
      </c>
    </row>
    <row r="843" spans="1:8" x14ac:dyDescent="0.45">
      <c r="A843" s="67">
        <v>4</v>
      </c>
      <c r="B843" s="67" t="s">
        <v>1366</v>
      </c>
      <c r="C843" s="67" t="s">
        <v>1376</v>
      </c>
      <c r="D843" s="2" t="s">
        <v>1505</v>
      </c>
      <c r="E843" s="67" t="s">
        <v>1369</v>
      </c>
      <c r="F843" s="67">
        <v>1</v>
      </c>
      <c r="G843" s="67" t="s">
        <v>508</v>
      </c>
      <c r="H843" s="67" t="s">
        <v>1602</v>
      </c>
    </row>
    <row r="844" spans="1:8" x14ac:dyDescent="0.45">
      <c r="A844" s="67">
        <v>5</v>
      </c>
      <c r="B844" s="67" t="s">
        <v>1385</v>
      </c>
      <c r="C844" s="67" t="s">
        <v>1376</v>
      </c>
      <c r="D844" s="2" t="s">
        <v>1621</v>
      </c>
      <c r="E844" s="67" t="s">
        <v>1369</v>
      </c>
      <c r="F844" s="67">
        <v>1</v>
      </c>
      <c r="G844" s="67" t="s">
        <v>508</v>
      </c>
      <c r="H844" s="67" t="s">
        <v>1603</v>
      </c>
    </row>
    <row r="845" spans="1:8" x14ac:dyDescent="0.45">
      <c r="A845" s="67">
        <v>6</v>
      </c>
      <c r="B845" s="67" t="s">
        <v>1385</v>
      </c>
      <c r="C845" s="67" t="s">
        <v>1372</v>
      </c>
      <c r="D845" s="2" t="s">
        <v>1621</v>
      </c>
      <c r="E845" s="67" t="s">
        <v>1369</v>
      </c>
      <c r="F845" s="67">
        <v>4</v>
      </c>
      <c r="G845" s="67" t="s">
        <v>508</v>
      </c>
      <c r="H845" s="67" t="s">
        <v>1603</v>
      </c>
    </row>
    <row r="846" spans="1:8" x14ac:dyDescent="0.45">
      <c r="A846" s="67">
        <v>7</v>
      </c>
      <c r="B846" s="67" t="s">
        <v>1374</v>
      </c>
      <c r="C846" s="67" t="s">
        <v>1483</v>
      </c>
      <c r="D846" s="2" t="s">
        <v>1622</v>
      </c>
      <c r="E846" s="67" t="s">
        <v>1381</v>
      </c>
      <c r="F846" s="67">
        <v>3</v>
      </c>
      <c r="G846" s="67" t="s">
        <v>508</v>
      </c>
      <c r="H846" s="67" t="s">
        <v>1623</v>
      </c>
    </row>
    <row r="847" spans="1:8" x14ac:dyDescent="0.45">
      <c r="A847" s="67">
        <v>8</v>
      </c>
      <c r="B847" s="67" t="s">
        <v>1385</v>
      </c>
      <c r="C847" s="67" t="s">
        <v>1383</v>
      </c>
      <c r="D847" s="2" t="s">
        <v>1621</v>
      </c>
      <c r="E847" s="67" t="s">
        <v>1369</v>
      </c>
      <c r="F847" s="67">
        <v>4</v>
      </c>
      <c r="G847" s="67" t="s">
        <v>508</v>
      </c>
      <c r="H847" s="67" t="s">
        <v>1623</v>
      </c>
    </row>
    <row r="848" spans="1:8" x14ac:dyDescent="0.45">
      <c r="A848" s="67">
        <v>9</v>
      </c>
      <c r="B848" s="67" t="s">
        <v>1385</v>
      </c>
      <c r="C848" s="67" t="s">
        <v>1624</v>
      </c>
      <c r="D848" s="2" t="s">
        <v>1621</v>
      </c>
      <c r="E848" s="67" t="s">
        <v>1625</v>
      </c>
      <c r="F848" s="67">
        <v>3</v>
      </c>
      <c r="G848" s="67" t="s">
        <v>508</v>
      </c>
      <c r="H848" s="67" t="s">
        <v>1623</v>
      </c>
    </row>
    <row r="849" spans="1:8" x14ac:dyDescent="0.45">
      <c r="A849" s="67">
        <v>10</v>
      </c>
      <c r="B849" s="67" t="s">
        <v>1385</v>
      </c>
      <c r="C849" s="67" t="s">
        <v>1384</v>
      </c>
      <c r="D849" s="2" t="s">
        <v>1621</v>
      </c>
      <c r="E849" s="67" t="s">
        <v>1381</v>
      </c>
      <c r="F849" s="67">
        <v>3</v>
      </c>
      <c r="G849" s="67" t="s">
        <v>508</v>
      </c>
      <c r="H849" s="67" t="s">
        <v>1623</v>
      </c>
    </row>
    <row r="850" spans="1:8" x14ac:dyDescent="0.45">
      <c r="A850" s="67">
        <v>11</v>
      </c>
      <c r="B850" s="67" t="s">
        <v>1385</v>
      </c>
      <c r="C850" s="67" t="s">
        <v>1376</v>
      </c>
      <c r="D850" s="2" t="s">
        <v>1626</v>
      </c>
      <c r="E850" s="67" t="s">
        <v>1388</v>
      </c>
      <c r="F850" s="67">
        <v>3</v>
      </c>
      <c r="G850" s="67" t="s">
        <v>508</v>
      </c>
      <c r="H850" s="67" t="s">
        <v>1623</v>
      </c>
    </row>
    <row r="851" spans="1:8" x14ac:dyDescent="0.45">
      <c r="A851" s="67">
        <v>12</v>
      </c>
      <c r="B851" s="67" t="s">
        <v>1385</v>
      </c>
      <c r="C851" s="67" t="s">
        <v>1372</v>
      </c>
      <c r="D851" s="2" t="s">
        <v>1626</v>
      </c>
      <c r="E851" s="67" t="s">
        <v>1388</v>
      </c>
      <c r="F851" s="67">
        <v>16</v>
      </c>
      <c r="G851" s="67" t="s">
        <v>508</v>
      </c>
      <c r="H851" s="67" t="s">
        <v>1623</v>
      </c>
    </row>
    <row r="852" spans="1:8" x14ac:dyDescent="0.45">
      <c r="A852" s="67">
        <v>13</v>
      </c>
      <c r="B852" s="67" t="s">
        <v>1385</v>
      </c>
      <c r="C852" s="67" t="s">
        <v>1367</v>
      </c>
      <c r="D852" s="2" t="s">
        <v>1626</v>
      </c>
      <c r="E852" s="67" t="s">
        <v>1388</v>
      </c>
      <c r="F852" s="67">
        <v>15</v>
      </c>
      <c r="G852" s="67" t="s">
        <v>526</v>
      </c>
      <c r="H852" s="67" t="s">
        <v>1623</v>
      </c>
    </row>
    <row r="853" spans="1:8" x14ac:dyDescent="0.45">
      <c r="A853" s="67">
        <v>14</v>
      </c>
      <c r="B853" s="67" t="s">
        <v>1385</v>
      </c>
      <c r="C853" s="67" t="s">
        <v>1367</v>
      </c>
      <c r="D853" s="2" t="s">
        <v>1621</v>
      </c>
      <c r="E853" s="67" t="s">
        <v>1381</v>
      </c>
      <c r="F853" s="67">
        <v>1</v>
      </c>
      <c r="G853" s="67" t="s">
        <v>526</v>
      </c>
      <c r="H853" s="67" t="s">
        <v>1623</v>
      </c>
    </row>
    <row r="854" spans="1:8" x14ac:dyDescent="0.45">
      <c r="A854" s="67">
        <v>15</v>
      </c>
      <c r="B854" s="67" t="s">
        <v>1385</v>
      </c>
      <c r="C854" s="67" t="s">
        <v>1367</v>
      </c>
      <c r="D854" s="2" t="s">
        <v>1621</v>
      </c>
      <c r="E854" s="67" t="s">
        <v>1369</v>
      </c>
      <c r="F854" s="67">
        <v>6</v>
      </c>
      <c r="G854" s="67" t="s">
        <v>526</v>
      </c>
      <c r="H854" s="67" t="s">
        <v>1623</v>
      </c>
    </row>
    <row r="855" spans="1:8" x14ac:dyDescent="0.45">
      <c r="A855" s="67">
        <v>16</v>
      </c>
      <c r="B855" s="67" t="s">
        <v>1385</v>
      </c>
      <c r="C855" s="67" t="s">
        <v>1627</v>
      </c>
      <c r="D855" s="2" t="s">
        <v>1628</v>
      </c>
      <c r="E855" s="67" t="s">
        <v>1369</v>
      </c>
      <c r="F855" s="67">
        <v>1</v>
      </c>
      <c r="G855" s="67" t="s">
        <v>508</v>
      </c>
      <c r="H855" s="67" t="s">
        <v>1623</v>
      </c>
    </row>
    <row r="856" spans="1:8" x14ac:dyDescent="0.45">
      <c r="A856" s="67">
        <v>17</v>
      </c>
      <c r="B856" s="67" t="s">
        <v>1385</v>
      </c>
      <c r="C856" s="67" t="s">
        <v>1629</v>
      </c>
      <c r="D856" s="2" t="s">
        <v>1628</v>
      </c>
      <c r="E856" s="67" t="s">
        <v>1369</v>
      </c>
      <c r="F856" s="67">
        <v>2</v>
      </c>
      <c r="G856" s="67" t="s">
        <v>508</v>
      </c>
      <c r="H856" s="67" t="s">
        <v>1623</v>
      </c>
    </row>
    <row r="857" spans="1:8" x14ac:dyDescent="0.45">
      <c r="A857" s="67">
        <v>18</v>
      </c>
      <c r="B857" s="67" t="s">
        <v>1385</v>
      </c>
      <c r="C857" s="67" t="s">
        <v>1394</v>
      </c>
      <c r="D857" s="2" t="s">
        <v>1621</v>
      </c>
      <c r="E857" s="67" t="s">
        <v>1630</v>
      </c>
      <c r="F857" s="67">
        <v>1</v>
      </c>
      <c r="G857" s="67" t="s">
        <v>508</v>
      </c>
      <c r="H857" s="67" t="s">
        <v>1603</v>
      </c>
    </row>
    <row r="858" spans="1:8" x14ac:dyDescent="0.45">
      <c r="A858" s="67">
        <v>19</v>
      </c>
      <c r="B858" s="67" t="s">
        <v>1385</v>
      </c>
      <c r="C858" s="67" t="s">
        <v>1384</v>
      </c>
      <c r="D858" s="2" t="s">
        <v>1621</v>
      </c>
      <c r="E858" s="67" t="s">
        <v>1380</v>
      </c>
      <c r="F858" s="67">
        <v>2</v>
      </c>
      <c r="G858" s="67" t="s">
        <v>508</v>
      </c>
      <c r="H858" s="67" t="s">
        <v>1434</v>
      </c>
    </row>
    <row r="859" spans="1:8" x14ac:dyDescent="0.45">
      <c r="A859" s="67">
        <v>20</v>
      </c>
      <c r="B859" s="67"/>
      <c r="C859" s="67" t="s">
        <v>1434</v>
      </c>
      <c r="D859" s="2" t="s">
        <v>1631</v>
      </c>
      <c r="E859" s="67" t="s">
        <v>1380</v>
      </c>
      <c r="F859" s="67">
        <v>1</v>
      </c>
      <c r="G859" s="67" t="s">
        <v>508</v>
      </c>
      <c r="H859" s="67" t="s">
        <v>1434</v>
      </c>
    </row>
    <row r="860" spans="1:8" x14ac:dyDescent="0.45">
      <c r="A860" s="67">
        <v>21</v>
      </c>
      <c r="B860" s="67" t="s">
        <v>1385</v>
      </c>
      <c r="C860" s="67" t="s">
        <v>1394</v>
      </c>
      <c r="D860" s="2" t="s">
        <v>1621</v>
      </c>
      <c r="E860" s="67" t="s">
        <v>1632</v>
      </c>
      <c r="F860" s="67">
        <v>1</v>
      </c>
      <c r="G860" s="67" t="s">
        <v>508</v>
      </c>
      <c r="H860" s="67" t="s">
        <v>1603</v>
      </c>
    </row>
    <row r="861" spans="1:8" x14ac:dyDescent="0.45">
      <c r="A861" s="67">
        <v>22</v>
      </c>
      <c r="B861" s="67" t="s">
        <v>1385</v>
      </c>
      <c r="C861" s="67" t="s">
        <v>1367</v>
      </c>
      <c r="D861" s="2" t="s">
        <v>1621</v>
      </c>
      <c r="E861" s="67" t="s">
        <v>1380</v>
      </c>
      <c r="F861" s="67">
        <v>1</v>
      </c>
      <c r="G861" s="67" t="s">
        <v>526</v>
      </c>
      <c r="H861" s="67" t="s">
        <v>1603</v>
      </c>
    </row>
    <row r="862" spans="1:8" x14ac:dyDescent="0.45">
      <c r="A862" s="67">
        <v>23</v>
      </c>
      <c r="B862" s="67" t="s">
        <v>1385</v>
      </c>
      <c r="C862" s="67" t="s">
        <v>1367</v>
      </c>
      <c r="D862" s="2" t="s">
        <v>1621</v>
      </c>
      <c r="E862" s="67" t="s">
        <v>1471</v>
      </c>
      <c r="F862" s="67">
        <v>6</v>
      </c>
      <c r="G862" s="67" t="s">
        <v>526</v>
      </c>
      <c r="H862" s="67" t="s">
        <v>1603</v>
      </c>
    </row>
    <row r="863" spans="1:8" x14ac:dyDescent="0.45">
      <c r="A863" s="67">
        <v>24</v>
      </c>
      <c r="B863" s="67" t="s">
        <v>1385</v>
      </c>
      <c r="C863" s="67" t="s">
        <v>1629</v>
      </c>
      <c r="D863" s="2" t="s">
        <v>1621</v>
      </c>
      <c r="E863" s="67" t="s">
        <v>1471</v>
      </c>
      <c r="F863" s="67">
        <v>1</v>
      </c>
      <c r="G863" s="67" t="s">
        <v>508</v>
      </c>
      <c r="H863" s="67" t="s">
        <v>1603</v>
      </c>
    </row>
    <row r="864" spans="1:8" x14ac:dyDescent="0.45">
      <c r="A864" s="67">
        <v>25</v>
      </c>
      <c r="B864" s="67" t="s">
        <v>1385</v>
      </c>
      <c r="C864" s="67" t="s">
        <v>1633</v>
      </c>
      <c r="D864" s="2" t="s">
        <v>1621</v>
      </c>
      <c r="E864" s="67" t="s">
        <v>1471</v>
      </c>
      <c r="F864" s="67">
        <v>1</v>
      </c>
      <c r="G864" s="67" t="s">
        <v>508</v>
      </c>
      <c r="H864" s="67" t="s">
        <v>1603</v>
      </c>
    </row>
    <row r="865" spans="1:8" x14ac:dyDescent="0.45">
      <c r="A865" s="67">
        <v>26</v>
      </c>
      <c r="B865" s="67" t="s">
        <v>1634</v>
      </c>
      <c r="C865" s="67" t="s">
        <v>1635</v>
      </c>
      <c r="D865" s="2" t="s">
        <v>1622</v>
      </c>
      <c r="E865" s="67" t="s">
        <v>1636</v>
      </c>
      <c r="F865" s="67">
        <v>4</v>
      </c>
      <c r="G865" s="67" t="s">
        <v>508</v>
      </c>
      <c r="H865" s="67" t="s">
        <v>1603</v>
      </c>
    </row>
    <row r="866" spans="1:8" x14ac:dyDescent="0.45">
      <c r="A866" s="67">
        <v>27</v>
      </c>
      <c r="B866" s="67" t="s">
        <v>1634</v>
      </c>
      <c r="C866" s="67" t="s">
        <v>1637</v>
      </c>
      <c r="D866" s="2" t="s">
        <v>1622</v>
      </c>
      <c r="E866" s="67" t="s">
        <v>1638</v>
      </c>
      <c r="F866" s="67">
        <v>8</v>
      </c>
      <c r="G866" s="67" t="s">
        <v>508</v>
      </c>
      <c r="H866" s="67" t="s">
        <v>1603</v>
      </c>
    </row>
    <row r="867" spans="1:8" x14ac:dyDescent="0.45">
      <c r="A867" s="67">
        <v>28</v>
      </c>
      <c r="B867" s="67"/>
      <c r="C867" s="67" t="s">
        <v>1013</v>
      </c>
      <c r="D867" s="2" t="s">
        <v>1639</v>
      </c>
      <c r="E867" s="67" t="s">
        <v>1599</v>
      </c>
      <c r="F867" s="67">
        <v>1</v>
      </c>
      <c r="G867" s="67" t="s">
        <v>508</v>
      </c>
      <c r="H867" s="67"/>
    </row>
    <row r="869" spans="1:8" ht="18" x14ac:dyDescent="0.45">
      <c r="A869" s="611" t="s">
        <v>1653</v>
      </c>
      <c r="B869" s="611"/>
      <c r="C869" s="611"/>
      <c r="D869" s="611"/>
      <c r="E869" s="611"/>
      <c r="F869" s="611"/>
      <c r="G869" s="611"/>
      <c r="H869" s="611"/>
    </row>
    <row r="870" spans="1:8" x14ac:dyDescent="0.45">
      <c r="A870" s="67">
        <v>1</v>
      </c>
      <c r="B870" s="67" t="s">
        <v>1365</v>
      </c>
      <c r="C870" s="67" t="s">
        <v>1616</v>
      </c>
      <c r="D870" s="2" t="s">
        <v>1617</v>
      </c>
      <c r="E870" s="67" t="s">
        <v>1618</v>
      </c>
      <c r="F870" s="67">
        <v>1</v>
      </c>
      <c r="G870" s="67" t="s">
        <v>508</v>
      </c>
      <c r="H870" s="67" t="s">
        <v>1619</v>
      </c>
    </row>
    <row r="871" spans="1:8" x14ac:dyDescent="0.45">
      <c r="A871" s="67">
        <v>2</v>
      </c>
      <c r="B871" s="67" t="s">
        <v>1366</v>
      </c>
      <c r="C871" s="67" t="s">
        <v>1620</v>
      </c>
      <c r="D871" s="2" t="s">
        <v>1505</v>
      </c>
      <c r="E871" s="67" t="s">
        <v>1380</v>
      </c>
      <c r="F871" s="67">
        <v>1</v>
      </c>
      <c r="G871" s="67" t="s">
        <v>508</v>
      </c>
      <c r="H871" s="67" t="s">
        <v>1602</v>
      </c>
    </row>
    <row r="872" spans="1:8" x14ac:dyDescent="0.45">
      <c r="A872" s="67">
        <v>3</v>
      </c>
      <c r="B872" s="67" t="s">
        <v>1366</v>
      </c>
      <c r="C872" s="67" t="s">
        <v>1367</v>
      </c>
      <c r="D872" s="2" t="s">
        <v>1505</v>
      </c>
      <c r="E872" s="67" t="s">
        <v>1380</v>
      </c>
      <c r="F872" s="67">
        <v>2</v>
      </c>
      <c r="G872" s="67" t="s">
        <v>526</v>
      </c>
      <c r="H872" s="67" t="s">
        <v>1602</v>
      </c>
    </row>
    <row r="873" spans="1:8" x14ac:dyDescent="0.45">
      <c r="A873" s="67">
        <v>4</v>
      </c>
      <c r="B873" s="67" t="s">
        <v>1366</v>
      </c>
      <c r="C873" s="67" t="s">
        <v>1376</v>
      </c>
      <c r="D873" s="2" t="s">
        <v>1505</v>
      </c>
      <c r="E873" s="67" t="s">
        <v>1380</v>
      </c>
      <c r="F873" s="67">
        <v>1</v>
      </c>
      <c r="G873" s="67" t="s">
        <v>508</v>
      </c>
      <c r="H873" s="67" t="s">
        <v>1602</v>
      </c>
    </row>
    <row r="874" spans="1:8" x14ac:dyDescent="0.45">
      <c r="A874" s="67">
        <v>5</v>
      </c>
      <c r="B874" s="67" t="s">
        <v>1385</v>
      </c>
      <c r="C874" s="67" t="s">
        <v>1376</v>
      </c>
      <c r="D874" s="2" t="s">
        <v>1621</v>
      </c>
      <c r="E874" s="67" t="s">
        <v>1369</v>
      </c>
      <c r="F874" s="67">
        <v>1</v>
      </c>
      <c r="G874" s="67" t="s">
        <v>508</v>
      </c>
      <c r="H874" s="67" t="s">
        <v>1603</v>
      </c>
    </row>
    <row r="875" spans="1:8" x14ac:dyDescent="0.45">
      <c r="A875" s="67">
        <v>6</v>
      </c>
      <c r="B875" s="67" t="s">
        <v>1385</v>
      </c>
      <c r="C875" s="67" t="s">
        <v>1372</v>
      </c>
      <c r="D875" s="2" t="s">
        <v>1621</v>
      </c>
      <c r="E875" s="67" t="s">
        <v>1369</v>
      </c>
      <c r="F875" s="67">
        <v>4</v>
      </c>
      <c r="G875" s="67" t="s">
        <v>508</v>
      </c>
      <c r="H875" s="67" t="s">
        <v>1603</v>
      </c>
    </row>
    <row r="876" spans="1:8" x14ac:dyDescent="0.45">
      <c r="A876" s="67">
        <v>7</v>
      </c>
      <c r="B876" s="67" t="s">
        <v>1374</v>
      </c>
      <c r="C876" s="67" t="s">
        <v>1483</v>
      </c>
      <c r="D876" s="2" t="s">
        <v>1622</v>
      </c>
      <c r="E876" s="67" t="s">
        <v>1381</v>
      </c>
      <c r="F876" s="67">
        <v>3</v>
      </c>
      <c r="G876" s="67" t="s">
        <v>508</v>
      </c>
      <c r="H876" s="67" t="s">
        <v>1623</v>
      </c>
    </row>
    <row r="877" spans="1:8" x14ac:dyDescent="0.45">
      <c r="A877" s="67">
        <v>8</v>
      </c>
      <c r="B877" s="67" t="s">
        <v>1385</v>
      </c>
      <c r="C877" s="67" t="s">
        <v>1383</v>
      </c>
      <c r="D877" s="2" t="s">
        <v>1621</v>
      </c>
      <c r="E877" s="67" t="s">
        <v>1369</v>
      </c>
      <c r="F877" s="67">
        <v>4</v>
      </c>
      <c r="G877" s="67" t="s">
        <v>508</v>
      </c>
      <c r="H877" s="67" t="s">
        <v>1623</v>
      </c>
    </row>
    <row r="878" spans="1:8" x14ac:dyDescent="0.45">
      <c r="A878" s="67">
        <v>9</v>
      </c>
      <c r="B878" s="67" t="s">
        <v>1385</v>
      </c>
      <c r="C878" s="67" t="s">
        <v>1624</v>
      </c>
      <c r="D878" s="2" t="s">
        <v>1621</v>
      </c>
      <c r="E878" s="67" t="s">
        <v>1625</v>
      </c>
      <c r="F878" s="67">
        <v>3</v>
      </c>
      <c r="G878" s="67" t="s">
        <v>508</v>
      </c>
      <c r="H878" s="67" t="s">
        <v>1623</v>
      </c>
    </row>
    <row r="879" spans="1:8" x14ac:dyDescent="0.45">
      <c r="A879" s="67">
        <v>10</v>
      </c>
      <c r="B879" s="67" t="s">
        <v>1385</v>
      </c>
      <c r="C879" s="67" t="s">
        <v>1384</v>
      </c>
      <c r="D879" s="2" t="s">
        <v>1621</v>
      </c>
      <c r="E879" s="67" t="s">
        <v>1381</v>
      </c>
      <c r="F879" s="67">
        <v>3</v>
      </c>
      <c r="G879" s="67" t="s">
        <v>508</v>
      </c>
      <c r="H879" s="67" t="s">
        <v>1623</v>
      </c>
    </row>
    <row r="880" spans="1:8" x14ac:dyDescent="0.45">
      <c r="A880" s="67">
        <v>11</v>
      </c>
      <c r="B880" s="67" t="s">
        <v>1385</v>
      </c>
      <c r="C880" s="67" t="s">
        <v>1376</v>
      </c>
      <c r="D880" s="2" t="s">
        <v>1626</v>
      </c>
      <c r="E880" s="67" t="s">
        <v>1388</v>
      </c>
      <c r="F880" s="67">
        <v>3</v>
      </c>
      <c r="G880" s="67" t="s">
        <v>508</v>
      </c>
      <c r="H880" s="67" t="s">
        <v>1623</v>
      </c>
    </row>
    <row r="881" spans="1:8" x14ac:dyDescent="0.45">
      <c r="A881" s="67">
        <v>12</v>
      </c>
      <c r="B881" s="67" t="s">
        <v>1385</v>
      </c>
      <c r="C881" s="67" t="s">
        <v>1372</v>
      </c>
      <c r="D881" s="2" t="s">
        <v>1626</v>
      </c>
      <c r="E881" s="67" t="s">
        <v>1388</v>
      </c>
      <c r="F881" s="67">
        <v>16</v>
      </c>
      <c r="G881" s="67" t="s">
        <v>508</v>
      </c>
      <c r="H881" s="67" t="s">
        <v>1623</v>
      </c>
    </row>
    <row r="882" spans="1:8" x14ac:dyDescent="0.45">
      <c r="A882" s="67">
        <v>13</v>
      </c>
      <c r="B882" s="67" t="s">
        <v>1385</v>
      </c>
      <c r="C882" s="67" t="s">
        <v>1367</v>
      </c>
      <c r="D882" s="2" t="s">
        <v>1626</v>
      </c>
      <c r="E882" s="67" t="s">
        <v>1388</v>
      </c>
      <c r="F882" s="67">
        <v>15</v>
      </c>
      <c r="G882" s="67" t="s">
        <v>526</v>
      </c>
      <c r="H882" s="67" t="s">
        <v>1623</v>
      </c>
    </row>
    <row r="883" spans="1:8" x14ac:dyDescent="0.45">
      <c r="A883" s="67">
        <v>14</v>
      </c>
      <c r="B883" s="67" t="s">
        <v>1385</v>
      </c>
      <c r="C883" s="67" t="s">
        <v>1367</v>
      </c>
      <c r="D883" s="2" t="s">
        <v>1621</v>
      </c>
      <c r="E883" s="67" t="s">
        <v>1381</v>
      </c>
      <c r="F883" s="67">
        <v>1</v>
      </c>
      <c r="G883" s="67" t="s">
        <v>526</v>
      </c>
      <c r="H883" s="67" t="s">
        <v>1623</v>
      </c>
    </row>
    <row r="884" spans="1:8" x14ac:dyDescent="0.45">
      <c r="A884" s="67">
        <v>15</v>
      </c>
      <c r="B884" s="67" t="s">
        <v>1385</v>
      </c>
      <c r="C884" s="67" t="s">
        <v>1367</v>
      </c>
      <c r="D884" s="2" t="s">
        <v>1621</v>
      </c>
      <c r="E884" s="67" t="s">
        <v>1369</v>
      </c>
      <c r="F884" s="67">
        <v>6</v>
      </c>
      <c r="G884" s="67" t="s">
        <v>526</v>
      </c>
      <c r="H884" s="67" t="s">
        <v>1623</v>
      </c>
    </row>
    <row r="885" spans="1:8" x14ac:dyDescent="0.45">
      <c r="A885" s="67">
        <v>16</v>
      </c>
      <c r="B885" s="67" t="s">
        <v>1385</v>
      </c>
      <c r="C885" s="67" t="s">
        <v>1627</v>
      </c>
      <c r="D885" s="2" t="s">
        <v>1628</v>
      </c>
      <c r="E885" s="67" t="s">
        <v>1369</v>
      </c>
      <c r="F885" s="67">
        <v>1</v>
      </c>
      <c r="G885" s="67" t="s">
        <v>508</v>
      </c>
      <c r="H885" s="67" t="s">
        <v>1623</v>
      </c>
    </row>
    <row r="886" spans="1:8" x14ac:dyDescent="0.45">
      <c r="A886" s="67">
        <v>17</v>
      </c>
      <c r="B886" s="67" t="s">
        <v>1385</v>
      </c>
      <c r="C886" s="67" t="s">
        <v>1629</v>
      </c>
      <c r="D886" s="2" t="s">
        <v>1628</v>
      </c>
      <c r="E886" s="67" t="s">
        <v>1369</v>
      </c>
      <c r="F886" s="67">
        <v>2</v>
      </c>
      <c r="G886" s="67" t="s">
        <v>508</v>
      </c>
      <c r="H886" s="67" t="s">
        <v>1623</v>
      </c>
    </row>
    <row r="887" spans="1:8" x14ac:dyDescent="0.45">
      <c r="A887" s="67">
        <v>18</v>
      </c>
      <c r="B887" s="67" t="s">
        <v>1385</v>
      </c>
      <c r="C887" s="67" t="s">
        <v>1394</v>
      </c>
      <c r="D887" s="2" t="s">
        <v>1621</v>
      </c>
      <c r="E887" s="67" t="s">
        <v>1630</v>
      </c>
      <c r="F887" s="67">
        <v>1</v>
      </c>
      <c r="G887" s="67" t="s">
        <v>508</v>
      </c>
      <c r="H887" s="67" t="s">
        <v>1603</v>
      </c>
    </row>
    <row r="888" spans="1:8" x14ac:dyDescent="0.45">
      <c r="A888" s="67">
        <v>19</v>
      </c>
      <c r="B888" s="67" t="s">
        <v>1385</v>
      </c>
      <c r="C888" s="67" t="s">
        <v>1384</v>
      </c>
      <c r="D888" s="2" t="s">
        <v>1621</v>
      </c>
      <c r="E888" s="67" t="s">
        <v>1380</v>
      </c>
      <c r="F888" s="67">
        <v>2</v>
      </c>
      <c r="G888" s="67" t="s">
        <v>508</v>
      </c>
      <c r="H888" s="67" t="s">
        <v>1434</v>
      </c>
    </row>
    <row r="889" spans="1:8" x14ac:dyDescent="0.45">
      <c r="A889" s="67">
        <v>20</v>
      </c>
      <c r="B889" s="67"/>
      <c r="C889" s="67" t="s">
        <v>1434</v>
      </c>
      <c r="D889" s="2" t="s">
        <v>1631</v>
      </c>
      <c r="E889" s="67" t="s">
        <v>1380</v>
      </c>
      <c r="F889" s="67">
        <v>1</v>
      </c>
      <c r="G889" s="67" t="s">
        <v>508</v>
      </c>
      <c r="H889" s="67" t="s">
        <v>1434</v>
      </c>
    </row>
    <row r="890" spans="1:8" x14ac:dyDescent="0.45">
      <c r="A890" s="67">
        <v>21</v>
      </c>
      <c r="B890" s="67" t="s">
        <v>1385</v>
      </c>
      <c r="C890" s="67" t="s">
        <v>1394</v>
      </c>
      <c r="D890" s="2" t="s">
        <v>1621</v>
      </c>
      <c r="E890" s="67" t="s">
        <v>1632</v>
      </c>
      <c r="F890" s="67">
        <v>1</v>
      </c>
      <c r="G890" s="67" t="s">
        <v>508</v>
      </c>
      <c r="H890" s="67" t="s">
        <v>1603</v>
      </c>
    </row>
    <row r="891" spans="1:8" x14ac:dyDescent="0.45">
      <c r="A891" s="67">
        <v>22</v>
      </c>
      <c r="B891" s="67" t="s">
        <v>1385</v>
      </c>
      <c r="C891" s="67" t="s">
        <v>1367</v>
      </c>
      <c r="D891" s="2" t="s">
        <v>1621</v>
      </c>
      <c r="E891" s="67" t="s">
        <v>1380</v>
      </c>
      <c r="F891" s="67">
        <v>1</v>
      </c>
      <c r="G891" s="67" t="s">
        <v>526</v>
      </c>
      <c r="H891" s="67" t="s">
        <v>1603</v>
      </c>
    </row>
    <row r="892" spans="1:8" x14ac:dyDescent="0.45">
      <c r="A892" s="67">
        <v>23</v>
      </c>
      <c r="B892" s="67" t="s">
        <v>1385</v>
      </c>
      <c r="C892" s="67" t="s">
        <v>1367</v>
      </c>
      <c r="D892" s="2" t="s">
        <v>1621</v>
      </c>
      <c r="E892" s="67" t="s">
        <v>1471</v>
      </c>
      <c r="F892" s="67">
        <v>6</v>
      </c>
      <c r="G892" s="67" t="s">
        <v>526</v>
      </c>
      <c r="H892" s="67" t="s">
        <v>1603</v>
      </c>
    </row>
    <row r="893" spans="1:8" x14ac:dyDescent="0.45">
      <c r="A893" s="67">
        <v>24</v>
      </c>
      <c r="B893" s="67" t="s">
        <v>1385</v>
      </c>
      <c r="C893" s="67" t="s">
        <v>1629</v>
      </c>
      <c r="D893" s="2" t="s">
        <v>1621</v>
      </c>
      <c r="E893" s="67" t="s">
        <v>1471</v>
      </c>
      <c r="F893" s="67">
        <v>1</v>
      </c>
      <c r="G893" s="67" t="s">
        <v>508</v>
      </c>
      <c r="H893" s="67" t="s">
        <v>1603</v>
      </c>
    </row>
    <row r="894" spans="1:8" x14ac:dyDescent="0.45">
      <c r="A894" s="67">
        <v>25</v>
      </c>
      <c r="B894" s="67" t="s">
        <v>1385</v>
      </c>
      <c r="C894" s="67" t="s">
        <v>1633</v>
      </c>
      <c r="D894" s="2" t="s">
        <v>1621</v>
      </c>
      <c r="E894" s="67" t="s">
        <v>1471</v>
      </c>
      <c r="F894" s="67">
        <v>1</v>
      </c>
      <c r="G894" s="67" t="s">
        <v>508</v>
      </c>
      <c r="H894" s="67" t="s">
        <v>1603</v>
      </c>
    </row>
    <row r="895" spans="1:8" x14ac:dyDescent="0.45">
      <c r="A895" s="67">
        <v>26</v>
      </c>
      <c r="B895" s="67" t="s">
        <v>1634</v>
      </c>
      <c r="C895" s="67" t="s">
        <v>1635</v>
      </c>
      <c r="D895" s="2" t="s">
        <v>1622</v>
      </c>
      <c r="E895" s="67" t="s">
        <v>1636</v>
      </c>
      <c r="F895" s="67">
        <v>4</v>
      </c>
      <c r="G895" s="67" t="s">
        <v>508</v>
      </c>
      <c r="H895" s="67" t="s">
        <v>1603</v>
      </c>
    </row>
    <row r="896" spans="1:8" x14ac:dyDescent="0.45">
      <c r="A896" s="67">
        <v>27</v>
      </c>
      <c r="B896" s="67" t="s">
        <v>1634</v>
      </c>
      <c r="C896" s="67" t="s">
        <v>1637</v>
      </c>
      <c r="D896" s="2" t="s">
        <v>1622</v>
      </c>
      <c r="E896" s="67" t="s">
        <v>1638</v>
      </c>
      <c r="F896" s="67">
        <v>8</v>
      </c>
      <c r="G896" s="67" t="s">
        <v>508</v>
      </c>
      <c r="H896" s="67" t="s">
        <v>1603</v>
      </c>
    </row>
    <row r="897" spans="1:8" x14ac:dyDescent="0.45">
      <c r="A897" s="67">
        <v>28</v>
      </c>
      <c r="B897" s="67"/>
      <c r="C897" s="67" t="s">
        <v>1013</v>
      </c>
      <c r="D897" s="2" t="s">
        <v>1639</v>
      </c>
      <c r="E897" s="67" t="s">
        <v>1599</v>
      </c>
      <c r="F897" s="67">
        <v>1</v>
      </c>
      <c r="G897" s="67" t="s">
        <v>508</v>
      </c>
      <c r="H897" s="67"/>
    </row>
    <row r="899" spans="1:8" ht="18" x14ac:dyDescent="0.45">
      <c r="A899" s="611" t="s">
        <v>1654</v>
      </c>
      <c r="B899" s="611"/>
      <c r="C899" s="611"/>
      <c r="D899" s="611"/>
      <c r="E899" s="611"/>
      <c r="F899" s="611"/>
      <c r="G899" s="611"/>
      <c r="H899" s="611"/>
    </row>
    <row r="900" spans="1:8" x14ac:dyDescent="0.45">
      <c r="A900" s="67">
        <v>1</v>
      </c>
      <c r="B900" s="67" t="s">
        <v>1365</v>
      </c>
      <c r="C900" s="67" t="s">
        <v>1616</v>
      </c>
      <c r="D900" s="2" t="s">
        <v>1617</v>
      </c>
      <c r="E900" s="67" t="s">
        <v>1618</v>
      </c>
      <c r="F900" s="67">
        <v>1</v>
      </c>
      <c r="G900" s="67" t="s">
        <v>508</v>
      </c>
      <c r="H900" s="67" t="s">
        <v>1619</v>
      </c>
    </row>
    <row r="901" spans="1:8" x14ac:dyDescent="0.45">
      <c r="A901" s="67">
        <v>2</v>
      </c>
      <c r="B901" s="67" t="s">
        <v>1366</v>
      </c>
      <c r="C901" s="67" t="s">
        <v>1620</v>
      </c>
      <c r="D901" s="2" t="s">
        <v>1505</v>
      </c>
      <c r="E901" s="67" t="s">
        <v>1380</v>
      </c>
      <c r="F901" s="67">
        <v>1</v>
      </c>
      <c r="G901" s="67" t="s">
        <v>508</v>
      </c>
      <c r="H901" s="67" t="s">
        <v>1602</v>
      </c>
    </row>
    <row r="902" spans="1:8" x14ac:dyDescent="0.45">
      <c r="A902" s="67">
        <v>3</v>
      </c>
      <c r="B902" s="67" t="s">
        <v>1366</v>
      </c>
      <c r="C902" s="67" t="s">
        <v>1367</v>
      </c>
      <c r="D902" s="2" t="s">
        <v>1505</v>
      </c>
      <c r="E902" s="67" t="s">
        <v>1380</v>
      </c>
      <c r="F902" s="67">
        <v>2</v>
      </c>
      <c r="G902" s="67" t="s">
        <v>526</v>
      </c>
      <c r="H902" s="67" t="s">
        <v>1602</v>
      </c>
    </row>
    <row r="903" spans="1:8" x14ac:dyDescent="0.45">
      <c r="A903" s="67">
        <v>4</v>
      </c>
      <c r="B903" s="67" t="s">
        <v>1366</v>
      </c>
      <c r="C903" s="67" t="s">
        <v>1376</v>
      </c>
      <c r="D903" s="2" t="s">
        <v>1505</v>
      </c>
      <c r="E903" s="67" t="s">
        <v>1380</v>
      </c>
      <c r="F903" s="67">
        <v>1</v>
      </c>
      <c r="G903" s="67" t="s">
        <v>508</v>
      </c>
      <c r="H903" s="67" t="s">
        <v>1602</v>
      </c>
    </row>
    <row r="904" spans="1:8" x14ac:dyDescent="0.45">
      <c r="A904" s="67">
        <v>5</v>
      </c>
      <c r="B904" s="67" t="s">
        <v>1385</v>
      </c>
      <c r="C904" s="67" t="s">
        <v>1376</v>
      </c>
      <c r="D904" s="2" t="s">
        <v>1621</v>
      </c>
      <c r="E904" s="67" t="s">
        <v>1369</v>
      </c>
      <c r="F904" s="67">
        <v>1</v>
      </c>
      <c r="G904" s="67" t="s">
        <v>508</v>
      </c>
      <c r="H904" s="67" t="s">
        <v>1603</v>
      </c>
    </row>
    <row r="905" spans="1:8" x14ac:dyDescent="0.45">
      <c r="A905" s="67">
        <v>6</v>
      </c>
      <c r="B905" s="67" t="s">
        <v>1385</v>
      </c>
      <c r="C905" s="67" t="s">
        <v>1372</v>
      </c>
      <c r="D905" s="2" t="s">
        <v>1621</v>
      </c>
      <c r="E905" s="67" t="s">
        <v>1369</v>
      </c>
      <c r="F905" s="67">
        <v>4</v>
      </c>
      <c r="G905" s="67" t="s">
        <v>508</v>
      </c>
      <c r="H905" s="67" t="s">
        <v>1603</v>
      </c>
    </row>
    <row r="906" spans="1:8" x14ac:dyDescent="0.45">
      <c r="A906" s="67">
        <v>7</v>
      </c>
      <c r="B906" s="67" t="s">
        <v>1374</v>
      </c>
      <c r="C906" s="67" t="s">
        <v>1483</v>
      </c>
      <c r="D906" s="2" t="s">
        <v>1622</v>
      </c>
      <c r="E906" s="67" t="s">
        <v>1381</v>
      </c>
      <c r="F906" s="67">
        <v>3</v>
      </c>
      <c r="G906" s="67" t="s">
        <v>508</v>
      </c>
      <c r="H906" s="67" t="s">
        <v>1623</v>
      </c>
    </row>
    <row r="907" spans="1:8" x14ac:dyDescent="0.45">
      <c r="A907" s="67">
        <v>8</v>
      </c>
      <c r="B907" s="67" t="s">
        <v>1385</v>
      </c>
      <c r="C907" s="67" t="s">
        <v>1383</v>
      </c>
      <c r="D907" s="2" t="s">
        <v>1621</v>
      </c>
      <c r="E907" s="67" t="s">
        <v>1369</v>
      </c>
      <c r="F907" s="67">
        <v>4</v>
      </c>
      <c r="G907" s="67" t="s">
        <v>508</v>
      </c>
      <c r="H907" s="67" t="s">
        <v>1623</v>
      </c>
    </row>
    <row r="908" spans="1:8" x14ac:dyDescent="0.45">
      <c r="A908" s="67">
        <v>9</v>
      </c>
      <c r="B908" s="67" t="s">
        <v>1385</v>
      </c>
      <c r="C908" s="67" t="s">
        <v>1624</v>
      </c>
      <c r="D908" s="2" t="s">
        <v>1621</v>
      </c>
      <c r="E908" s="67" t="s">
        <v>1625</v>
      </c>
      <c r="F908" s="67">
        <v>3</v>
      </c>
      <c r="G908" s="67" t="s">
        <v>508</v>
      </c>
      <c r="H908" s="67" t="s">
        <v>1623</v>
      </c>
    </row>
    <row r="909" spans="1:8" x14ac:dyDescent="0.45">
      <c r="A909" s="67">
        <v>10</v>
      </c>
      <c r="B909" s="67" t="s">
        <v>1385</v>
      </c>
      <c r="C909" s="67" t="s">
        <v>1384</v>
      </c>
      <c r="D909" s="2" t="s">
        <v>1621</v>
      </c>
      <c r="E909" s="67" t="s">
        <v>1381</v>
      </c>
      <c r="F909" s="67">
        <v>3</v>
      </c>
      <c r="G909" s="67" t="s">
        <v>508</v>
      </c>
      <c r="H909" s="67" t="s">
        <v>1623</v>
      </c>
    </row>
    <row r="910" spans="1:8" x14ac:dyDescent="0.45">
      <c r="A910" s="67">
        <v>11</v>
      </c>
      <c r="B910" s="67" t="s">
        <v>1385</v>
      </c>
      <c r="C910" s="67" t="s">
        <v>1376</v>
      </c>
      <c r="D910" s="2" t="s">
        <v>1626</v>
      </c>
      <c r="E910" s="67" t="s">
        <v>1388</v>
      </c>
      <c r="F910" s="67">
        <v>3</v>
      </c>
      <c r="G910" s="67" t="s">
        <v>508</v>
      </c>
      <c r="H910" s="67" t="s">
        <v>1623</v>
      </c>
    </row>
    <row r="911" spans="1:8" x14ac:dyDescent="0.45">
      <c r="A911" s="67">
        <v>12</v>
      </c>
      <c r="B911" s="67" t="s">
        <v>1385</v>
      </c>
      <c r="C911" s="67" t="s">
        <v>1372</v>
      </c>
      <c r="D911" s="2" t="s">
        <v>1626</v>
      </c>
      <c r="E911" s="67" t="s">
        <v>1388</v>
      </c>
      <c r="F911" s="67">
        <v>16</v>
      </c>
      <c r="G911" s="67" t="s">
        <v>508</v>
      </c>
      <c r="H911" s="67" t="s">
        <v>1623</v>
      </c>
    </row>
    <row r="912" spans="1:8" x14ac:dyDescent="0.45">
      <c r="A912" s="67">
        <v>13</v>
      </c>
      <c r="B912" s="67" t="s">
        <v>1385</v>
      </c>
      <c r="C912" s="67" t="s">
        <v>1367</v>
      </c>
      <c r="D912" s="2" t="s">
        <v>1626</v>
      </c>
      <c r="E912" s="67" t="s">
        <v>1388</v>
      </c>
      <c r="F912" s="67">
        <v>15</v>
      </c>
      <c r="G912" s="67" t="s">
        <v>526</v>
      </c>
      <c r="H912" s="67" t="s">
        <v>1623</v>
      </c>
    </row>
    <row r="913" spans="1:8" x14ac:dyDescent="0.45">
      <c r="A913" s="67">
        <v>14</v>
      </c>
      <c r="B913" s="67" t="s">
        <v>1385</v>
      </c>
      <c r="C913" s="67" t="s">
        <v>1367</v>
      </c>
      <c r="D913" s="2" t="s">
        <v>1621</v>
      </c>
      <c r="E913" s="67" t="s">
        <v>1381</v>
      </c>
      <c r="F913" s="67">
        <v>1</v>
      </c>
      <c r="G913" s="67" t="s">
        <v>526</v>
      </c>
      <c r="H913" s="67" t="s">
        <v>1623</v>
      </c>
    </row>
    <row r="914" spans="1:8" x14ac:dyDescent="0.45">
      <c r="A914" s="67">
        <v>15</v>
      </c>
      <c r="B914" s="67" t="s">
        <v>1385</v>
      </c>
      <c r="C914" s="67" t="s">
        <v>1367</v>
      </c>
      <c r="D914" s="2" t="s">
        <v>1621</v>
      </c>
      <c r="E914" s="67" t="s">
        <v>1369</v>
      </c>
      <c r="F914" s="67">
        <v>6</v>
      </c>
      <c r="G914" s="67" t="s">
        <v>526</v>
      </c>
      <c r="H914" s="67" t="s">
        <v>1623</v>
      </c>
    </row>
    <row r="915" spans="1:8" x14ac:dyDescent="0.45">
      <c r="A915" s="67">
        <v>16</v>
      </c>
      <c r="B915" s="67" t="s">
        <v>1385</v>
      </c>
      <c r="C915" s="67" t="s">
        <v>1627</v>
      </c>
      <c r="D915" s="2" t="s">
        <v>1628</v>
      </c>
      <c r="E915" s="67" t="s">
        <v>1369</v>
      </c>
      <c r="F915" s="67">
        <v>1</v>
      </c>
      <c r="G915" s="67" t="s">
        <v>508</v>
      </c>
      <c r="H915" s="67" t="s">
        <v>1623</v>
      </c>
    </row>
    <row r="916" spans="1:8" x14ac:dyDescent="0.45">
      <c r="A916" s="67">
        <v>17</v>
      </c>
      <c r="B916" s="67" t="s">
        <v>1385</v>
      </c>
      <c r="C916" s="67" t="s">
        <v>1629</v>
      </c>
      <c r="D916" s="2" t="s">
        <v>1628</v>
      </c>
      <c r="E916" s="67" t="s">
        <v>1369</v>
      </c>
      <c r="F916" s="67">
        <v>2</v>
      </c>
      <c r="G916" s="67" t="s">
        <v>508</v>
      </c>
      <c r="H916" s="67" t="s">
        <v>1623</v>
      </c>
    </row>
    <row r="917" spans="1:8" x14ac:dyDescent="0.45">
      <c r="A917" s="67">
        <v>18</v>
      </c>
      <c r="B917" s="67" t="s">
        <v>1385</v>
      </c>
      <c r="C917" s="67" t="s">
        <v>1394</v>
      </c>
      <c r="D917" s="2" t="s">
        <v>1621</v>
      </c>
      <c r="E917" s="67" t="s">
        <v>1630</v>
      </c>
      <c r="F917" s="67">
        <v>1</v>
      </c>
      <c r="G917" s="67" t="s">
        <v>508</v>
      </c>
      <c r="H917" s="67" t="s">
        <v>1603</v>
      </c>
    </row>
    <row r="918" spans="1:8" x14ac:dyDescent="0.45">
      <c r="A918" s="67">
        <v>19</v>
      </c>
      <c r="B918" s="67" t="s">
        <v>1385</v>
      </c>
      <c r="C918" s="67" t="s">
        <v>1384</v>
      </c>
      <c r="D918" s="2" t="s">
        <v>1621</v>
      </c>
      <c r="E918" s="67" t="s">
        <v>1380</v>
      </c>
      <c r="F918" s="67">
        <v>2</v>
      </c>
      <c r="G918" s="67" t="s">
        <v>508</v>
      </c>
      <c r="H918" s="67" t="s">
        <v>1434</v>
      </c>
    </row>
    <row r="919" spans="1:8" x14ac:dyDescent="0.45">
      <c r="A919" s="67">
        <v>20</v>
      </c>
      <c r="B919" s="67"/>
      <c r="C919" s="67" t="s">
        <v>1434</v>
      </c>
      <c r="D919" s="2" t="s">
        <v>1631</v>
      </c>
      <c r="E919" s="67" t="s">
        <v>1380</v>
      </c>
      <c r="F919" s="67">
        <v>1</v>
      </c>
      <c r="G919" s="67" t="s">
        <v>508</v>
      </c>
      <c r="H919" s="67" t="s">
        <v>1434</v>
      </c>
    </row>
    <row r="920" spans="1:8" x14ac:dyDescent="0.45">
      <c r="A920" s="67">
        <v>21</v>
      </c>
      <c r="B920" s="67" t="s">
        <v>1385</v>
      </c>
      <c r="C920" s="67" t="s">
        <v>1394</v>
      </c>
      <c r="D920" s="2" t="s">
        <v>1621</v>
      </c>
      <c r="E920" s="67" t="s">
        <v>1632</v>
      </c>
      <c r="F920" s="67">
        <v>1</v>
      </c>
      <c r="G920" s="67" t="s">
        <v>508</v>
      </c>
      <c r="H920" s="67" t="s">
        <v>1603</v>
      </c>
    </row>
    <row r="921" spans="1:8" x14ac:dyDescent="0.45">
      <c r="A921" s="67">
        <v>22</v>
      </c>
      <c r="B921" s="67" t="s">
        <v>1385</v>
      </c>
      <c r="C921" s="67" t="s">
        <v>1367</v>
      </c>
      <c r="D921" s="2" t="s">
        <v>1621</v>
      </c>
      <c r="E921" s="67" t="s">
        <v>1380</v>
      </c>
      <c r="F921" s="67">
        <v>1</v>
      </c>
      <c r="G921" s="67" t="s">
        <v>526</v>
      </c>
      <c r="H921" s="67" t="s">
        <v>1603</v>
      </c>
    </row>
    <row r="922" spans="1:8" x14ac:dyDescent="0.45">
      <c r="A922" s="67">
        <v>23</v>
      </c>
      <c r="B922" s="67" t="s">
        <v>1385</v>
      </c>
      <c r="C922" s="67" t="s">
        <v>1367</v>
      </c>
      <c r="D922" s="2" t="s">
        <v>1621</v>
      </c>
      <c r="E922" s="67" t="s">
        <v>1471</v>
      </c>
      <c r="F922" s="67">
        <v>6</v>
      </c>
      <c r="G922" s="67" t="s">
        <v>526</v>
      </c>
      <c r="H922" s="67" t="s">
        <v>1603</v>
      </c>
    </row>
    <row r="923" spans="1:8" x14ac:dyDescent="0.45">
      <c r="A923" s="67">
        <v>24</v>
      </c>
      <c r="B923" s="67" t="s">
        <v>1385</v>
      </c>
      <c r="C923" s="67" t="s">
        <v>1629</v>
      </c>
      <c r="D923" s="2" t="s">
        <v>1621</v>
      </c>
      <c r="E923" s="67" t="s">
        <v>1471</v>
      </c>
      <c r="F923" s="67">
        <v>1</v>
      </c>
      <c r="G923" s="67" t="s">
        <v>508</v>
      </c>
      <c r="H923" s="67" t="s">
        <v>1603</v>
      </c>
    </row>
    <row r="924" spans="1:8" x14ac:dyDescent="0.45">
      <c r="A924" s="67">
        <v>25</v>
      </c>
      <c r="B924" s="67" t="s">
        <v>1385</v>
      </c>
      <c r="C924" s="67" t="s">
        <v>1633</v>
      </c>
      <c r="D924" s="2" t="s">
        <v>1621</v>
      </c>
      <c r="E924" s="67" t="s">
        <v>1471</v>
      </c>
      <c r="F924" s="67">
        <v>1</v>
      </c>
      <c r="G924" s="67" t="s">
        <v>508</v>
      </c>
      <c r="H924" s="67" t="s">
        <v>1603</v>
      </c>
    </row>
    <row r="925" spans="1:8" x14ac:dyDescent="0.45">
      <c r="A925" s="67">
        <v>26</v>
      </c>
      <c r="B925" s="67" t="s">
        <v>1634</v>
      </c>
      <c r="C925" s="67" t="s">
        <v>1635</v>
      </c>
      <c r="D925" s="2" t="s">
        <v>1622</v>
      </c>
      <c r="E925" s="67" t="s">
        <v>1636</v>
      </c>
      <c r="F925" s="67">
        <v>4</v>
      </c>
      <c r="G925" s="67" t="s">
        <v>508</v>
      </c>
      <c r="H925" s="67" t="s">
        <v>1603</v>
      </c>
    </row>
    <row r="926" spans="1:8" x14ac:dyDescent="0.45">
      <c r="A926" s="67">
        <v>27</v>
      </c>
      <c r="B926" s="67" t="s">
        <v>1634</v>
      </c>
      <c r="C926" s="67" t="s">
        <v>1637</v>
      </c>
      <c r="D926" s="2" t="s">
        <v>1622</v>
      </c>
      <c r="E926" s="67" t="s">
        <v>1638</v>
      </c>
      <c r="F926" s="67">
        <v>8</v>
      </c>
      <c r="G926" s="67" t="s">
        <v>508</v>
      </c>
      <c r="H926" s="67" t="s">
        <v>1603</v>
      </c>
    </row>
    <row r="927" spans="1:8" ht="16.5" customHeight="1" x14ac:dyDescent="0.45">
      <c r="A927" s="67">
        <v>28</v>
      </c>
      <c r="B927" s="67"/>
      <c r="C927" s="67" t="s">
        <v>1013</v>
      </c>
      <c r="D927" s="2" t="s">
        <v>1639</v>
      </c>
      <c r="E927" s="67" t="s">
        <v>1599</v>
      </c>
      <c r="F927" s="67">
        <v>1</v>
      </c>
      <c r="G927" s="67" t="s">
        <v>508</v>
      </c>
      <c r="H927" s="67"/>
    </row>
    <row r="929" spans="1:8" ht="18" x14ac:dyDescent="0.45">
      <c r="A929" s="611" t="s">
        <v>1655</v>
      </c>
      <c r="B929" s="611"/>
      <c r="C929" s="611"/>
      <c r="D929" s="611"/>
      <c r="E929" s="611"/>
      <c r="F929" s="611"/>
      <c r="G929" s="611"/>
      <c r="H929" s="611"/>
    </row>
    <row r="930" spans="1:8" x14ac:dyDescent="0.45">
      <c r="A930" s="67">
        <v>1</v>
      </c>
      <c r="B930" s="67" t="s">
        <v>1365</v>
      </c>
      <c r="C930" s="67" t="s">
        <v>1616</v>
      </c>
      <c r="D930" s="2" t="s">
        <v>1617</v>
      </c>
      <c r="E930" s="67" t="s">
        <v>1618</v>
      </c>
      <c r="F930" s="67">
        <v>1</v>
      </c>
      <c r="G930" s="67" t="s">
        <v>508</v>
      </c>
      <c r="H930" s="67" t="s">
        <v>1619</v>
      </c>
    </row>
    <row r="931" spans="1:8" x14ac:dyDescent="0.45">
      <c r="A931" s="67">
        <v>2</v>
      </c>
      <c r="B931" s="67" t="s">
        <v>1366</v>
      </c>
      <c r="C931" s="67" t="s">
        <v>1620</v>
      </c>
      <c r="D931" s="2" t="s">
        <v>1505</v>
      </c>
      <c r="E931" s="67" t="s">
        <v>1380</v>
      </c>
      <c r="F931" s="67">
        <v>1</v>
      </c>
      <c r="G931" s="67" t="s">
        <v>508</v>
      </c>
      <c r="H931" s="67" t="s">
        <v>1602</v>
      </c>
    </row>
    <row r="932" spans="1:8" x14ac:dyDescent="0.45">
      <c r="A932" s="67">
        <v>3</v>
      </c>
      <c r="B932" s="67" t="s">
        <v>1366</v>
      </c>
      <c r="C932" s="67" t="s">
        <v>1367</v>
      </c>
      <c r="D932" s="2" t="s">
        <v>1505</v>
      </c>
      <c r="E932" s="67" t="s">
        <v>1380</v>
      </c>
      <c r="F932" s="67">
        <v>2</v>
      </c>
      <c r="G932" s="67" t="s">
        <v>526</v>
      </c>
      <c r="H932" s="67" t="s">
        <v>1602</v>
      </c>
    </row>
    <row r="933" spans="1:8" x14ac:dyDescent="0.45">
      <c r="A933" s="67">
        <v>4</v>
      </c>
      <c r="B933" s="67" t="s">
        <v>1366</v>
      </c>
      <c r="C933" s="67" t="s">
        <v>1376</v>
      </c>
      <c r="D933" s="2" t="s">
        <v>1505</v>
      </c>
      <c r="E933" s="67" t="s">
        <v>1380</v>
      </c>
      <c r="F933" s="67">
        <v>1</v>
      </c>
      <c r="G933" s="67" t="s">
        <v>508</v>
      </c>
      <c r="H933" s="67" t="s">
        <v>1602</v>
      </c>
    </row>
    <row r="934" spans="1:8" x14ac:dyDescent="0.45">
      <c r="A934" s="67">
        <v>5</v>
      </c>
      <c r="B934" s="67" t="s">
        <v>1385</v>
      </c>
      <c r="C934" s="67" t="s">
        <v>1376</v>
      </c>
      <c r="D934" s="2" t="s">
        <v>1621</v>
      </c>
      <c r="E934" s="67" t="s">
        <v>1369</v>
      </c>
      <c r="F934" s="67">
        <v>1</v>
      </c>
      <c r="G934" s="67" t="s">
        <v>508</v>
      </c>
      <c r="H934" s="67" t="s">
        <v>1603</v>
      </c>
    </row>
    <row r="935" spans="1:8" x14ac:dyDescent="0.45">
      <c r="A935" s="67">
        <v>6</v>
      </c>
      <c r="B935" s="67" t="s">
        <v>1385</v>
      </c>
      <c r="C935" s="67" t="s">
        <v>1372</v>
      </c>
      <c r="D935" s="2" t="s">
        <v>1621</v>
      </c>
      <c r="E935" s="67" t="s">
        <v>1369</v>
      </c>
      <c r="F935" s="67">
        <v>4</v>
      </c>
      <c r="G935" s="67" t="s">
        <v>508</v>
      </c>
      <c r="H935" s="67" t="s">
        <v>1603</v>
      </c>
    </row>
    <row r="936" spans="1:8" x14ac:dyDescent="0.45">
      <c r="A936" s="67">
        <v>7</v>
      </c>
      <c r="B936" s="67" t="s">
        <v>1374</v>
      </c>
      <c r="C936" s="67" t="s">
        <v>1483</v>
      </c>
      <c r="D936" s="2" t="s">
        <v>1622</v>
      </c>
      <c r="E936" s="67" t="s">
        <v>1381</v>
      </c>
      <c r="F936" s="67">
        <v>3</v>
      </c>
      <c r="G936" s="67" t="s">
        <v>508</v>
      </c>
      <c r="H936" s="67" t="s">
        <v>1623</v>
      </c>
    </row>
    <row r="937" spans="1:8" x14ac:dyDescent="0.45">
      <c r="A937" s="67">
        <v>8</v>
      </c>
      <c r="B937" s="67" t="s">
        <v>1385</v>
      </c>
      <c r="C937" s="67" t="s">
        <v>1383</v>
      </c>
      <c r="D937" s="2" t="s">
        <v>1621</v>
      </c>
      <c r="E937" s="67" t="s">
        <v>1369</v>
      </c>
      <c r="F937" s="67">
        <v>4</v>
      </c>
      <c r="G937" s="67" t="s">
        <v>508</v>
      </c>
      <c r="H937" s="67" t="s">
        <v>1623</v>
      </c>
    </row>
    <row r="938" spans="1:8" x14ac:dyDescent="0.45">
      <c r="A938" s="67">
        <v>9</v>
      </c>
      <c r="B938" s="67" t="s">
        <v>1385</v>
      </c>
      <c r="C938" s="67" t="s">
        <v>1624</v>
      </c>
      <c r="D938" s="2" t="s">
        <v>1621</v>
      </c>
      <c r="E938" s="67" t="s">
        <v>1625</v>
      </c>
      <c r="F938" s="67">
        <v>3</v>
      </c>
      <c r="G938" s="67" t="s">
        <v>508</v>
      </c>
      <c r="H938" s="67" t="s">
        <v>1623</v>
      </c>
    </row>
    <row r="939" spans="1:8" x14ac:dyDescent="0.45">
      <c r="A939" s="67">
        <v>10</v>
      </c>
      <c r="B939" s="67" t="s">
        <v>1385</v>
      </c>
      <c r="C939" s="67" t="s">
        <v>1384</v>
      </c>
      <c r="D939" s="2" t="s">
        <v>1621</v>
      </c>
      <c r="E939" s="67" t="s">
        <v>1381</v>
      </c>
      <c r="F939" s="67">
        <v>3</v>
      </c>
      <c r="G939" s="67" t="s">
        <v>508</v>
      </c>
      <c r="H939" s="67" t="s">
        <v>1623</v>
      </c>
    </row>
    <row r="940" spans="1:8" x14ac:dyDescent="0.45">
      <c r="A940" s="67">
        <v>11</v>
      </c>
      <c r="B940" s="67" t="s">
        <v>1385</v>
      </c>
      <c r="C940" s="67" t="s">
        <v>1376</v>
      </c>
      <c r="D940" s="2" t="s">
        <v>1626</v>
      </c>
      <c r="E940" s="67" t="s">
        <v>1388</v>
      </c>
      <c r="F940" s="67">
        <v>3</v>
      </c>
      <c r="G940" s="67" t="s">
        <v>508</v>
      </c>
      <c r="H940" s="67" t="s">
        <v>1623</v>
      </c>
    </row>
    <row r="941" spans="1:8" x14ac:dyDescent="0.45">
      <c r="A941" s="67">
        <v>12</v>
      </c>
      <c r="B941" s="67" t="s">
        <v>1385</v>
      </c>
      <c r="C941" s="67" t="s">
        <v>1372</v>
      </c>
      <c r="D941" s="2" t="s">
        <v>1626</v>
      </c>
      <c r="E941" s="67" t="s">
        <v>1388</v>
      </c>
      <c r="F941" s="67">
        <v>16</v>
      </c>
      <c r="G941" s="67" t="s">
        <v>508</v>
      </c>
      <c r="H941" s="67" t="s">
        <v>1623</v>
      </c>
    </row>
    <row r="942" spans="1:8" x14ac:dyDescent="0.45">
      <c r="A942" s="67">
        <v>13</v>
      </c>
      <c r="B942" s="67" t="s">
        <v>1385</v>
      </c>
      <c r="C942" s="67" t="s">
        <v>1367</v>
      </c>
      <c r="D942" s="2" t="s">
        <v>1626</v>
      </c>
      <c r="E942" s="67" t="s">
        <v>1388</v>
      </c>
      <c r="F942" s="67">
        <v>15</v>
      </c>
      <c r="G942" s="67" t="s">
        <v>526</v>
      </c>
      <c r="H942" s="67" t="s">
        <v>1623</v>
      </c>
    </row>
    <row r="943" spans="1:8" x14ac:dyDescent="0.45">
      <c r="A943" s="67">
        <v>14</v>
      </c>
      <c r="B943" s="67" t="s">
        <v>1385</v>
      </c>
      <c r="C943" s="67" t="s">
        <v>1367</v>
      </c>
      <c r="D943" s="2" t="s">
        <v>1621</v>
      </c>
      <c r="E943" s="67" t="s">
        <v>1381</v>
      </c>
      <c r="F943" s="67">
        <v>1</v>
      </c>
      <c r="G943" s="67" t="s">
        <v>526</v>
      </c>
      <c r="H943" s="67" t="s">
        <v>1623</v>
      </c>
    </row>
    <row r="944" spans="1:8" x14ac:dyDescent="0.45">
      <c r="A944" s="67">
        <v>15</v>
      </c>
      <c r="B944" s="67" t="s">
        <v>1385</v>
      </c>
      <c r="C944" s="67" t="s">
        <v>1367</v>
      </c>
      <c r="D944" s="2" t="s">
        <v>1621</v>
      </c>
      <c r="E944" s="67" t="s">
        <v>1369</v>
      </c>
      <c r="F944" s="67">
        <v>6</v>
      </c>
      <c r="G944" s="67" t="s">
        <v>526</v>
      </c>
      <c r="H944" s="67" t="s">
        <v>1623</v>
      </c>
    </row>
    <row r="945" spans="1:8" x14ac:dyDescent="0.45">
      <c r="A945" s="67">
        <v>16</v>
      </c>
      <c r="B945" s="67" t="s">
        <v>1385</v>
      </c>
      <c r="C945" s="67" t="s">
        <v>1627</v>
      </c>
      <c r="D945" s="2" t="s">
        <v>1628</v>
      </c>
      <c r="E945" s="67" t="s">
        <v>1369</v>
      </c>
      <c r="F945" s="67">
        <v>1</v>
      </c>
      <c r="G945" s="67" t="s">
        <v>508</v>
      </c>
      <c r="H945" s="67" t="s">
        <v>1623</v>
      </c>
    </row>
    <row r="946" spans="1:8" x14ac:dyDescent="0.45">
      <c r="A946" s="67">
        <v>17</v>
      </c>
      <c r="B946" s="67" t="s">
        <v>1385</v>
      </c>
      <c r="C946" s="67" t="s">
        <v>1629</v>
      </c>
      <c r="D946" s="2" t="s">
        <v>1628</v>
      </c>
      <c r="E946" s="67" t="s">
        <v>1369</v>
      </c>
      <c r="F946" s="67">
        <v>2</v>
      </c>
      <c r="G946" s="67" t="s">
        <v>508</v>
      </c>
      <c r="H946" s="67" t="s">
        <v>1623</v>
      </c>
    </row>
    <row r="947" spans="1:8" x14ac:dyDescent="0.45">
      <c r="A947" s="67">
        <v>18</v>
      </c>
      <c r="B947" s="67" t="s">
        <v>1385</v>
      </c>
      <c r="C947" s="67" t="s">
        <v>1394</v>
      </c>
      <c r="D947" s="2" t="s">
        <v>1621</v>
      </c>
      <c r="E947" s="67" t="s">
        <v>1630</v>
      </c>
      <c r="F947" s="67">
        <v>1</v>
      </c>
      <c r="G947" s="67" t="s">
        <v>508</v>
      </c>
      <c r="H947" s="67" t="s">
        <v>1603</v>
      </c>
    </row>
    <row r="948" spans="1:8" x14ac:dyDescent="0.45">
      <c r="A948" s="67">
        <v>19</v>
      </c>
      <c r="B948" s="67" t="s">
        <v>1385</v>
      </c>
      <c r="C948" s="67" t="s">
        <v>1384</v>
      </c>
      <c r="D948" s="2" t="s">
        <v>1621</v>
      </c>
      <c r="E948" s="67" t="s">
        <v>1380</v>
      </c>
      <c r="F948" s="67">
        <v>2</v>
      </c>
      <c r="G948" s="67" t="s">
        <v>508</v>
      </c>
      <c r="H948" s="67" t="s">
        <v>1434</v>
      </c>
    </row>
    <row r="949" spans="1:8" x14ac:dyDescent="0.45">
      <c r="A949" s="67">
        <v>20</v>
      </c>
      <c r="B949" s="67"/>
      <c r="C949" s="67" t="s">
        <v>1434</v>
      </c>
      <c r="D949" s="2" t="s">
        <v>1631</v>
      </c>
      <c r="E949" s="67" t="s">
        <v>1380</v>
      </c>
      <c r="F949" s="67">
        <v>1</v>
      </c>
      <c r="G949" s="67" t="s">
        <v>508</v>
      </c>
      <c r="H949" s="67" t="s">
        <v>1434</v>
      </c>
    </row>
    <row r="950" spans="1:8" x14ac:dyDescent="0.45">
      <c r="A950" s="67">
        <v>21</v>
      </c>
      <c r="B950" s="67" t="s">
        <v>1385</v>
      </c>
      <c r="C950" s="67" t="s">
        <v>1394</v>
      </c>
      <c r="D950" s="2" t="s">
        <v>1621</v>
      </c>
      <c r="E950" s="67" t="s">
        <v>1632</v>
      </c>
      <c r="F950" s="67">
        <v>1</v>
      </c>
      <c r="G950" s="67" t="s">
        <v>508</v>
      </c>
      <c r="H950" s="67" t="s">
        <v>1603</v>
      </c>
    </row>
    <row r="951" spans="1:8" x14ac:dyDescent="0.45">
      <c r="A951" s="67">
        <v>22</v>
      </c>
      <c r="B951" s="67" t="s">
        <v>1385</v>
      </c>
      <c r="C951" s="67" t="s">
        <v>1367</v>
      </c>
      <c r="D951" s="2" t="s">
        <v>1621</v>
      </c>
      <c r="E951" s="67" t="s">
        <v>1380</v>
      </c>
      <c r="F951" s="67">
        <v>1</v>
      </c>
      <c r="G951" s="67" t="s">
        <v>526</v>
      </c>
      <c r="H951" s="67" t="s">
        <v>1603</v>
      </c>
    </row>
    <row r="952" spans="1:8" x14ac:dyDescent="0.45">
      <c r="A952" s="67">
        <v>23</v>
      </c>
      <c r="B952" s="67" t="s">
        <v>1385</v>
      </c>
      <c r="C952" s="67" t="s">
        <v>1367</v>
      </c>
      <c r="D952" s="2" t="s">
        <v>1621</v>
      </c>
      <c r="E952" s="67" t="s">
        <v>1471</v>
      </c>
      <c r="F952" s="67">
        <v>6</v>
      </c>
      <c r="G952" s="67" t="s">
        <v>526</v>
      </c>
      <c r="H952" s="67" t="s">
        <v>1603</v>
      </c>
    </row>
    <row r="953" spans="1:8" x14ac:dyDescent="0.45">
      <c r="A953" s="67">
        <v>24</v>
      </c>
      <c r="B953" s="67" t="s">
        <v>1385</v>
      </c>
      <c r="C953" s="67" t="s">
        <v>1629</v>
      </c>
      <c r="D953" s="2" t="s">
        <v>1621</v>
      </c>
      <c r="E953" s="67" t="s">
        <v>1471</v>
      </c>
      <c r="F953" s="67">
        <v>1</v>
      </c>
      <c r="G953" s="67" t="s">
        <v>508</v>
      </c>
      <c r="H953" s="67" t="s">
        <v>1603</v>
      </c>
    </row>
    <row r="954" spans="1:8" x14ac:dyDescent="0.45">
      <c r="A954" s="67">
        <v>25</v>
      </c>
      <c r="B954" s="67" t="s">
        <v>1385</v>
      </c>
      <c r="C954" s="67" t="s">
        <v>1633</v>
      </c>
      <c r="D954" s="2" t="s">
        <v>1621</v>
      </c>
      <c r="E954" s="67" t="s">
        <v>1471</v>
      </c>
      <c r="F954" s="67">
        <v>1</v>
      </c>
      <c r="G954" s="67" t="s">
        <v>508</v>
      </c>
      <c r="H954" s="67" t="s">
        <v>1603</v>
      </c>
    </row>
    <row r="955" spans="1:8" x14ac:dyDescent="0.45">
      <c r="A955" s="67">
        <v>26</v>
      </c>
      <c r="B955" s="67" t="s">
        <v>1634</v>
      </c>
      <c r="C955" s="67" t="s">
        <v>1635</v>
      </c>
      <c r="D955" s="2" t="s">
        <v>1622</v>
      </c>
      <c r="E955" s="67" t="s">
        <v>1636</v>
      </c>
      <c r="F955" s="67">
        <v>4</v>
      </c>
      <c r="G955" s="67" t="s">
        <v>508</v>
      </c>
      <c r="H955" s="67" t="s">
        <v>1603</v>
      </c>
    </row>
    <row r="956" spans="1:8" x14ac:dyDescent="0.45">
      <c r="A956" s="67">
        <v>27</v>
      </c>
      <c r="B956" s="67" t="s">
        <v>1634</v>
      </c>
      <c r="C956" s="67" t="s">
        <v>1637</v>
      </c>
      <c r="D956" s="2" t="s">
        <v>1622</v>
      </c>
      <c r="E956" s="67" t="s">
        <v>1638</v>
      </c>
      <c r="F956" s="67">
        <v>8</v>
      </c>
      <c r="G956" s="67" t="s">
        <v>508</v>
      </c>
      <c r="H956" s="67" t="s">
        <v>1603</v>
      </c>
    </row>
    <row r="957" spans="1:8" x14ac:dyDescent="0.45">
      <c r="A957" s="67">
        <v>28</v>
      </c>
      <c r="B957" s="67"/>
      <c r="C957" s="67" t="s">
        <v>1013</v>
      </c>
      <c r="D957" s="2" t="s">
        <v>1639</v>
      </c>
      <c r="E957" s="67" t="s">
        <v>1599</v>
      </c>
      <c r="F957" s="67">
        <v>1</v>
      </c>
      <c r="G957" s="67" t="s">
        <v>508</v>
      </c>
      <c r="H957" s="67"/>
    </row>
    <row r="959" spans="1:8" ht="18" x14ac:dyDescent="0.45">
      <c r="A959" s="611" t="s">
        <v>1656</v>
      </c>
      <c r="B959" s="611"/>
      <c r="C959" s="611"/>
      <c r="D959" s="611"/>
      <c r="E959" s="611"/>
      <c r="F959" s="611"/>
      <c r="G959" s="611"/>
      <c r="H959" s="611"/>
    </row>
    <row r="960" spans="1:8" x14ac:dyDescent="0.45">
      <c r="A960" s="67">
        <v>1</v>
      </c>
      <c r="B960" s="67" t="s">
        <v>1365</v>
      </c>
      <c r="C960" s="67" t="s">
        <v>1616</v>
      </c>
      <c r="D960" s="2" t="s">
        <v>1617</v>
      </c>
      <c r="E960" s="67" t="s">
        <v>1618</v>
      </c>
      <c r="F960" s="67">
        <v>1</v>
      </c>
      <c r="G960" s="67" t="s">
        <v>508</v>
      </c>
      <c r="H960" s="67" t="s">
        <v>1619</v>
      </c>
    </row>
    <row r="961" spans="1:8" x14ac:dyDescent="0.45">
      <c r="A961" s="67">
        <v>2</v>
      </c>
      <c r="B961" s="67" t="s">
        <v>1366</v>
      </c>
      <c r="C961" s="67" t="s">
        <v>1620</v>
      </c>
      <c r="D961" s="2" t="s">
        <v>1505</v>
      </c>
      <c r="E961" s="67" t="s">
        <v>1380</v>
      </c>
      <c r="F961" s="67">
        <v>1</v>
      </c>
      <c r="G961" s="67" t="s">
        <v>508</v>
      </c>
      <c r="H961" s="67" t="s">
        <v>1602</v>
      </c>
    </row>
    <row r="962" spans="1:8" x14ac:dyDescent="0.45">
      <c r="A962" s="67">
        <v>3</v>
      </c>
      <c r="B962" s="67" t="s">
        <v>1366</v>
      </c>
      <c r="C962" s="67" t="s">
        <v>1367</v>
      </c>
      <c r="D962" s="2" t="s">
        <v>1505</v>
      </c>
      <c r="E962" s="67" t="s">
        <v>1380</v>
      </c>
      <c r="F962" s="67">
        <v>2</v>
      </c>
      <c r="G962" s="67" t="s">
        <v>526</v>
      </c>
      <c r="H962" s="67" t="s">
        <v>1602</v>
      </c>
    </row>
    <row r="963" spans="1:8" x14ac:dyDescent="0.45">
      <c r="A963" s="67">
        <v>4</v>
      </c>
      <c r="B963" s="67" t="s">
        <v>1366</v>
      </c>
      <c r="C963" s="67" t="s">
        <v>1376</v>
      </c>
      <c r="D963" s="2" t="s">
        <v>1505</v>
      </c>
      <c r="E963" s="67" t="s">
        <v>1380</v>
      </c>
      <c r="F963" s="67">
        <v>1</v>
      </c>
      <c r="G963" s="67" t="s">
        <v>508</v>
      </c>
      <c r="H963" s="67" t="s">
        <v>1602</v>
      </c>
    </row>
    <row r="964" spans="1:8" x14ac:dyDescent="0.45">
      <c r="A964" s="67">
        <v>5</v>
      </c>
      <c r="B964" s="67" t="s">
        <v>1385</v>
      </c>
      <c r="C964" s="67" t="s">
        <v>1376</v>
      </c>
      <c r="D964" s="2" t="s">
        <v>1621</v>
      </c>
      <c r="E964" s="67" t="s">
        <v>1369</v>
      </c>
      <c r="F964" s="67">
        <v>1</v>
      </c>
      <c r="G964" s="67" t="s">
        <v>508</v>
      </c>
      <c r="H964" s="67" t="s">
        <v>1603</v>
      </c>
    </row>
    <row r="965" spans="1:8" x14ac:dyDescent="0.45">
      <c r="A965" s="67">
        <v>6</v>
      </c>
      <c r="B965" s="67" t="s">
        <v>1385</v>
      </c>
      <c r="C965" s="67" t="s">
        <v>1372</v>
      </c>
      <c r="D965" s="2" t="s">
        <v>1621</v>
      </c>
      <c r="E965" s="67" t="s">
        <v>1369</v>
      </c>
      <c r="F965" s="67">
        <v>4</v>
      </c>
      <c r="G965" s="67" t="s">
        <v>508</v>
      </c>
      <c r="H965" s="67" t="s">
        <v>1603</v>
      </c>
    </row>
    <row r="966" spans="1:8" x14ac:dyDescent="0.45">
      <c r="A966" s="67">
        <v>7</v>
      </c>
      <c r="B966" s="67" t="s">
        <v>1374</v>
      </c>
      <c r="C966" s="67" t="s">
        <v>1483</v>
      </c>
      <c r="D966" s="2" t="s">
        <v>1622</v>
      </c>
      <c r="E966" s="67" t="s">
        <v>1381</v>
      </c>
      <c r="F966" s="67">
        <v>3</v>
      </c>
      <c r="G966" s="67" t="s">
        <v>508</v>
      </c>
      <c r="H966" s="67" t="s">
        <v>1623</v>
      </c>
    </row>
    <row r="967" spans="1:8" x14ac:dyDescent="0.45">
      <c r="A967" s="67">
        <v>8</v>
      </c>
      <c r="B967" s="67" t="s">
        <v>1385</v>
      </c>
      <c r="C967" s="67" t="s">
        <v>1383</v>
      </c>
      <c r="D967" s="2" t="s">
        <v>1621</v>
      </c>
      <c r="E967" s="67" t="s">
        <v>1369</v>
      </c>
      <c r="F967" s="67">
        <v>4</v>
      </c>
      <c r="G967" s="67" t="s">
        <v>508</v>
      </c>
      <c r="H967" s="67" t="s">
        <v>1623</v>
      </c>
    </row>
    <row r="968" spans="1:8" x14ac:dyDescent="0.45">
      <c r="A968" s="67">
        <v>9</v>
      </c>
      <c r="B968" s="67" t="s">
        <v>1385</v>
      </c>
      <c r="C968" s="67" t="s">
        <v>1624</v>
      </c>
      <c r="D968" s="2" t="s">
        <v>1621</v>
      </c>
      <c r="E968" s="67" t="s">
        <v>1625</v>
      </c>
      <c r="F968" s="67">
        <v>3</v>
      </c>
      <c r="G968" s="67" t="s">
        <v>508</v>
      </c>
      <c r="H968" s="67" t="s">
        <v>1623</v>
      </c>
    </row>
    <row r="969" spans="1:8" x14ac:dyDescent="0.45">
      <c r="A969" s="67">
        <v>10</v>
      </c>
      <c r="B969" s="67" t="s">
        <v>1385</v>
      </c>
      <c r="C969" s="67" t="s">
        <v>1384</v>
      </c>
      <c r="D969" s="2" t="s">
        <v>1621</v>
      </c>
      <c r="E969" s="67" t="s">
        <v>1381</v>
      </c>
      <c r="F969" s="67">
        <v>3</v>
      </c>
      <c r="G969" s="67" t="s">
        <v>508</v>
      </c>
      <c r="H969" s="67" t="s">
        <v>1623</v>
      </c>
    </row>
    <row r="970" spans="1:8" x14ac:dyDescent="0.45">
      <c r="A970" s="67">
        <v>11</v>
      </c>
      <c r="B970" s="67" t="s">
        <v>1385</v>
      </c>
      <c r="C970" s="67" t="s">
        <v>1376</v>
      </c>
      <c r="D970" s="2" t="s">
        <v>1626</v>
      </c>
      <c r="E970" s="67" t="s">
        <v>1388</v>
      </c>
      <c r="F970" s="67">
        <v>3</v>
      </c>
      <c r="G970" s="67" t="s">
        <v>508</v>
      </c>
      <c r="H970" s="67" t="s">
        <v>1623</v>
      </c>
    </row>
    <row r="971" spans="1:8" x14ac:dyDescent="0.45">
      <c r="A971" s="67">
        <v>12</v>
      </c>
      <c r="B971" s="67" t="s">
        <v>1385</v>
      </c>
      <c r="C971" s="67" t="s">
        <v>1372</v>
      </c>
      <c r="D971" s="2" t="s">
        <v>1626</v>
      </c>
      <c r="E971" s="67" t="s">
        <v>1388</v>
      </c>
      <c r="F971" s="67">
        <v>16</v>
      </c>
      <c r="G971" s="67" t="s">
        <v>508</v>
      </c>
      <c r="H971" s="67" t="s">
        <v>1623</v>
      </c>
    </row>
    <row r="972" spans="1:8" x14ac:dyDescent="0.45">
      <c r="A972" s="67">
        <v>13</v>
      </c>
      <c r="B972" s="67" t="s">
        <v>1385</v>
      </c>
      <c r="C972" s="67" t="s">
        <v>1367</v>
      </c>
      <c r="D972" s="2" t="s">
        <v>1626</v>
      </c>
      <c r="E972" s="67" t="s">
        <v>1388</v>
      </c>
      <c r="F972" s="67">
        <v>15</v>
      </c>
      <c r="G972" s="67" t="s">
        <v>526</v>
      </c>
      <c r="H972" s="67" t="s">
        <v>1623</v>
      </c>
    </row>
    <row r="973" spans="1:8" x14ac:dyDescent="0.45">
      <c r="A973" s="67">
        <v>14</v>
      </c>
      <c r="B973" s="67" t="s">
        <v>1385</v>
      </c>
      <c r="C973" s="67" t="s">
        <v>1367</v>
      </c>
      <c r="D973" s="2" t="s">
        <v>1621</v>
      </c>
      <c r="E973" s="67" t="s">
        <v>1381</v>
      </c>
      <c r="F973" s="67">
        <v>1</v>
      </c>
      <c r="G973" s="67" t="s">
        <v>526</v>
      </c>
      <c r="H973" s="67" t="s">
        <v>1623</v>
      </c>
    </row>
    <row r="974" spans="1:8" x14ac:dyDescent="0.45">
      <c r="A974" s="67">
        <v>15</v>
      </c>
      <c r="B974" s="67" t="s">
        <v>1385</v>
      </c>
      <c r="C974" s="67" t="s">
        <v>1367</v>
      </c>
      <c r="D974" s="2" t="s">
        <v>1621</v>
      </c>
      <c r="E974" s="67" t="s">
        <v>1369</v>
      </c>
      <c r="F974" s="67">
        <v>6</v>
      </c>
      <c r="G974" s="67" t="s">
        <v>526</v>
      </c>
      <c r="H974" s="67" t="s">
        <v>1623</v>
      </c>
    </row>
    <row r="975" spans="1:8" x14ac:dyDescent="0.45">
      <c r="A975" s="67">
        <v>16</v>
      </c>
      <c r="B975" s="67" t="s">
        <v>1385</v>
      </c>
      <c r="C975" s="67" t="s">
        <v>1627</v>
      </c>
      <c r="D975" s="2" t="s">
        <v>1628</v>
      </c>
      <c r="E975" s="67" t="s">
        <v>1369</v>
      </c>
      <c r="F975" s="67">
        <v>1</v>
      </c>
      <c r="G975" s="67" t="s">
        <v>508</v>
      </c>
      <c r="H975" s="67" t="s">
        <v>1623</v>
      </c>
    </row>
    <row r="976" spans="1:8" x14ac:dyDescent="0.45">
      <c r="A976" s="67">
        <v>17</v>
      </c>
      <c r="B976" s="67" t="s">
        <v>1385</v>
      </c>
      <c r="C976" s="67" t="s">
        <v>1629</v>
      </c>
      <c r="D976" s="2" t="s">
        <v>1628</v>
      </c>
      <c r="E976" s="67" t="s">
        <v>1369</v>
      </c>
      <c r="F976" s="67">
        <v>2</v>
      </c>
      <c r="G976" s="67" t="s">
        <v>508</v>
      </c>
      <c r="H976" s="67" t="s">
        <v>1623</v>
      </c>
    </row>
    <row r="977" spans="1:8" x14ac:dyDescent="0.45">
      <c r="A977" s="67">
        <v>18</v>
      </c>
      <c r="B977" s="67" t="s">
        <v>1385</v>
      </c>
      <c r="C977" s="67" t="s">
        <v>1394</v>
      </c>
      <c r="D977" s="2" t="s">
        <v>1621</v>
      </c>
      <c r="E977" s="67" t="s">
        <v>1630</v>
      </c>
      <c r="F977" s="67">
        <v>1</v>
      </c>
      <c r="G977" s="67" t="s">
        <v>508</v>
      </c>
      <c r="H977" s="67" t="s">
        <v>1603</v>
      </c>
    </row>
    <row r="978" spans="1:8" x14ac:dyDescent="0.45">
      <c r="A978" s="67">
        <v>19</v>
      </c>
      <c r="B978" s="67" t="s">
        <v>1385</v>
      </c>
      <c r="C978" s="67" t="s">
        <v>1384</v>
      </c>
      <c r="D978" s="2" t="s">
        <v>1621</v>
      </c>
      <c r="E978" s="67" t="s">
        <v>1380</v>
      </c>
      <c r="F978" s="67">
        <v>2</v>
      </c>
      <c r="G978" s="67" t="s">
        <v>508</v>
      </c>
      <c r="H978" s="67" t="s">
        <v>1434</v>
      </c>
    </row>
    <row r="979" spans="1:8" x14ac:dyDescent="0.45">
      <c r="A979" s="67">
        <v>20</v>
      </c>
      <c r="B979" s="67"/>
      <c r="C979" s="67" t="s">
        <v>1434</v>
      </c>
      <c r="D979" s="2" t="s">
        <v>1631</v>
      </c>
      <c r="E979" s="67" t="s">
        <v>1380</v>
      </c>
      <c r="F979" s="67">
        <v>1</v>
      </c>
      <c r="G979" s="67" t="s">
        <v>508</v>
      </c>
      <c r="H979" s="67" t="s">
        <v>1434</v>
      </c>
    </row>
    <row r="980" spans="1:8" x14ac:dyDescent="0.45">
      <c r="A980" s="67">
        <v>21</v>
      </c>
      <c r="B980" s="67" t="s">
        <v>1385</v>
      </c>
      <c r="C980" s="67" t="s">
        <v>1394</v>
      </c>
      <c r="D980" s="2" t="s">
        <v>1621</v>
      </c>
      <c r="E980" s="67" t="s">
        <v>1632</v>
      </c>
      <c r="F980" s="67">
        <v>1</v>
      </c>
      <c r="G980" s="67" t="s">
        <v>508</v>
      </c>
      <c r="H980" s="67" t="s">
        <v>1603</v>
      </c>
    </row>
    <row r="981" spans="1:8" x14ac:dyDescent="0.45">
      <c r="A981" s="67">
        <v>22</v>
      </c>
      <c r="B981" s="67" t="s">
        <v>1385</v>
      </c>
      <c r="C981" s="67" t="s">
        <v>1367</v>
      </c>
      <c r="D981" s="2" t="s">
        <v>1621</v>
      </c>
      <c r="E981" s="67" t="s">
        <v>1380</v>
      </c>
      <c r="F981" s="67">
        <v>1</v>
      </c>
      <c r="G981" s="67" t="s">
        <v>526</v>
      </c>
      <c r="H981" s="67" t="s">
        <v>1603</v>
      </c>
    </row>
    <row r="982" spans="1:8" x14ac:dyDescent="0.45">
      <c r="A982" s="67">
        <v>23</v>
      </c>
      <c r="B982" s="67" t="s">
        <v>1385</v>
      </c>
      <c r="C982" s="67" t="s">
        <v>1367</v>
      </c>
      <c r="D982" s="2" t="s">
        <v>1621</v>
      </c>
      <c r="E982" s="67" t="s">
        <v>1471</v>
      </c>
      <c r="F982" s="67">
        <v>6</v>
      </c>
      <c r="G982" s="67" t="s">
        <v>526</v>
      </c>
      <c r="H982" s="67" t="s">
        <v>1603</v>
      </c>
    </row>
    <row r="983" spans="1:8" x14ac:dyDescent="0.45">
      <c r="A983" s="67">
        <v>24</v>
      </c>
      <c r="B983" s="67" t="s">
        <v>1385</v>
      </c>
      <c r="C983" s="67" t="s">
        <v>1629</v>
      </c>
      <c r="D983" s="2" t="s">
        <v>1621</v>
      </c>
      <c r="E983" s="67" t="s">
        <v>1471</v>
      </c>
      <c r="F983" s="67">
        <v>1</v>
      </c>
      <c r="G983" s="67" t="s">
        <v>508</v>
      </c>
      <c r="H983" s="67" t="s">
        <v>1603</v>
      </c>
    </row>
    <row r="984" spans="1:8" x14ac:dyDescent="0.45">
      <c r="A984" s="67">
        <v>25</v>
      </c>
      <c r="B984" s="67" t="s">
        <v>1385</v>
      </c>
      <c r="C984" s="67" t="s">
        <v>1633</v>
      </c>
      <c r="D984" s="2" t="s">
        <v>1621</v>
      </c>
      <c r="E984" s="67" t="s">
        <v>1471</v>
      </c>
      <c r="F984" s="67">
        <v>1</v>
      </c>
      <c r="G984" s="67" t="s">
        <v>508</v>
      </c>
      <c r="H984" s="67" t="s">
        <v>1603</v>
      </c>
    </row>
    <row r="985" spans="1:8" x14ac:dyDescent="0.45">
      <c r="A985" s="67">
        <v>26</v>
      </c>
      <c r="B985" s="67" t="s">
        <v>1634</v>
      </c>
      <c r="C985" s="67" t="s">
        <v>1635</v>
      </c>
      <c r="D985" s="2" t="s">
        <v>1622</v>
      </c>
      <c r="E985" s="67" t="s">
        <v>1636</v>
      </c>
      <c r="F985" s="67">
        <v>4</v>
      </c>
      <c r="G985" s="67" t="s">
        <v>508</v>
      </c>
      <c r="H985" s="67" t="s">
        <v>1603</v>
      </c>
    </row>
    <row r="986" spans="1:8" x14ac:dyDescent="0.45">
      <c r="A986" s="67">
        <v>27</v>
      </c>
      <c r="B986" s="67" t="s">
        <v>1634</v>
      </c>
      <c r="C986" s="67" t="s">
        <v>1637</v>
      </c>
      <c r="D986" s="2" t="s">
        <v>1622</v>
      </c>
      <c r="E986" s="67" t="s">
        <v>1638</v>
      </c>
      <c r="F986" s="67">
        <v>8</v>
      </c>
      <c r="G986" s="67" t="s">
        <v>508</v>
      </c>
      <c r="H986" s="67" t="s">
        <v>1603</v>
      </c>
    </row>
    <row r="987" spans="1:8" x14ac:dyDescent="0.45">
      <c r="A987" s="67">
        <v>28</v>
      </c>
      <c r="B987" s="67"/>
      <c r="C987" s="67" t="s">
        <v>1013</v>
      </c>
      <c r="D987" s="2" t="s">
        <v>1639</v>
      </c>
      <c r="E987" s="67" t="s">
        <v>1599</v>
      </c>
      <c r="F987" s="67">
        <v>1</v>
      </c>
      <c r="G987" s="67" t="s">
        <v>508</v>
      </c>
      <c r="H987" s="67"/>
    </row>
    <row r="989" spans="1:8" ht="18" x14ac:dyDescent="0.45">
      <c r="A989" s="611" t="s">
        <v>1657</v>
      </c>
      <c r="B989" s="611"/>
      <c r="C989" s="611"/>
      <c r="D989" s="611"/>
      <c r="E989" s="611"/>
      <c r="F989" s="611"/>
      <c r="G989" s="611"/>
      <c r="H989" s="611"/>
    </row>
    <row r="990" spans="1:8" x14ac:dyDescent="0.45">
      <c r="A990" s="67">
        <v>1</v>
      </c>
      <c r="B990" s="67" t="s">
        <v>1365</v>
      </c>
      <c r="C990" s="67" t="s">
        <v>1642</v>
      </c>
      <c r="D990" s="2" t="s">
        <v>1617</v>
      </c>
      <c r="E990" s="67" t="s">
        <v>1650</v>
      </c>
      <c r="F990" s="67">
        <v>1</v>
      </c>
      <c r="G990" s="67" t="s">
        <v>508</v>
      </c>
      <c r="H990" s="67" t="s">
        <v>1644</v>
      </c>
    </row>
    <row r="991" spans="1:8" x14ac:dyDescent="0.45">
      <c r="A991" s="67">
        <v>2</v>
      </c>
      <c r="B991" s="67" t="s">
        <v>1366</v>
      </c>
      <c r="C991" s="67" t="s">
        <v>1620</v>
      </c>
      <c r="D991" s="2" t="s">
        <v>1505</v>
      </c>
      <c r="E991" s="67" t="s">
        <v>1369</v>
      </c>
      <c r="F991" s="67">
        <v>1</v>
      </c>
      <c r="G991" s="67" t="s">
        <v>508</v>
      </c>
      <c r="H991" s="67" t="s">
        <v>1602</v>
      </c>
    </row>
    <row r="992" spans="1:8" x14ac:dyDescent="0.45">
      <c r="A992" s="67">
        <v>3</v>
      </c>
      <c r="B992" s="67" t="s">
        <v>1366</v>
      </c>
      <c r="C992" s="67" t="s">
        <v>1367</v>
      </c>
      <c r="D992" s="2" t="s">
        <v>1505</v>
      </c>
      <c r="E992" s="67" t="s">
        <v>1369</v>
      </c>
      <c r="F992" s="67">
        <v>2</v>
      </c>
      <c r="G992" s="67" t="s">
        <v>526</v>
      </c>
      <c r="H992" s="67" t="s">
        <v>1602</v>
      </c>
    </row>
    <row r="993" spans="1:8" x14ac:dyDescent="0.45">
      <c r="A993" s="67">
        <v>4</v>
      </c>
      <c r="B993" s="67" t="s">
        <v>1366</v>
      </c>
      <c r="C993" s="67" t="s">
        <v>1376</v>
      </c>
      <c r="D993" s="2" t="s">
        <v>1505</v>
      </c>
      <c r="E993" s="67" t="s">
        <v>1369</v>
      </c>
      <c r="F993" s="67">
        <v>1</v>
      </c>
      <c r="G993" s="67" t="s">
        <v>508</v>
      </c>
      <c r="H993" s="67" t="s">
        <v>1602</v>
      </c>
    </row>
    <row r="994" spans="1:8" x14ac:dyDescent="0.45">
      <c r="A994" s="67">
        <v>5</v>
      </c>
      <c r="B994" s="67" t="s">
        <v>1385</v>
      </c>
      <c r="C994" s="67" t="s">
        <v>1376</v>
      </c>
      <c r="D994" s="2" t="s">
        <v>1621</v>
      </c>
      <c r="E994" s="67" t="s">
        <v>1369</v>
      </c>
      <c r="F994" s="67">
        <v>1</v>
      </c>
      <c r="G994" s="67" t="s">
        <v>508</v>
      </c>
      <c r="H994" s="67" t="s">
        <v>1603</v>
      </c>
    </row>
    <row r="995" spans="1:8" x14ac:dyDescent="0.45">
      <c r="A995" s="67">
        <v>6</v>
      </c>
      <c r="B995" s="67" t="s">
        <v>1385</v>
      </c>
      <c r="C995" s="67" t="s">
        <v>1372</v>
      </c>
      <c r="D995" s="2" t="s">
        <v>1621</v>
      </c>
      <c r="E995" s="67" t="s">
        <v>1369</v>
      </c>
      <c r="F995" s="67">
        <v>4</v>
      </c>
      <c r="G995" s="67" t="s">
        <v>508</v>
      </c>
      <c r="H995" s="67" t="s">
        <v>1603</v>
      </c>
    </row>
    <row r="996" spans="1:8" x14ac:dyDescent="0.45">
      <c r="A996" s="67">
        <v>7</v>
      </c>
      <c r="B996" s="67" t="s">
        <v>1374</v>
      </c>
      <c r="C996" s="67" t="s">
        <v>1483</v>
      </c>
      <c r="D996" s="2" t="s">
        <v>1622</v>
      </c>
      <c r="E996" s="67" t="s">
        <v>1381</v>
      </c>
      <c r="F996" s="67">
        <v>3</v>
      </c>
      <c r="G996" s="67" t="s">
        <v>508</v>
      </c>
      <c r="H996" s="67" t="s">
        <v>1623</v>
      </c>
    </row>
    <row r="997" spans="1:8" x14ac:dyDescent="0.45">
      <c r="A997" s="67">
        <v>8</v>
      </c>
      <c r="B997" s="67" t="s">
        <v>1385</v>
      </c>
      <c r="C997" s="67" t="s">
        <v>1383</v>
      </c>
      <c r="D997" s="2" t="s">
        <v>1621</v>
      </c>
      <c r="E997" s="67" t="s">
        <v>1369</v>
      </c>
      <c r="F997" s="67">
        <v>4</v>
      </c>
      <c r="G997" s="67" t="s">
        <v>508</v>
      </c>
      <c r="H997" s="67" t="s">
        <v>1623</v>
      </c>
    </row>
    <row r="998" spans="1:8" x14ac:dyDescent="0.45">
      <c r="A998" s="67">
        <v>9</v>
      </c>
      <c r="B998" s="67" t="s">
        <v>1385</v>
      </c>
      <c r="C998" s="67" t="s">
        <v>1624</v>
      </c>
      <c r="D998" s="2" t="s">
        <v>1621</v>
      </c>
      <c r="E998" s="67" t="s">
        <v>1625</v>
      </c>
      <c r="F998" s="67">
        <v>3</v>
      </c>
      <c r="G998" s="67" t="s">
        <v>508</v>
      </c>
      <c r="H998" s="67" t="s">
        <v>1623</v>
      </c>
    </row>
    <row r="999" spans="1:8" x14ac:dyDescent="0.45">
      <c r="A999" s="67">
        <v>10</v>
      </c>
      <c r="B999" s="67" t="s">
        <v>1385</v>
      </c>
      <c r="C999" s="67" t="s">
        <v>1384</v>
      </c>
      <c r="D999" s="2" t="s">
        <v>1621</v>
      </c>
      <c r="E999" s="67" t="s">
        <v>1381</v>
      </c>
      <c r="F999" s="67">
        <v>3</v>
      </c>
      <c r="G999" s="67" t="s">
        <v>508</v>
      </c>
      <c r="H999" s="67" t="s">
        <v>1623</v>
      </c>
    </row>
    <row r="1000" spans="1:8" x14ac:dyDescent="0.45">
      <c r="A1000" s="67">
        <v>11</v>
      </c>
      <c r="B1000" s="67" t="s">
        <v>1385</v>
      </c>
      <c r="C1000" s="67" t="s">
        <v>1376</v>
      </c>
      <c r="D1000" s="2" t="s">
        <v>1626</v>
      </c>
      <c r="E1000" s="67" t="s">
        <v>1388</v>
      </c>
      <c r="F1000" s="67">
        <v>3</v>
      </c>
      <c r="G1000" s="67" t="s">
        <v>508</v>
      </c>
      <c r="H1000" s="67" t="s">
        <v>1623</v>
      </c>
    </row>
    <row r="1001" spans="1:8" x14ac:dyDescent="0.45">
      <c r="A1001" s="67">
        <v>12</v>
      </c>
      <c r="B1001" s="67" t="s">
        <v>1385</v>
      </c>
      <c r="C1001" s="67" t="s">
        <v>1372</v>
      </c>
      <c r="D1001" s="2" t="s">
        <v>1626</v>
      </c>
      <c r="E1001" s="67" t="s">
        <v>1388</v>
      </c>
      <c r="F1001" s="67">
        <v>16</v>
      </c>
      <c r="G1001" s="67" t="s">
        <v>508</v>
      </c>
      <c r="H1001" s="67" t="s">
        <v>1623</v>
      </c>
    </row>
    <row r="1002" spans="1:8" x14ac:dyDescent="0.45">
      <c r="A1002" s="67">
        <v>13</v>
      </c>
      <c r="B1002" s="67" t="s">
        <v>1385</v>
      </c>
      <c r="C1002" s="67" t="s">
        <v>1367</v>
      </c>
      <c r="D1002" s="2" t="s">
        <v>1626</v>
      </c>
      <c r="E1002" s="67" t="s">
        <v>1388</v>
      </c>
      <c r="F1002" s="67">
        <v>15</v>
      </c>
      <c r="G1002" s="67" t="s">
        <v>526</v>
      </c>
      <c r="H1002" s="67" t="s">
        <v>1623</v>
      </c>
    </row>
    <row r="1003" spans="1:8" x14ac:dyDescent="0.45">
      <c r="A1003" s="67">
        <v>14</v>
      </c>
      <c r="B1003" s="67" t="s">
        <v>1385</v>
      </c>
      <c r="C1003" s="67" t="s">
        <v>1367</v>
      </c>
      <c r="D1003" s="2" t="s">
        <v>1621</v>
      </c>
      <c r="E1003" s="67" t="s">
        <v>1381</v>
      </c>
      <c r="F1003" s="67">
        <v>1</v>
      </c>
      <c r="G1003" s="67" t="s">
        <v>526</v>
      </c>
      <c r="H1003" s="67" t="s">
        <v>1623</v>
      </c>
    </row>
    <row r="1004" spans="1:8" x14ac:dyDescent="0.45">
      <c r="A1004" s="67">
        <v>15</v>
      </c>
      <c r="B1004" s="67" t="s">
        <v>1385</v>
      </c>
      <c r="C1004" s="67" t="s">
        <v>1367</v>
      </c>
      <c r="D1004" s="2" t="s">
        <v>1621</v>
      </c>
      <c r="E1004" s="67" t="s">
        <v>1369</v>
      </c>
      <c r="F1004" s="67">
        <v>6</v>
      </c>
      <c r="G1004" s="67" t="s">
        <v>526</v>
      </c>
      <c r="H1004" s="67" t="s">
        <v>1623</v>
      </c>
    </row>
    <row r="1005" spans="1:8" x14ac:dyDescent="0.45">
      <c r="A1005" s="67">
        <v>16</v>
      </c>
      <c r="B1005" s="67" t="s">
        <v>1385</v>
      </c>
      <c r="C1005" s="67" t="s">
        <v>1627</v>
      </c>
      <c r="D1005" s="2" t="s">
        <v>1628</v>
      </c>
      <c r="E1005" s="67" t="s">
        <v>1369</v>
      </c>
      <c r="F1005" s="67">
        <v>1</v>
      </c>
      <c r="G1005" s="67" t="s">
        <v>508</v>
      </c>
      <c r="H1005" s="67" t="s">
        <v>1623</v>
      </c>
    </row>
    <row r="1006" spans="1:8" x14ac:dyDescent="0.45">
      <c r="A1006" s="67">
        <v>17</v>
      </c>
      <c r="B1006" s="67" t="s">
        <v>1385</v>
      </c>
      <c r="C1006" s="67" t="s">
        <v>1629</v>
      </c>
      <c r="D1006" s="2" t="s">
        <v>1628</v>
      </c>
      <c r="E1006" s="67" t="s">
        <v>1369</v>
      </c>
      <c r="F1006" s="67">
        <v>2</v>
      </c>
      <c r="G1006" s="67" t="s">
        <v>508</v>
      </c>
      <c r="H1006" s="67" t="s">
        <v>1623</v>
      </c>
    </row>
    <row r="1007" spans="1:8" x14ac:dyDescent="0.45">
      <c r="A1007" s="67">
        <v>18</v>
      </c>
      <c r="B1007" s="67" t="s">
        <v>1385</v>
      </c>
      <c r="C1007" s="67" t="s">
        <v>1394</v>
      </c>
      <c r="D1007" s="2" t="s">
        <v>1621</v>
      </c>
      <c r="E1007" s="67" t="s">
        <v>1630</v>
      </c>
      <c r="F1007" s="67">
        <v>1</v>
      </c>
      <c r="G1007" s="67" t="s">
        <v>508</v>
      </c>
      <c r="H1007" s="67" t="s">
        <v>1603</v>
      </c>
    </row>
    <row r="1008" spans="1:8" x14ac:dyDescent="0.45">
      <c r="A1008" s="67">
        <v>19</v>
      </c>
      <c r="B1008" s="67" t="s">
        <v>1385</v>
      </c>
      <c r="C1008" s="67" t="s">
        <v>1384</v>
      </c>
      <c r="D1008" s="2" t="s">
        <v>1621</v>
      </c>
      <c r="E1008" s="67" t="s">
        <v>1380</v>
      </c>
      <c r="F1008" s="67">
        <v>2</v>
      </c>
      <c r="G1008" s="67" t="s">
        <v>508</v>
      </c>
      <c r="H1008" s="67" t="s">
        <v>1434</v>
      </c>
    </row>
    <row r="1009" spans="1:8" x14ac:dyDescent="0.45">
      <c r="A1009" s="67">
        <v>20</v>
      </c>
      <c r="B1009" s="67"/>
      <c r="C1009" s="67" t="s">
        <v>1434</v>
      </c>
      <c r="D1009" s="2" t="s">
        <v>1631</v>
      </c>
      <c r="E1009" s="67" t="s">
        <v>1380</v>
      </c>
      <c r="F1009" s="67">
        <v>1</v>
      </c>
      <c r="G1009" s="67" t="s">
        <v>508</v>
      </c>
      <c r="H1009" s="67" t="s">
        <v>1434</v>
      </c>
    </row>
    <row r="1010" spans="1:8" x14ac:dyDescent="0.45">
      <c r="A1010" s="67">
        <v>21</v>
      </c>
      <c r="B1010" s="67" t="s">
        <v>1385</v>
      </c>
      <c r="C1010" s="67" t="s">
        <v>1394</v>
      </c>
      <c r="D1010" s="2" t="s">
        <v>1621</v>
      </c>
      <c r="E1010" s="67" t="s">
        <v>1632</v>
      </c>
      <c r="F1010" s="67">
        <v>1</v>
      </c>
      <c r="G1010" s="67" t="s">
        <v>508</v>
      </c>
      <c r="H1010" s="67" t="s">
        <v>1603</v>
      </c>
    </row>
    <row r="1011" spans="1:8" x14ac:dyDescent="0.45">
      <c r="A1011" s="67">
        <v>22</v>
      </c>
      <c r="B1011" s="67" t="s">
        <v>1385</v>
      </c>
      <c r="C1011" s="67" t="s">
        <v>1367</v>
      </c>
      <c r="D1011" s="2" t="s">
        <v>1621</v>
      </c>
      <c r="E1011" s="67" t="s">
        <v>1380</v>
      </c>
      <c r="F1011" s="67">
        <v>1</v>
      </c>
      <c r="G1011" s="67" t="s">
        <v>526</v>
      </c>
      <c r="H1011" s="67" t="s">
        <v>1603</v>
      </c>
    </row>
    <row r="1012" spans="1:8" x14ac:dyDescent="0.45">
      <c r="A1012" s="67">
        <v>23</v>
      </c>
      <c r="B1012" s="67" t="s">
        <v>1385</v>
      </c>
      <c r="C1012" s="67" t="s">
        <v>1367</v>
      </c>
      <c r="D1012" s="2" t="s">
        <v>1621</v>
      </c>
      <c r="E1012" s="67" t="s">
        <v>1471</v>
      </c>
      <c r="F1012" s="67">
        <v>6</v>
      </c>
      <c r="G1012" s="67" t="s">
        <v>526</v>
      </c>
      <c r="H1012" s="67" t="s">
        <v>1603</v>
      </c>
    </row>
    <row r="1013" spans="1:8" x14ac:dyDescent="0.45">
      <c r="A1013" s="67">
        <v>24</v>
      </c>
      <c r="B1013" s="67" t="s">
        <v>1385</v>
      </c>
      <c r="C1013" s="67" t="s">
        <v>1629</v>
      </c>
      <c r="D1013" s="2" t="s">
        <v>1621</v>
      </c>
      <c r="E1013" s="67" t="s">
        <v>1471</v>
      </c>
      <c r="F1013" s="67">
        <v>1</v>
      </c>
      <c r="G1013" s="67" t="s">
        <v>508</v>
      </c>
      <c r="H1013" s="67" t="s">
        <v>1603</v>
      </c>
    </row>
    <row r="1014" spans="1:8" x14ac:dyDescent="0.45">
      <c r="A1014" s="67">
        <v>25</v>
      </c>
      <c r="B1014" s="67" t="s">
        <v>1385</v>
      </c>
      <c r="C1014" s="67" t="s">
        <v>1633</v>
      </c>
      <c r="D1014" s="2" t="s">
        <v>1621</v>
      </c>
      <c r="E1014" s="67" t="s">
        <v>1471</v>
      </c>
      <c r="F1014" s="67">
        <v>1</v>
      </c>
      <c r="G1014" s="67" t="s">
        <v>508</v>
      </c>
      <c r="H1014" s="67" t="s">
        <v>1603</v>
      </c>
    </row>
    <row r="1015" spans="1:8" x14ac:dyDescent="0.45">
      <c r="A1015" s="67">
        <v>26</v>
      </c>
      <c r="B1015" s="67" t="s">
        <v>1634</v>
      </c>
      <c r="C1015" s="67" t="s">
        <v>1635</v>
      </c>
      <c r="D1015" s="2" t="s">
        <v>1622</v>
      </c>
      <c r="E1015" s="67" t="s">
        <v>1636</v>
      </c>
      <c r="F1015" s="67">
        <v>4</v>
      </c>
      <c r="G1015" s="67" t="s">
        <v>508</v>
      </c>
      <c r="H1015" s="67" t="s">
        <v>1603</v>
      </c>
    </row>
    <row r="1016" spans="1:8" x14ac:dyDescent="0.45">
      <c r="A1016" s="67">
        <v>27</v>
      </c>
      <c r="B1016" s="67" t="s">
        <v>1634</v>
      </c>
      <c r="C1016" s="67" t="s">
        <v>1637</v>
      </c>
      <c r="D1016" s="2" t="s">
        <v>1622</v>
      </c>
      <c r="E1016" s="67" t="s">
        <v>1638</v>
      </c>
      <c r="F1016" s="67">
        <v>8</v>
      </c>
      <c r="G1016" s="67" t="s">
        <v>508</v>
      </c>
      <c r="H1016" s="67" t="s">
        <v>1603</v>
      </c>
    </row>
    <row r="1017" spans="1:8" x14ac:dyDescent="0.45">
      <c r="A1017" s="67">
        <v>28</v>
      </c>
      <c r="B1017" s="67"/>
      <c r="C1017" s="67" t="s">
        <v>1013</v>
      </c>
      <c r="D1017" s="2" t="s">
        <v>1639</v>
      </c>
      <c r="E1017" s="67" t="s">
        <v>1599</v>
      </c>
      <c r="F1017" s="67">
        <v>1</v>
      </c>
      <c r="G1017" s="67" t="s">
        <v>508</v>
      </c>
      <c r="H1017" s="67"/>
    </row>
    <row r="1019" spans="1:8" ht="18" x14ac:dyDescent="0.45">
      <c r="A1019" s="611" t="s">
        <v>1658</v>
      </c>
      <c r="B1019" s="611"/>
      <c r="C1019" s="611"/>
      <c r="D1019" s="611"/>
      <c r="E1019" s="611"/>
      <c r="F1019" s="611"/>
      <c r="G1019" s="611"/>
      <c r="H1019" s="611"/>
    </row>
    <row r="1020" spans="1:8" x14ac:dyDescent="0.45">
      <c r="A1020" s="67">
        <v>1</v>
      </c>
      <c r="B1020" s="67" t="s">
        <v>1365</v>
      </c>
      <c r="C1020" s="67" t="s">
        <v>1616</v>
      </c>
      <c r="D1020" s="2" t="s">
        <v>1617</v>
      </c>
      <c r="E1020" s="67" t="s">
        <v>1618</v>
      </c>
      <c r="F1020" s="67">
        <v>1</v>
      </c>
      <c r="G1020" s="67" t="s">
        <v>508</v>
      </c>
      <c r="H1020" s="67" t="s">
        <v>1619</v>
      </c>
    </row>
    <row r="1021" spans="1:8" x14ac:dyDescent="0.45">
      <c r="A1021" s="67">
        <v>2</v>
      </c>
      <c r="B1021" s="67" t="s">
        <v>1366</v>
      </c>
      <c r="C1021" s="67" t="s">
        <v>1620</v>
      </c>
      <c r="D1021" s="2" t="s">
        <v>1505</v>
      </c>
      <c r="E1021" s="67" t="s">
        <v>1380</v>
      </c>
      <c r="F1021" s="67">
        <v>1</v>
      </c>
      <c r="G1021" s="67" t="s">
        <v>508</v>
      </c>
      <c r="H1021" s="67" t="s">
        <v>1602</v>
      </c>
    </row>
    <row r="1022" spans="1:8" x14ac:dyDescent="0.45">
      <c r="A1022" s="67">
        <v>3</v>
      </c>
      <c r="B1022" s="67" t="s">
        <v>1366</v>
      </c>
      <c r="C1022" s="67" t="s">
        <v>1367</v>
      </c>
      <c r="D1022" s="2" t="s">
        <v>1505</v>
      </c>
      <c r="E1022" s="67" t="s">
        <v>1380</v>
      </c>
      <c r="F1022" s="67">
        <v>2</v>
      </c>
      <c r="G1022" s="67" t="s">
        <v>526</v>
      </c>
      <c r="H1022" s="67" t="s">
        <v>1602</v>
      </c>
    </row>
    <row r="1023" spans="1:8" x14ac:dyDescent="0.45">
      <c r="A1023" s="67">
        <v>4</v>
      </c>
      <c r="B1023" s="67" t="s">
        <v>1366</v>
      </c>
      <c r="C1023" s="67" t="s">
        <v>1376</v>
      </c>
      <c r="D1023" s="2" t="s">
        <v>1505</v>
      </c>
      <c r="E1023" s="67" t="s">
        <v>1380</v>
      </c>
      <c r="F1023" s="67">
        <v>1</v>
      </c>
      <c r="G1023" s="67" t="s">
        <v>508</v>
      </c>
      <c r="H1023" s="67" t="s">
        <v>1602</v>
      </c>
    </row>
    <row r="1024" spans="1:8" x14ac:dyDescent="0.45">
      <c r="A1024" s="67">
        <v>5</v>
      </c>
      <c r="B1024" s="67" t="s">
        <v>1385</v>
      </c>
      <c r="C1024" s="67" t="s">
        <v>1376</v>
      </c>
      <c r="D1024" s="2" t="s">
        <v>1621</v>
      </c>
      <c r="E1024" s="67" t="s">
        <v>1369</v>
      </c>
      <c r="F1024" s="67">
        <v>1</v>
      </c>
      <c r="G1024" s="67" t="s">
        <v>508</v>
      </c>
      <c r="H1024" s="67" t="s">
        <v>1603</v>
      </c>
    </row>
    <row r="1025" spans="1:8" x14ac:dyDescent="0.45">
      <c r="A1025" s="67">
        <v>6</v>
      </c>
      <c r="B1025" s="67" t="s">
        <v>1385</v>
      </c>
      <c r="C1025" s="67" t="s">
        <v>1372</v>
      </c>
      <c r="D1025" s="2" t="s">
        <v>1621</v>
      </c>
      <c r="E1025" s="67" t="s">
        <v>1369</v>
      </c>
      <c r="F1025" s="67">
        <v>4</v>
      </c>
      <c r="G1025" s="67" t="s">
        <v>508</v>
      </c>
      <c r="H1025" s="67" t="s">
        <v>1603</v>
      </c>
    </row>
    <row r="1026" spans="1:8" x14ac:dyDescent="0.45">
      <c r="A1026" s="67">
        <v>7</v>
      </c>
      <c r="B1026" s="67" t="s">
        <v>1374</v>
      </c>
      <c r="C1026" s="67" t="s">
        <v>1483</v>
      </c>
      <c r="D1026" s="2" t="s">
        <v>1622</v>
      </c>
      <c r="E1026" s="67" t="s">
        <v>1381</v>
      </c>
      <c r="F1026" s="67">
        <v>3</v>
      </c>
      <c r="G1026" s="67" t="s">
        <v>508</v>
      </c>
      <c r="H1026" s="67" t="s">
        <v>1623</v>
      </c>
    </row>
    <row r="1027" spans="1:8" x14ac:dyDescent="0.45">
      <c r="A1027" s="67">
        <v>8</v>
      </c>
      <c r="B1027" s="67" t="s">
        <v>1385</v>
      </c>
      <c r="C1027" s="67" t="s">
        <v>1383</v>
      </c>
      <c r="D1027" s="2" t="s">
        <v>1621</v>
      </c>
      <c r="E1027" s="67" t="s">
        <v>1369</v>
      </c>
      <c r="F1027" s="67">
        <v>4</v>
      </c>
      <c r="G1027" s="67" t="s">
        <v>508</v>
      </c>
      <c r="H1027" s="67" t="s">
        <v>1623</v>
      </c>
    </row>
    <row r="1028" spans="1:8" x14ac:dyDescent="0.45">
      <c r="A1028" s="67">
        <v>9</v>
      </c>
      <c r="B1028" s="67" t="s">
        <v>1385</v>
      </c>
      <c r="C1028" s="67" t="s">
        <v>1624</v>
      </c>
      <c r="D1028" s="2" t="s">
        <v>1621</v>
      </c>
      <c r="E1028" s="67" t="s">
        <v>1625</v>
      </c>
      <c r="F1028" s="67">
        <v>3</v>
      </c>
      <c r="G1028" s="67" t="s">
        <v>508</v>
      </c>
      <c r="H1028" s="67" t="s">
        <v>1623</v>
      </c>
    </row>
    <row r="1029" spans="1:8" x14ac:dyDescent="0.45">
      <c r="A1029" s="67">
        <v>10</v>
      </c>
      <c r="B1029" s="67" t="s">
        <v>1385</v>
      </c>
      <c r="C1029" s="67" t="s">
        <v>1384</v>
      </c>
      <c r="D1029" s="2" t="s">
        <v>1621</v>
      </c>
      <c r="E1029" s="67" t="s">
        <v>1381</v>
      </c>
      <c r="F1029" s="67">
        <v>3</v>
      </c>
      <c r="G1029" s="67" t="s">
        <v>508</v>
      </c>
      <c r="H1029" s="67" t="s">
        <v>1623</v>
      </c>
    </row>
    <row r="1030" spans="1:8" x14ac:dyDescent="0.45">
      <c r="A1030" s="67">
        <v>11</v>
      </c>
      <c r="B1030" s="67" t="s">
        <v>1385</v>
      </c>
      <c r="C1030" s="67" t="s">
        <v>1376</v>
      </c>
      <c r="D1030" s="2" t="s">
        <v>1626</v>
      </c>
      <c r="E1030" s="67" t="s">
        <v>1388</v>
      </c>
      <c r="F1030" s="67">
        <v>3</v>
      </c>
      <c r="G1030" s="67" t="s">
        <v>508</v>
      </c>
      <c r="H1030" s="67" t="s">
        <v>1623</v>
      </c>
    </row>
    <row r="1031" spans="1:8" x14ac:dyDescent="0.45">
      <c r="A1031" s="67">
        <v>12</v>
      </c>
      <c r="B1031" s="67" t="s">
        <v>1385</v>
      </c>
      <c r="C1031" s="67" t="s">
        <v>1372</v>
      </c>
      <c r="D1031" s="2" t="s">
        <v>1626</v>
      </c>
      <c r="E1031" s="67" t="s">
        <v>1388</v>
      </c>
      <c r="F1031" s="67">
        <v>16</v>
      </c>
      <c r="G1031" s="67" t="s">
        <v>508</v>
      </c>
      <c r="H1031" s="67" t="s">
        <v>1623</v>
      </c>
    </row>
    <row r="1032" spans="1:8" x14ac:dyDescent="0.45">
      <c r="A1032" s="67">
        <v>13</v>
      </c>
      <c r="B1032" s="67" t="s">
        <v>1385</v>
      </c>
      <c r="C1032" s="67" t="s">
        <v>1367</v>
      </c>
      <c r="D1032" s="2" t="s">
        <v>1626</v>
      </c>
      <c r="E1032" s="67" t="s">
        <v>1388</v>
      </c>
      <c r="F1032" s="67">
        <v>15</v>
      </c>
      <c r="G1032" s="67" t="s">
        <v>526</v>
      </c>
      <c r="H1032" s="67" t="s">
        <v>1623</v>
      </c>
    </row>
    <row r="1033" spans="1:8" x14ac:dyDescent="0.45">
      <c r="A1033" s="67">
        <v>14</v>
      </c>
      <c r="B1033" s="67" t="s">
        <v>1385</v>
      </c>
      <c r="C1033" s="67" t="s">
        <v>1367</v>
      </c>
      <c r="D1033" s="2" t="s">
        <v>1621</v>
      </c>
      <c r="E1033" s="67" t="s">
        <v>1381</v>
      </c>
      <c r="F1033" s="67">
        <v>1</v>
      </c>
      <c r="G1033" s="67" t="s">
        <v>526</v>
      </c>
      <c r="H1033" s="67" t="s">
        <v>1623</v>
      </c>
    </row>
    <row r="1034" spans="1:8" x14ac:dyDescent="0.45">
      <c r="A1034" s="67">
        <v>15</v>
      </c>
      <c r="B1034" s="67" t="s">
        <v>1385</v>
      </c>
      <c r="C1034" s="67" t="s">
        <v>1367</v>
      </c>
      <c r="D1034" s="2" t="s">
        <v>1621</v>
      </c>
      <c r="E1034" s="67" t="s">
        <v>1369</v>
      </c>
      <c r="F1034" s="67">
        <v>6</v>
      </c>
      <c r="G1034" s="67" t="s">
        <v>526</v>
      </c>
      <c r="H1034" s="67" t="s">
        <v>1623</v>
      </c>
    </row>
    <row r="1035" spans="1:8" x14ac:dyDescent="0.45">
      <c r="A1035" s="67">
        <v>16</v>
      </c>
      <c r="B1035" s="67" t="s">
        <v>1385</v>
      </c>
      <c r="C1035" s="67" t="s">
        <v>1627</v>
      </c>
      <c r="D1035" s="2" t="s">
        <v>1628</v>
      </c>
      <c r="E1035" s="67" t="s">
        <v>1369</v>
      </c>
      <c r="F1035" s="67">
        <v>1</v>
      </c>
      <c r="G1035" s="67" t="s">
        <v>508</v>
      </c>
      <c r="H1035" s="67" t="s">
        <v>1623</v>
      </c>
    </row>
    <row r="1036" spans="1:8" x14ac:dyDescent="0.45">
      <c r="A1036" s="67">
        <v>17</v>
      </c>
      <c r="B1036" s="67" t="s">
        <v>1385</v>
      </c>
      <c r="C1036" s="67" t="s">
        <v>1629</v>
      </c>
      <c r="D1036" s="2" t="s">
        <v>1628</v>
      </c>
      <c r="E1036" s="67" t="s">
        <v>1369</v>
      </c>
      <c r="F1036" s="67">
        <v>2</v>
      </c>
      <c r="G1036" s="67" t="s">
        <v>508</v>
      </c>
      <c r="H1036" s="67" t="s">
        <v>1623</v>
      </c>
    </row>
    <row r="1037" spans="1:8" x14ac:dyDescent="0.45">
      <c r="A1037" s="67">
        <v>18</v>
      </c>
      <c r="B1037" s="67" t="s">
        <v>1385</v>
      </c>
      <c r="C1037" s="67" t="s">
        <v>1394</v>
      </c>
      <c r="D1037" s="2" t="s">
        <v>1621</v>
      </c>
      <c r="E1037" s="67" t="s">
        <v>1630</v>
      </c>
      <c r="F1037" s="67">
        <v>1</v>
      </c>
      <c r="G1037" s="67" t="s">
        <v>508</v>
      </c>
      <c r="H1037" s="67" t="s">
        <v>1603</v>
      </c>
    </row>
    <row r="1038" spans="1:8" x14ac:dyDescent="0.45">
      <c r="A1038" s="67">
        <v>19</v>
      </c>
      <c r="B1038" s="67" t="s">
        <v>1385</v>
      </c>
      <c r="C1038" s="67" t="s">
        <v>1384</v>
      </c>
      <c r="D1038" s="2" t="s">
        <v>1621</v>
      </c>
      <c r="E1038" s="67" t="s">
        <v>1380</v>
      </c>
      <c r="F1038" s="67">
        <v>2</v>
      </c>
      <c r="G1038" s="67" t="s">
        <v>508</v>
      </c>
      <c r="H1038" s="67" t="s">
        <v>1434</v>
      </c>
    </row>
    <row r="1039" spans="1:8" x14ac:dyDescent="0.45">
      <c r="A1039" s="67">
        <v>20</v>
      </c>
      <c r="B1039" s="67"/>
      <c r="C1039" s="67" t="s">
        <v>1434</v>
      </c>
      <c r="D1039" s="2" t="s">
        <v>1631</v>
      </c>
      <c r="E1039" s="67" t="s">
        <v>1380</v>
      </c>
      <c r="F1039" s="67">
        <v>1</v>
      </c>
      <c r="G1039" s="67" t="s">
        <v>508</v>
      </c>
      <c r="H1039" s="67" t="s">
        <v>1434</v>
      </c>
    </row>
    <row r="1040" spans="1:8" x14ac:dyDescent="0.45">
      <c r="A1040" s="67">
        <v>21</v>
      </c>
      <c r="B1040" s="67" t="s">
        <v>1385</v>
      </c>
      <c r="C1040" s="67" t="s">
        <v>1394</v>
      </c>
      <c r="D1040" s="2" t="s">
        <v>1621</v>
      </c>
      <c r="E1040" s="67" t="s">
        <v>1632</v>
      </c>
      <c r="F1040" s="67">
        <v>1</v>
      </c>
      <c r="G1040" s="67" t="s">
        <v>508</v>
      </c>
      <c r="H1040" s="67" t="s">
        <v>1603</v>
      </c>
    </row>
    <row r="1041" spans="1:8" x14ac:dyDescent="0.45">
      <c r="A1041" s="67">
        <v>22</v>
      </c>
      <c r="B1041" s="67" t="s">
        <v>1385</v>
      </c>
      <c r="C1041" s="67" t="s">
        <v>1367</v>
      </c>
      <c r="D1041" s="2" t="s">
        <v>1621</v>
      </c>
      <c r="E1041" s="67" t="s">
        <v>1380</v>
      </c>
      <c r="F1041" s="67">
        <v>1</v>
      </c>
      <c r="G1041" s="67" t="s">
        <v>526</v>
      </c>
      <c r="H1041" s="67" t="s">
        <v>1603</v>
      </c>
    </row>
    <row r="1042" spans="1:8" x14ac:dyDescent="0.45">
      <c r="A1042" s="67">
        <v>23</v>
      </c>
      <c r="B1042" s="67" t="s">
        <v>1385</v>
      </c>
      <c r="C1042" s="67" t="s">
        <v>1367</v>
      </c>
      <c r="D1042" s="2" t="s">
        <v>1621</v>
      </c>
      <c r="E1042" s="67" t="s">
        <v>1471</v>
      </c>
      <c r="F1042" s="67">
        <v>6</v>
      </c>
      <c r="G1042" s="67" t="s">
        <v>526</v>
      </c>
      <c r="H1042" s="67" t="s">
        <v>1603</v>
      </c>
    </row>
    <row r="1043" spans="1:8" x14ac:dyDescent="0.45">
      <c r="A1043" s="67">
        <v>24</v>
      </c>
      <c r="B1043" s="67" t="s">
        <v>1385</v>
      </c>
      <c r="C1043" s="67" t="s">
        <v>1629</v>
      </c>
      <c r="D1043" s="2" t="s">
        <v>1621</v>
      </c>
      <c r="E1043" s="67" t="s">
        <v>1471</v>
      </c>
      <c r="F1043" s="67">
        <v>1</v>
      </c>
      <c r="G1043" s="67" t="s">
        <v>508</v>
      </c>
      <c r="H1043" s="67" t="s">
        <v>1603</v>
      </c>
    </row>
    <row r="1044" spans="1:8" x14ac:dyDescent="0.45">
      <c r="A1044" s="67">
        <v>25</v>
      </c>
      <c r="B1044" s="67" t="s">
        <v>1385</v>
      </c>
      <c r="C1044" s="67" t="s">
        <v>1633</v>
      </c>
      <c r="D1044" s="2" t="s">
        <v>1621</v>
      </c>
      <c r="E1044" s="67" t="s">
        <v>1471</v>
      </c>
      <c r="F1044" s="67">
        <v>1</v>
      </c>
      <c r="G1044" s="67" t="s">
        <v>508</v>
      </c>
      <c r="H1044" s="67" t="s">
        <v>1603</v>
      </c>
    </row>
    <row r="1045" spans="1:8" x14ac:dyDescent="0.45">
      <c r="A1045" s="67">
        <v>26</v>
      </c>
      <c r="B1045" s="67" t="s">
        <v>1634</v>
      </c>
      <c r="C1045" s="67" t="s">
        <v>1635</v>
      </c>
      <c r="D1045" s="2" t="s">
        <v>1622</v>
      </c>
      <c r="E1045" s="67" t="s">
        <v>1636</v>
      </c>
      <c r="F1045" s="67">
        <v>4</v>
      </c>
      <c r="G1045" s="67" t="s">
        <v>508</v>
      </c>
      <c r="H1045" s="67" t="s">
        <v>1603</v>
      </c>
    </row>
    <row r="1046" spans="1:8" x14ac:dyDescent="0.45">
      <c r="A1046" s="67">
        <v>27</v>
      </c>
      <c r="B1046" s="67" t="s">
        <v>1634</v>
      </c>
      <c r="C1046" s="67" t="s">
        <v>1637</v>
      </c>
      <c r="D1046" s="2" t="s">
        <v>1622</v>
      </c>
      <c r="E1046" s="67" t="s">
        <v>1638</v>
      </c>
      <c r="F1046" s="67">
        <v>8</v>
      </c>
      <c r="G1046" s="67" t="s">
        <v>508</v>
      </c>
      <c r="H1046" s="67" t="s">
        <v>1603</v>
      </c>
    </row>
    <row r="1047" spans="1:8" x14ac:dyDescent="0.45">
      <c r="A1047" s="67">
        <v>28</v>
      </c>
      <c r="B1047" s="67"/>
      <c r="C1047" s="67" t="s">
        <v>1013</v>
      </c>
      <c r="D1047" s="2" t="s">
        <v>1639</v>
      </c>
      <c r="E1047" s="67" t="s">
        <v>1599</v>
      </c>
      <c r="F1047" s="67">
        <v>1</v>
      </c>
      <c r="G1047" s="67" t="s">
        <v>508</v>
      </c>
      <c r="H1047" s="67"/>
    </row>
  </sheetData>
  <autoFilter ref="A688:H729" xr:uid="{F873A5FA-45C1-4DBF-91AE-9CB80A058733}">
    <sortState xmlns:xlrd2="http://schemas.microsoft.com/office/spreadsheetml/2017/richdata2" ref="A689:H729">
      <sortCondition ref="B688:B729"/>
    </sortState>
  </autoFilter>
  <mergeCells count="34">
    <mergeCell ref="A493:H493"/>
    <mergeCell ref="A513:H513"/>
    <mergeCell ref="A597:H597"/>
    <mergeCell ref="A610:H610"/>
    <mergeCell ref="A305:H305"/>
    <mergeCell ref="A330:H330"/>
    <mergeCell ref="A419:H419"/>
    <mergeCell ref="A437:H437"/>
    <mergeCell ref="A455:H455"/>
    <mergeCell ref="A473:H473"/>
    <mergeCell ref="A241:H241"/>
    <mergeCell ref="A1:W1"/>
    <mergeCell ref="AK3:AN3"/>
    <mergeCell ref="A43:H43"/>
    <mergeCell ref="A109:H109"/>
    <mergeCell ref="A173:H173"/>
    <mergeCell ref="A719:H719"/>
    <mergeCell ref="A689:H689"/>
    <mergeCell ref="A749:H749"/>
    <mergeCell ref="A687:H687"/>
    <mergeCell ref="A636:H636"/>
    <mergeCell ref="A641:H641"/>
    <mergeCell ref="A659:H659"/>
    <mergeCell ref="A672:H672"/>
    <mergeCell ref="B638:H638"/>
    <mergeCell ref="A929:H929"/>
    <mergeCell ref="A959:H959"/>
    <mergeCell ref="A989:H989"/>
    <mergeCell ref="A1019:H1019"/>
    <mergeCell ref="A779:H779"/>
    <mergeCell ref="A809:H809"/>
    <mergeCell ref="A839:H839"/>
    <mergeCell ref="A869:H869"/>
    <mergeCell ref="A899:H899"/>
  </mergeCells>
  <phoneticPr fontId="2" type="noConversion"/>
  <conditionalFormatting sqref="Q3:Q30">
    <cfRule type="dataBar" priority="1">
      <dataBar>
        <cfvo type="min"/>
        <cfvo type="max"/>
        <color rgb="FF63C384"/>
      </dataBar>
      <extLst>
        <ext xmlns:x14="http://schemas.microsoft.com/office/spreadsheetml/2009/9/main" uri="{B025F937-C7B1-47D3-B67F-A62EFF666E3E}">
          <x14:id>{81FBDB36-A110-4CCA-9C3E-2CC535F8DF26}</x14:id>
        </ext>
      </extLst>
    </cfRule>
  </conditionalFormatting>
  <pageMargins left="0.70866141732283472" right="0.70866141732283472" top="0.74803149606299213" bottom="0.74803149606299213" header="0.31496062992125984" footer="0.31496062992125984"/>
  <pageSetup paperSize="9" orientation="portrait" horizontalDpi="300" verticalDpi="300" r:id="rId1"/>
  <tableParts count="11">
    <tablePart r:id="rId2"/>
    <tablePart r:id="rId3"/>
    <tablePart r:id="rId4"/>
    <tablePart r:id="rId5"/>
    <tablePart r:id="rId6"/>
    <tablePart r:id="rId7"/>
    <tablePart r:id="rId8"/>
    <tablePart r:id="rId9"/>
    <tablePart r:id="rId10"/>
    <tablePart r:id="rId11"/>
    <tablePart r:id="rId12"/>
  </tableParts>
  <extLst>
    <ext xmlns:x14="http://schemas.microsoft.com/office/spreadsheetml/2009/9/main" uri="{78C0D931-6437-407d-A8EE-F0AAD7539E65}">
      <x14:conditionalFormattings>
        <x14:conditionalFormatting xmlns:xm="http://schemas.microsoft.com/office/excel/2006/main">
          <x14:cfRule type="dataBar" id="{81FBDB36-A110-4CCA-9C3E-2CC535F8DF26}">
            <x14:dataBar minLength="0" maxLength="100" gradient="0">
              <x14:cfvo type="autoMin"/>
              <x14:cfvo type="autoMax"/>
              <x14:negativeFillColor rgb="FFFF0000"/>
              <x14:axisColor rgb="FF000000"/>
            </x14:dataBar>
          </x14:cfRule>
          <xm:sqref>Q3:Q30</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10</vt:i4>
      </vt:variant>
    </vt:vector>
  </HeadingPairs>
  <TitlesOfParts>
    <vt:vector size="36" baseType="lpstr">
      <vt:lpstr>Land Optimisation </vt:lpstr>
      <vt:lpstr>Mangal Foundation</vt:lpstr>
      <vt:lpstr>Mangal Irrigation V6</vt:lpstr>
      <vt:lpstr>Mangal AeroponicsV6</vt:lpstr>
      <vt:lpstr>Mangal Water Requirement </vt:lpstr>
      <vt:lpstr>Design Considerations</vt:lpstr>
      <vt:lpstr>Stages of planning</vt:lpstr>
      <vt:lpstr>BoM</vt:lpstr>
      <vt:lpstr>Borewells</vt:lpstr>
      <vt:lpstr>PH Specification </vt:lpstr>
      <vt:lpstr>Water Calculation V3.1</vt:lpstr>
      <vt:lpstr>Drain Calculator </vt:lpstr>
      <vt:lpstr>Drainage@45 (Old) </vt:lpstr>
      <vt:lpstr>Aeroponics vs Dripper Flow Rate</vt:lpstr>
      <vt:lpstr>Level Calculation Drone Survey</vt:lpstr>
      <vt:lpstr>Cutting Filling Drone Survey </vt:lpstr>
      <vt:lpstr>Functional Levels Drone Survey</vt:lpstr>
      <vt:lpstr>Existing Levels Drone Survey</vt:lpstr>
      <vt:lpstr>Level Difference Drone Survey</vt:lpstr>
      <vt:lpstr>Drawings to Develope </vt:lpstr>
      <vt:lpstr>Soil Cutting &amp; Filling (Drone)</vt:lpstr>
      <vt:lpstr>Final Comments</vt:lpstr>
      <vt:lpstr>IoTController Requirement</vt:lpstr>
      <vt:lpstr>Drainage@45D (New Level)</vt:lpstr>
      <vt:lpstr>Plumbing</vt:lpstr>
      <vt:lpstr>Mangal Sprinkler </vt:lpstr>
      <vt:lpstr>'Drainage@45D (New Level)'!Print_Area</vt:lpstr>
      <vt:lpstr>'Existing Levels Drone Survey'!Print_Area</vt:lpstr>
      <vt:lpstr>'Functional Levels Drone Survey'!Print_Area</vt:lpstr>
      <vt:lpstr>'Level Calculation Drone Survey'!Print_Area</vt:lpstr>
      <vt:lpstr>'Level Difference Drone Survey'!Print_Area</vt:lpstr>
      <vt:lpstr>'Mangal AeroponicsV6'!Print_Area</vt:lpstr>
      <vt:lpstr>'Mangal Irrigation V6'!Print_Area</vt:lpstr>
      <vt:lpstr>'PH Specification '!Print_Area</vt:lpstr>
      <vt:lpstr>'Drainage@45D (New Level)'!Print_Titles</vt:lpstr>
      <vt:lpstr>'PH Specification '!Print_Titles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Priyam Nandwana</dc:creator>
  <cp:keywords/>
  <dc:description/>
  <cp:lastModifiedBy>Priyam Nandwana</cp:lastModifiedBy>
  <cp:revision/>
  <dcterms:created xsi:type="dcterms:W3CDTF">2024-08-25T11:01:01Z</dcterms:created>
  <dcterms:modified xsi:type="dcterms:W3CDTF">2025-05-13T04:34:24Z</dcterms:modified>
  <cp:category/>
  <cp:contentStatus/>
</cp:coreProperties>
</file>