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imelines/timeline1.xml" ContentType="application/vnd.ms-excel.timelin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Ejercicios Excel\"/>
    </mc:Choice>
  </mc:AlternateContent>
  <xr:revisionPtr revIDLastSave="0" documentId="8_{586E5732-2606-4948-AF6A-E8B41622C767}" xr6:coauthVersionLast="47" xr6:coauthVersionMax="47" xr10:uidLastSave="{00000000-0000-0000-0000-000000000000}"/>
  <bookViews>
    <workbookView xWindow="-120" yWindow="-120" windowWidth="20730" windowHeight="11160" firstSheet="3" activeTab="7" xr2:uid="{A9727AC0-7712-4E9A-B0DE-4C125E471668}"/>
  </bookViews>
  <sheets>
    <sheet name="BuscarV" sheetId="1" r:id="rId1"/>
    <sheet name="Lógica" sheetId="2" r:id="rId2"/>
    <sheet name="TablaDinamica1" sheetId="3" r:id="rId3"/>
    <sheet name="TablaDinamica2" sheetId="4" r:id="rId4"/>
    <sheet name="TablaDinamica3" sheetId="5" r:id="rId5"/>
    <sheet name="TablaDinamica4" sheetId="6" r:id="rId6"/>
    <sheet name="TablaDinamica5" sheetId="7" r:id="rId7"/>
    <sheet name="TablaDinamica6" sheetId="8" r:id="rId8"/>
  </sheets>
  <definedNames>
    <definedName name="_xlnm._FilterDatabase" localSheetId="2" hidden="1">TablaDinamica1!$B$2:$F$31</definedName>
    <definedName name="_xlnm._FilterDatabase" localSheetId="3" hidden="1">TablaDinamica2!$B$2:$F$31</definedName>
    <definedName name="_xlnm._FilterDatabase" localSheetId="4" hidden="1">TablaDinamica3!$B$2:$F$31</definedName>
    <definedName name="_xlnm._FilterDatabase" localSheetId="5" hidden="1">TablaDinamica4!$B$2:$F$31</definedName>
    <definedName name="_xlnm._FilterDatabase" localSheetId="6" hidden="1">TablaDinamica5!$B$2:$F$31</definedName>
    <definedName name="_xlnm._FilterDatabase" localSheetId="7" hidden="1">TablaDinamica6!$B$2:$F$31</definedName>
    <definedName name="NativeTimeline_Fecha">#N/A</definedName>
    <definedName name="SegmentaciónDeDatos_Vendedor">#N/A</definedName>
  </definedNames>
  <calcPr calcId="191029"/>
  <pivotCaches>
    <pivotCache cacheId="6" r:id="rId9"/>
    <pivotCache cacheId="11" r:id="rId10"/>
    <pivotCache cacheId="16" r:id="rId11"/>
    <pivotCache cacheId="21" r:id="rId12"/>
    <pivotCache cacheId="26" r:id="rId13"/>
    <pivotCache cacheId="32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BG9" i="2"/>
  <c r="BG10" i="2"/>
  <c r="BG11" i="2"/>
  <c r="BG12" i="2"/>
  <c r="BG13" i="2"/>
  <c r="BG8" i="2"/>
  <c r="BF9" i="2"/>
  <c r="BF10" i="2"/>
  <c r="BF11" i="2"/>
  <c r="BF12" i="2"/>
  <c r="BF13" i="2"/>
  <c r="BF8" i="2"/>
  <c r="BE9" i="2"/>
  <c r="BE10" i="2"/>
  <c r="BE11" i="2"/>
  <c r="BE12" i="2"/>
  <c r="BE13" i="2"/>
  <c r="BE8" i="2"/>
  <c r="AW5" i="2"/>
  <c r="AW6" i="2"/>
  <c r="AW7" i="2"/>
  <c r="AW8" i="2"/>
  <c r="AW9" i="2"/>
  <c r="AW10" i="2"/>
  <c r="AW11" i="2"/>
  <c r="AW4" i="2"/>
  <c r="AN9" i="2"/>
  <c r="AN10" i="2"/>
  <c r="AN11" i="2"/>
  <c r="AN12" i="2"/>
  <c r="AN13" i="2"/>
  <c r="AN14" i="2"/>
  <c r="AN8" i="2"/>
  <c r="AM9" i="2"/>
  <c r="AM10" i="2"/>
  <c r="AM11" i="2"/>
  <c r="AM12" i="2"/>
  <c r="AM13" i="2"/>
  <c r="AM14" i="2"/>
  <c r="AM8" i="2"/>
  <c r="AL9" i="2"/>
  <c r="AL10" i="2"/>
  <c r="AL11" i="2"/>
  <c r="AL12" i="2"/>
  <c r="AL13" i="2"/>
  <c r="AL14" i="2"/>
  <c r="AL8" i="2"/>
  <c r="AJ10" i="2"/>
  <c r="AJ11" i="2"/>
  <c r="AJ12" i="2" s="1"/>
  <c r="AJ13" i="2" s="1"/>
  <c r="AJ14" i="2" s="1"/>
  <c r="AJ9" i="2"/>
  <c r="AJ8" i="2"/>
  <c r="AD5" i="2"/>
  <c r="AD6" i="2"/>
  <c r="AD7" i="2"/>
  <c r="AD8" i="2"/>
  <c r="AD9" i="2"/>
  <c r="AD10" i="2"/>
  <c r="AD11" i="2"/>
  <c r="AD12" i="2"/>
  <c r="AD4" i="2"/>
  <c r="Z15" i="2"/>
  <c r="Z14" i="2"/>
  <c r="O12" i="2"/>
  <c r="N12" i="2"/>
  <c r="O11" i="2"/>
  <c r="N11" i="2"/>
  <c r="E11" i="2"/>
  <c r="D11" i="2"/>
  <c r="C11" i="2"/>
  <c r="U10" i="2"/>
  <c r="O10" i="2"/>
  <c r="N10" i="2"/>
  <c r="E10" i="2"/>
  <c r="D10" i="2"/>
  <c r="C10" i="2"/>
  <c r="U9" i="2"/>
  <c r="O9" i="2"/>
  <c r="N9" i="2"/>
  <c r="E9" i="2"/>
  <c r="D9" i="2"/>
  <c r="C9" i="2"/>
  <c r="U8" i="2"/>
  <c r="O8" i="2"/>
  <c r="N8" i="2"/>
  <c r="U7" i="2"/>
  <c r="O7" i="2"/>
  <c r="N7" i="2"/>
  <c r="G7" i="2"/>
  <c r="F7" i="2"/>
  <c r="U6" i="2"/>
  <c r="O6" i="2"/>
  <c r="N6" i="2"/>
  <c r="G6" i="2"/>
  <c r="F6" i="2"/>
  <c r="U5" i="2"/>
  <c r="O5" i="2"/>
  <c r="N5" i="2"/>
  <c r="G5" i="2"/>
  <c r="F5" i="2"/>
  <c r="U4" i="2"/>
  <c r="O4" i="2"/>
  <c r="N4" i="2"/>
  <c r="G4" i="2"/>
  <c r="F4" i="2"/>
  <c r="AM21" i="1"/>
  <c r="AM20" i="1"/>
  <c r="AM19" i="1"/>
  <c r="P19" i="1"/>
  <c r="O19" i="1"/>
  <c r="N19" i="1"/>
  <c r="M19" i="1"/>
  <c r="L19" i="1"/>
  <c r="J19" i="1"/>
  <c r="AM18" i="1"/>
  <c r="AL18" i="1"/>
  <c r="AJ18" i="1"/>
  <c r="P18" i="1"/>
  <c r="O18" i="1"/>
  <c r="N18" i="1"/>
  <c r="M18" i="1"/>
  <c r="L18" i="1"/>
  <c r="J18" i="1"/>
  <c r="AM17" i="1"/>
  <c r="AL17" i="1"/>
  <c r="AJ17" i="1"/>
  <c r="P17" i="1"/>
  <c r="O17" i="1"/>
  <c r="N17" i="1"/>
  <c r="M17" i="1"/>
  <c r="L17" i="1"/>
  <c r="J17" i="1"/>
  <c r="AM16" i="1"/>
  <c r="AL16" i="1"/>
  <c r="AJ16" i="1"/>
  <c r="P16" i="1"/>
  <c r="O16" i="1"/>
  <c r="N16" i="1"/>
  <c r="M16" i="1"/>
  <c r="L16" i="1"/>
  <c r="J16" i="1"/>
  <c r="AM15" i="1"/>
  <c r="AL15" i="1"/>
  <c r="AJ15" i="1"/>
  <c r="P15" i="1"/>
  <c r="O15" i="1"/>
  <c r="N15" i="1"/>
  <c r="M15" i="1"/>
  <c r="L15" i="1"/>
  <c r="J15" i="1"/>
  <c r="AM14" i="1"/>
  <c r="AL14" i="1"/>
  <c r="AJ14" i="1"/>
  <c r="P14" i="1"/>
  <c r="O14" i="1"/>
  <c r="N14" i="1"/>
  <c r="M14" i="1"/>
  <c r="L14" i="1"/>
  <c r="J14" i="1"/>
  <c r="AM13" i="1"/>
  <c r="AL13" i="1"/>
  <c r="AJ13" i="1"/>
  <c r="Y13" i="1"/>
  <c r="U13" i="1"/>
  <c r="P13" i="1"/>
  <c r="O13" i="1"/>
  <c r="N13" i="1"/>
  <c r="M13" i="1"/>
  <c r="L13" i="1"/>
  <c r="AM12" i="1"/>
  <c r="AL12" i="1"/>
  <c r="AJ12" i="1"/>
  <c r="AA12" i="1"/>
  <c r="Z12" i="1"/>
  <c r="V12" i="1"/>
  <c r="AM11" i="1"/>
  <c r="AL11" i="1"/>
  <c r="AJ11" i="1"/>
  <c r="AM10" i="1"/>
  <c r="AL10" i="1"/>
  <c r="AJ10" i="1"/>
  <c r="N5" i="1"/>
  <c r="N4" i="1"/>
  <c r="N3" i="1"/>
  <c r="C3" i="1"/>
</calcChain>
</file>

<file path=xl/sharedStrings.xml><?xml version="1.0" encoding="utf-8"?>
<sst xmlns="http://schemas.openxmlformats.org/spreadsheetml/2006/main" count="874" uniqueCount="209">
  <si>
    <t>Código</t>
  </si>
  <si>
    <t>Artículo</t>
  </si>
  <si>
    <t>CODIGO</t>
  </si>
  <si>
    <t>ARTICULO</t>
  </si>
  <si>
    <t>X1A</t>
  </si>
  <si>
    <t>JK2</t>
  </si>
  <si>
    <t>L33</t>
  </si>
  <si>
    <t>AR5</t>
  </si>
  <si>
    <t>IUW</t>
  </si>
  <si>
    <t>GGA</t>
  </si>
  <si>
    <t>ZZS</t>
  </si>
  <si>
    <t>Ordenador</t>
  </si>
  <si>
    <t>Disco duro</t>
  </si>
  <si>
    <t>CD Rom</t>
  </si>
  <si>
    <t>Tarjeta de sonido</t>
  </si>
  <si>
    <t>Altavoces</t>
  </si>
  <si>
    <t>Ratón</t>
  </si>
  <si>
    <t>Grabadora</t>
  </si>
  <si>
    <t>C001</t>
  </si>
  <si>
    <t>C002</t>
  </si>
  <si>
    <t>C003</t>
  </si>
  <si>
    <t>C004</t>
  </si>
  <si>
    <t>C005</t>
  </si>
  <si>
    <t>C006</t>
  </si>
  <si>
    <t>C007</t>
  </si>
  <si>
    <t>ARTICULOS</t>
  </si>
  <si>
    <t>PRECIO</t>
  </si>
  <si>
    <t>ASAS</t>
  </si>
  <si>
    <t>REFUERZOS</t>
  </si>
  <si>
    <t>CORDONES</t>
  </si>
  <si>
    <t>BOLSAS</t>
  </si>
  <si>
    <t>TAPAS</t>
  </si>
  <si>
    <t>EMBALAJES</t>
  </si>
  <si>
    <t>FONDOS</t>
  </si>
  <si>
    <t>Artículos</t>
  </si>
  <si>
    <t>Unidades</t>
  </si>
  <si>
    <t>Bruto</t>
  </si>
  <si>
    <t>Dto.Base</t>
  </si>
  <si>
    <t>Neto</t>
  </si>
  <si>
    <t>Iva</t>
  </si>
  <si>
    <t>TOTAL</t>
  </si>
  <si>
    <t>UNIDADES</t>
  </si>
  <si>
    <t>MEDIA</t>
  </si>
  <si>
    <t>MAXIMA</t>
  </si>
  <si>
    <t>MINIMA</t>
  </si>
  <si>
    <t>Tabla de antigüedad</t>
  </si>
  <si>
    <t>Años</t>
  </si>
  <si>
    <t>Porcentaje</t>
  </si>
  <si>
    <t>Nº de empleado</t>
  </si>
  <si>
    <t>Empleado</t>
  </si>
  <si>
    <t>Surezú</t>
  </si>
  <si>
    <t>González</t>
  </si>
  <si>
    <t>Quirodino</t>
  </si>
  <si>
    <t>Mivo</t>
  </si>
  <si>
    <t>Moreno</t>
  </si>
  <si>
    <t>Tiergle</t>
  </si>
  <si>
    <t>Sueldo</t>
  </si>
  <si>
    <t>Antigüedad</t>
  </si>
  <si>
    <t>Salario Fam.</t>
  </si>
  <si>
    <t>Nº de Empleado</t>
  </si>
  <si>
    <t>Nombre</t>
  </si>
  <si>
    <t>Remuneración</t>
  </si>
  <si>
    <t>Disco Duro</t>
  </si>
  <si>
    <t>CD ROM</t>
  </si>
  <si>
    <t>Fecha</t>
  </si>
  <si>
    <t>Cliente</t>
  </si>
  <si>
    <t>NOTA DE PEDIDO</t>
  </si>
  <si>
    <t>Cantidad</t>
  </si>
  <si>
    <t>Precio</t>
  </si>
  <si>
    <t>Importe</t>
  </si>
  <si>
    <t>BRUTO</t>
  </si>
  <si>
    <t>NETO</t>
  </si>
  <si>
    <t>IVA 21%</t>
  </si>
  <si>
    <t>Saúl Begega Álvarez</t>
  </si>
  <si>
    <t>Caja de Sidra Trabanco</t>
  </si>
  <si>
    <t>CST</t>
  </si>
  <si>
    <t>EJERCICIO 2</t>
  </si>
  <si>
    <t>EJERCICIO 1</t>
  </si>
  <si>
    <t>EJERCICIO 3</t>
  </si>
  <si>
    <t>EJERCICIO 4</t>
  </si>
  <si>
    <t>PAISES</t>
  </si>
  <si>
    <t>POBLACION</t>
  </si>
  <si>
    <t>Nº NACIDOS</t>
  </si>
  <si>
    <t>Nº MUERTOS</t>
  </si>
  <si>
    <t>INDICE NAT</t>
  </si>
  <si>
    <t>RESULTADO</t>
  </si>
  <si>
    <t>Australia</t>
  </si>
  <si>
    <t>España</t>
  </si>
  <si>
    <t>Italia</t>
  </si>
  <si>
    <t>Alemania</t>
  </si>
  <si>
    <t>MEDIAS</t>
  </si>
  <si>
    <t>Partidas</t>
  </si>
  <si>
    <t>Cantidad Año 2003</t>
  </si>
  <si>
    <t>Cantidad Año 2004</t>
  </si>
  <si>
    <t>Saldo 2003-2004</t>
  </si>
  <si>
    <t>Situación</t>
  </si>
  <si>
    <t>Compras</t>
  </si>
  <si>
    <t>Sueldos y salarios</t>
  </si>
  <si>
    <t>Gastos de administración</t>
  </si>
  <si>
    <t>Gastos financieros</t>
  </si>
  <si>
    <t>Dividendos</t>
  </si>
  <si>
    <t>Inversiones</t>
  </si>
  <si>
    <t>Impuestos</t>
  </si>
  <si>
    <t>Devolución de créditos</t>
  </si>
  <si>
    <t>Otros Gastos</t>
  </si>
  <si>
    <t>Clientes</t>
  </si>
  <si>
    <t>José Álvarez</t>
  </si>
  <si>
    <t>Javier Fernández</t>
  </si>
  <si>
    <t>Cristina Albert</t>
  </si>
  <si>
    <t>María García</t>
  </si>
  <si>
    <t>Juan Díaz</t>
  </si>
  <si>
    <t>Ana Martínez</t>
  </si>
  <si>
    <t>Luis Sánchez</t>
  </si>
  <si>
    <t>Residencia</t>
  </si>
  <si>
    <t>Valencia</t>
  </si>
  <si>
    <t>Madrid</t>
  </si>
  <si>
    <t>Sevilla</t>
  </si>
  <si>
    <t>Barcelona</t>
  </si>
  <si>
    <t>Descuentos</t>
  </si>
  <si>
    <t>CANTIDAD</t>
  </si>
  <si>
    <t>PRECAUCIÓN</t>
  </si>
  <si>
    <t>A1</t>
  </si>
  <si>
    <t>A2</t>
  </si>
  <si>
    <t>A3</t>
  </si>
  <si>
    <t>B1</t>
  </si>
  <si>
    <t>B2</t>
  </si>
  <si>
    <t>B3</t>
  </si>
  <si>
    <t>C1</t>
  </si>
  <si>
    <t>C3</t>
  </si>
  <si>
    <t>C2</t>
  </si>
  <si>
    <t>A</t>
  </si>
  <si>
    <t>B</t>
  </si>
  <si>
    <t>C</t>
  </si>
  <si>
    <t>CUANTOS HAY CAT. A?</t>
  </si>
  <si>
    <t>CUANTOS CUESTAN MENOS DE 0,5?</t>
  </si>
  <si>
    <t>CATEGORÍA</t>
  </si>
  <si>
    <t>EJERCICIO 5</t>
  </si>
  <si>
    <t>Valor de entrada</t>
  </si>
  <si>
    <t>Subida</t>
  </si>
  <si>
    <t>Valor</t>
  </si>
  <si>
    <t>Tipo de Dto.</t>
  </si>
  <si>
    <t>Descuento</t>
  </si>
  <si>
    <t>Total</t>
  </si>
  <si>
    <t>Calidad</t>
  </si>
  <si>
    <t>EJERCICIO 6</t>
  </si>
  <si>
    <t>Nº de socio</t>
  </si>
  <si>
    <t>Edad</t>
  </si>
  <si>
    <t>Deuda/Cuota</t>
  </si>
  <si>
    <t>Resultado</t>
  </si>
  <si>
    <t>Pedro Pou</t>
  </si>
  <si>
    <t>Luís Sánchez</t>
  </si>
  <si>
    <t>Martín Gallo</t>
  </si>
  <si>
    <t>José Piperno</t>
  </si>
  <si>
    <t>Marcelo Tineil</t>
  </si>
  <si>
    <t>Luisa Vehil</t>
  </si>
  <si>
    <t>Martín González</t>
  </si>
  <si>
    <t>Rolando Rivas</t>
  </si>
  <si>
    <t>EJERCICIO 7</t>
  </si>
  <si>
    <t>CURSO</t>
  </si>
  <si>
    <t>Nota Máxima</t>
  </si>
  <si>
    <t>Nota Mínima</t>
  </si>
  <si>
    <t>Media Notas</t>
  </si>
  <si>
    <t>Nº Alumnos</t>
  </si>
  <si>
    <t>Alumno</t>
  </si>
  <si>
    <t>1ª Ev</t>
  </si>
  <si>
    <t>2ª Ev</t>
  </si>
  <si>
    <t>3ª Ev</t>
  </si>
  <si>
    <t>Nota final</t>
  </si>
  <si>
    <t>Calificación</t>
  </si>
  <si>
    <t>Juan López</t>
  </si>
  <si>
    <t>Pedro Pérez</t>
  </si>
  <si>
    <t>Federico Ruíz</t>
  </si>
  <si>
    <t>Carlos Álvarez</t>
  </si>
  <si>
    <t>Natalia Alonso</t>
  </si>
  <si>
    <t>Nieves Sánchez</t>
  </si>
  <si>
    <t>Apto</t>
  </si>
  <si>
    <t>Vendedor</t>
  </si>
  <si>
    <t>Tienda</t>
  </si>
  <si>
    <t>Producto</t>
  </si>
  <si>
    <t>Carlos Vasquez</t>
  </si>
  <si>
    <t>Tienda A</t>
  </si>
  <si>
    <t>Laptop i3</t>
  </si>
  <si>
    <t>Juan Carlos</t>
  </si>
  <si>
    <t>Tienda B</t>
  </si>
  <si>
    <t xml:space="preserve">Impresora </t>
  </si>
  <si>
    <t>Pedro Noriega</t>
  </si>
  <si>
    <t>Laptop i5</t>
  </si>
  <si>
    <t>José Almanares</t>
  </si>
  <si>
    <t>Tienda C</t>
  </si>
  <si>
    <t>Pantalla 42</t>
  </si>
  <si>
    <t>Teclado</t>
  </si>
  <si>
    <t>Mouse</t>
  </si>
  <si>
    <t>Tienda D</t>
  </si>
  <si>
    <t>Laptop i7</t>
  </si>
  <si>
    <t>Pantalla 17</t>
  </si>
  <si>
    <t>USB 3.0.1</t>
  </si>
  <si>
    <t>Suma de Importe</t>
  </si>
  <si>
    <t>Etiquetas de columna</t>
  </si>
  <si>
    <t>Etiquetas de fila</t>
  </si>
  <si>
    <t>Total general</t>
  </si>
  <si>
    <t>2017</t>
  </si>
  <si>
    <t>2018</t>
  </si>
  <si>
    <t>2019</t>
  </si>
  <si>
    <t>Máx. de Importe</t>
  </si>
  <si>
    <t>mar</t>
  </si>
  <si>
    <t>abr</t>
  </si>
  <si>
    <t>may</t>
  </si>
  <si>
    <t>Promedio de Importe</t>
  </si>
  <si>
    <t>Suma de Descuento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</si>
</sst>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#,##0.00\ &quot;€&quot;"/>
    <numFmt numFmtId="165" formatCode="0.0"/>
    <numFmt numFmtId="166" formatCode="&quot;S/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i/>
      <sz val="22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3" fillId="2" borderId="20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4" fontId="0" fillId="0" borderId="23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23" xfId="1" applyNumberFormat="1" applyFon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44" fontId="0" fillId="0" borderId="31" xfId="0" applyNumberForma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9" fontId="0" fillId="0" borderId="1" xfId="2" applyFont="1" applyBorder="1"/>
    <xf numFmtId="0" fontId="8" fillId="2" borderId="3" xfId="0" applyFont="1" applyFill="1" applyBorder="1"/>
    <xf numFmtId="0" fontId="2" fillId="2" borderId="16" xfId="0" applyFont="1" applyFill="1" applyBorder="1"/>
    <xf numFmtId="164" fontId="0" fillId="0" borderId="16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20" xfId="0" applyFont="1" applyFill="1" applyBorder="1"/>
    <xf numFmtId="0" fontId="0" fillId="0" borderId="20" xfId="0" applyBorder="1"/>
    <xf numFmtId="0" fontId="0" fillId="0" borderId="8" xfId="0" applyBorder="1"/>
    <xf numFmtId="14" fontId="0" fillId="0" borderId="22" xfId="0" applyNumberFormat="1" applyBorder="1" applyAlignment="1">
      <alignment horizontal="center" vertical="center"/>
    </xf>
    <xf numFmtId="164" fontId="0" fillId="0" borderId="22" xfId="0" applyNumberFormat="1" applyBorder="1"/>
    <xf numFmtId="9" fontId="0" fillId="0" borderId="22" xfId="2" applyFont="1" applyBorder="1"/>
    <xf numFmtId="0" fontId="0" fillId="0" borderId="23" xfId="0" applyBorder="1"/>
    <xf numFmtId="0" fontId="0" fillId="0" borderId="18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14" fontId="10" fillId="0" borderId="40" xfId="0" applyNumberFormat="1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166" fontId="10" fillId="0" borderId="40" xfId="0" applyNumberFormat="1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14" fontId="10" fillId="0" borderId="42" xfId="0" applyNumberFormat="1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166" fontId="10" fillId="0" borderId="42" xfId="0" applyNumberFormat="1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6" fontId="10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13" fillId="3" borderId="39" xfId="0" applyFont="1" applyFill="1" applyBorder="1" applyAlignment="1">
      <alignment horizontal="center" vertical="center"/>
    </xf>
    <xf numFmtId="0" fontId="12" fillId="0" borderId="0" xfId="0" applyFont="1"/>
    <xf numFmtId="14" fontId="12" fillId="0" borderId="40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left" vertical="center"/>
    </xf>
    <xf numFmtId="166" fontId="12" fillId="0" borderId="40" xfId="0" applyNumberFormat="1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14" fontId="12" fillId="0" borderId="42" xfId="0" applyNumberFormat="1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166" fontId="12" fillId="0" borderId="42" xfId="0" applyNumberFormat="1" applyFont="1" applyBorder="1" applyAlignment="1">
      <alignment horizontal="left" vertical="center"/>
    </xf>
    <xf numFmtId="14" fontId="12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" borderId="3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4" fontId="17" fillId="0" borderId="40" xfId="0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/>
    </xf>
    <xf numFmtId="166" fontId="17" fillId="0" borderId="40" xfId="0" applyNumberFormat="1" applyFont="1" applyBorder="1" applyAlignment="1">
      <alignment horizontal="left" vertical="center"/>
    </xf>
    <xf numFmtId="14" fontId="17" fillId="0" borderId="42" xfId="0" applyNumberFormat="1" applyFont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166" fontId="17" fillId="0" borderId="42" xfId="0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66" fontId="17" fillId="0" borderId="1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horizontal="center" vertical="center"/>
    </xf>
    <xf numFmtId="166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38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1"/>
        <color theme="1"/>
      </font>
      <border>
        <vertical/>
        <horizontal/>
      </border>
    </dxf>
    <dxf>
      <font>
        <sz val="4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24"/>
      </font>
    </dxf>
    <dxf>
      <alignment vertical="center" indent="0"/>
    </dxf>
    <dxf>
      <alignment horizontal="center"/>
    </dxf>
    <dxf>
      <font>
        <sz val="22"/>
      </font>
    </dxf>
    <dxf>
      <alignment vertical="center"/>
    </dxf>
    <dxf>
      <alignment horizontal="center"/>
    </dxf>
  </dxfs>
  <tableStyles count="1" defaultTableStyle="TableStyleMedium2" defaultPivotStyle="PivotStyleLight16">
    <tableStyle name="TimeSlicerStyleLight1 2" pivot="0" table="0" count="9" xr9:uid="{D8F3F32C-BCED-4C9A-89CF-49EC3963CFCB}">
      <tableStyleElement type="wholeTable" dxfId="31"/>
      <tableStyleElement type="headerRow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133350</xdr:rowOff>
    </xdr:from>
    <xdr:to>
      <xdr:col>14</xdr:col>
      <xdr:colOff>628650</xdr:colOff>
      <xdr:row>4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EDFAD07-85D0-4B19-8FC0-0BC34A94C7A1}"/>
            </a:ext>
          </a:extLst>
        </xdr:cNvPr>
        <xdr:cNvSpPr/>
      </xdr:nvSpPr>
      <xdr:spPr>
        <a:xfrm>
          <a:off x="9620250" y="133350"/>
          <a:ext cx="15182850" cy="1104900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 SUMA DE IMPORTES POR CADA VENDEDOR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, AGRUPADO POR TIENDA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twoCellAnchor editAs="oneCell">
    <xdr:from>
      <xdr:col>6</xdr:col>
      <xdr:colOff>254575</xdr:colOff>
      <xdr:row>5</xdr:row>
      <xdr:rowOff>32905</xdr:rowOff>
    </xdr:from>
    <xdr:to>
      <xdr:col>10</xdr:col>
      <xdr:colOff>2159577</xdr:colOff>
      <xdr:row>14</xdr:row>
      <xdr:rowOff>86324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2F06D-2455-4BC5-8619-6D8B1BC28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098" t="49838" r="21108" b="25412"/>
        <a:stretch/>
      </xdr:blipFill>
      <xdr:spPr>
        <a:xfrm>
          <a:off x="9655750" y="1385455"/>
          <a:ext cx="8029577" cy="2110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133350</xdr:rowOff>
    </xdr:from>
    <xdr:to>
      <xdr:col>14</xdr:col>
      <xdr:colOff>628650</xdr:colOff>
      <xdr:row>4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7A24A169-4418-4439-94AD-72AB226DBA58}"/>
            </a:ext>
          </a:extLst>
        </xdr:cNvPr>
        <xdr:cNvSpPr/>
      </xdr:nvSpPr>
      <xdr:spPr>
        <a:xfrm>
          <a:off x="20507325" y="133350"/>
          <a:ext cx="19792950" cy="1504950"/>
        </a:xfrm>
        <a:prstGeom prst="roundRect">
          <a:avLst>
            <a:gd name="adj" fmla="val 7184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 SUMA DE IMPORTES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POR TIENDA Y AGRUPADO POR FECHA (Año y mes)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388938</xdr:colOff>
      <xdr:row>5</xdr:row>
      <xdr:rowOff>87312</xdr:rowOff>
    </xdr:from>
    <xdr:to>
      <xdr:col>8</xdr:col>
      <xdr:colOff>1494185</xdr:colOff>
      <xdr:row>16</xdr:row>
      <xdr:rowOff>285028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661089-FDDB-4FFC-B16F-2DED1E7343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804" t="37273" r="18913" b="21904"/>
        <a:stretch/>
      </xdr:blipFill>
      <xdr:spPr>
        <a:xfrm>
          <a:off x="20677188" y="1992312"/>
          <a:ext cx="7867997" cy="4388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180975</xdr:rowOff>
    </xdr:from>
    <xdr:to>
      <xdr:col>14</xdr:col>
      <xdr:colOff>638175</xdr:colOff>
      <xdr:row>3</xdr:row>
      <xdr:rowOff>190500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0B1EB97-265C-411D-8D91-244A491D2053}"/>
            </a:ext>
          </a:extLst>
        </xdr:cNvPr>
        <xdr:cNvSpPr/>
      </xdr:nvSpPr>
      <xdr:spPr>
        <a:xfrm>
          <a:off x="9629775" y="180975"/>
          <a:ext cx="8467725" cy="904875"/>
        </a:xfrm>
        <a:prstGeom prst="roundRect">
          <a:avLst>
            <a:gd name="adj" fmla="val 7184"/>
          </a:avLst>
        </a:prstGeom>
        <a:solidFill>
          <a:srgbClr val="60C3D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LAS VENTAS MÁXIMAS POR VENDEDOR,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AGRUPAR POR FECHAS(AÑO, MES) Y FILTRAR POR TIENDA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285750</xdr:colOff>
      <xdr:row>4</xdr:row>
      <xdr:rowOff>209550</xdr:rowOff>
    </xdr:from>
    <xdr:to>
      <xdr:col>12</xdr:col>
      <xdr:colOff>133350</xdr:colOff>
      <xdr:row>21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B241F4-3824-4C60-82E4-12BBFCB7E6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883" t="31115" r="9468" b="32954"/>
        <a:stretch/>
      </xdr:blipFill>
      <xdr:spPr>
        <a:xfrm>
          <a:off x="9686925" y="1333500"/>
          <a:ext cx="6153150" cy="3695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180975</xdr:rowOff>
    </xdr:from>
    <xdr:to>
      <xdr:col>14</xdr:col>
      <xdr:colOff>638175</xdr:colOff>
      <xdr:row>3</xdr:row>
      <xdr:rowOff>190500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B8CB9E4-D8CD-4AC3-A2BC-14BA6A460ADA}"/>
            </a:ext>
          </a:extLst>
        </xdr:cNvPr>
        <xdr:cNvSpPr/>
      </xdr:nvSpPr>
      <xdr:spPr>
        <a:xfrm>
          <a:off x="9629775" y="180975"/>
          <a:ext cx="9344025" cy="904875"/>
        </a:xfrm>
        <a:prstGeom prst="roundRect">
          <a:avLst>
            <a:gd name="adj" fmla="val 7184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SUMA DE VENTAS POR TIENDA,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AGRUPAR POR FECHAS(AÑO, MES) Y APLICAR SEGMENTACIÓN POR VENDEDOR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304801</xdr:colOff>
      <xdr:row>4</xdr:row>
      <xdr:rowOff>200024</xdr:rowOff>
    </xdr:from>
    <xdr:to>
      <xdr:col>13</xdr:col>
      <xdr:colOff>417861</xdr:colOff>
      <xdr:row>19</xdr:row>
      <xdr:rowOff>152399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1DFA3B-0FC1-4483-9C6E-34D53A9B9B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699" t="35770" r="21774" b="30779"/>
        <a:stretch/>
      </xdr:blipFill>
      <xdr:spPr>
        <a:xfrm>
          <a:off x="9705976" y="1323974"/>
          <a:ext cx="7933085" cy="3343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</xdr:colOff>
      <xdr:row>24</xdr:row>
      <xdr:rowOff>1361</xdr:rowOff>
    </xdr:from>
    <xdr:to>
      <xdr:col>16</xdr:col>
      <xdr:colOff>70757</xdr:colOff>
      <xdr:row>30</xdr:row>
      <xdr:rowOff>122464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0E22BE20-DEBB-4A4C-830C-A16E7740DE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53314" y="5716361"/>
              <a:ext cx="1828800" cy="15090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166688</xdr:colOff>
      <xdr:row>0</xdr:row>
      <xdr:rowOff>357187</xdr:rowOff>
    </xdr:from>
    <xdr:to>
      <xdr:col>10</xdr:col>
      <xdr:colOff>1947863</xdr:colOff>
      <xdr:row>3</xdr:row>
      <xdr:rowOff>142875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9F373EB-FE09-4465-9FFC-6192278E2CD9}"/>
            </a:ext>
          </a:extLst>
        </xdr:cNvPr>
        <xdr:cNvSpPr/>
      </xdr:nvSpPr>
      <xdr:spPr>
        <a:xfrm>
          <a:off x="20454938" y="357187"/>
          <a:ext cx="14458950" cy="928688"/>
        </a:xfrm>
        <a:prstGeom prst="roundRect">
          <a:avLst>
            <a:gd name="adj" fmla="val 7184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PROMEDIO DE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VENTAS POR CADA VENDEDOR AGRUPADO POR TIENDAS. INSERTAR ESCALA DE TIEMPO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228599</xdr:colOff>
      <xdr:row>4</xdr:row>
      <xdr:rowOff>190499</xdr:rowOff>
    </xdr:from>
    <xdr:to>
      <xdr:col>11</xdr:col>
      <xdr:colOff>354131</xdr:colOff>
      <xdr:row>22</xdr:row>
      <xdr:rowOff>357187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D00428-BF76-4365-8731-7E4AE1C7F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076" t="28702" r="10549" b="30380"/>
        <a:stretch/>
      </xdr:blipFill>
      <xdr:spPr>
        <a:xfrm>
          <a:off x="20516849" y="1714499"/>
          <a:ext cx="14755932" cy="7024688"/>
        </a:xfrm>
        <a:prstGeom prst="rect">
          <a:avLst/>
        </a:prstGeom>
      </xdr:spPr>
    </xdr:pic>
    <xdr:clientData/>
  </xdr:twoCellAnchor>
  <xdr:twoCellAnchor>
    <xdr:from>
      <xdr:col>13</xdr:col>
      <xdr:colOff>103474</xdr:colOff>
      <xdr:row>27</xdr:row>
      <xdr:rowOff>119062</xdr:rowOff>
    </xdr:from>
    <xdr:to>
      <xdr:col>14</xdr:col>
      <xdr:colOff>904875</xdr:colOff>
      <xdr:row>31</xdr:row>
      <xdr:rowOff>261937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5C4B2433-101F-493D-A608-F434E4D487AD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03599" y="10406062"/>
              <a:ext cx="4182776" cy="1952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180975</xdr:rowOff>
    </xdr:from>
    <xdr:to>
      <xdr:col>14</xdr:col>
      <xdr:colOff>638175</xdr:colOff>
      <xdr:row>3</xdr:row>
      <xdr:rowOff>190500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919C64E-FC1E-4BCA-A2B2-15392936AFC9}"/>
            </a:ext>
          </a:extLst>
        </xdr:cNvPr>
        <xdr:cNvSpPr/>
      </xdr:nvSpPr>
      <xdr:spPr>
        <a:xfrm>
          <a:off x="9629775" y="180975"/>
          <a:ext cx="9553575" cy="904875"/>
        </a:xfrm>
        <a:prstGeom prst="roundRect">
          <a:avLst>
            <a:gd name="adj" fmla="val 7184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SUMA DE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VENTAS POR CADA VENDEDOR AGRUPADO POR TIENDAS. INSERTAR UN CAMPO CALCULADO, APLICANDO el 10 % a la suma de ventas</a:t>
          </a:r>
        </a:p>
        <a:p>
          <a:pPr algn="ctr"/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361949</xdr:colOff>
      <xdr:row>4</xdr:row>
      <xdr:rowOff>95249</xdr:rowOff>
    </xdr:from>
    <xdr:to>
      <xdr:col>12</xdr:col>
      <xdr:colOff>523874</xdr:colOff>
      <xdr:row>34</xdr:row>
      <xdr:rowOff>93490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D592EF-4141-4CCB-A09D-276387B58D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95" t="26735" r="16000" b="9602"/>
        <a:stretch/>
      </xdr:blipFill>
      <xdr:spPr>
        <a:xfrm>
          <a:off x="11763374" y="1219199"/>
          <a:ext cx="4924425" cy="670384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&#241;ana\Downloads\Tablas%20din&#225;micas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388100925928" createdVersion="8" refreshedVersion="8" minRefreshableVersion="3" recordCount="29" xr:uid="{05ABE9BB-1829-4AF1-A24A-7737277B3362}">
  <cacheSource type="worksheet">
    <worksheetSource ref="B2:F31" sheet="Ejercicio I" r:id="rId2"/>
  </cacheSource>
  <cacheFields count="8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7"/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 count="9">
        <s v="Laptop i3"/>
        <s v="Impresora "/>
        <s v="Laptop i5"/>
        <s v="Pantalla 42"/>
        <s v="Teclado"/>
        <s v="Mouse"/>
        <s v="Laptop i7"/>
        <s v="Pantalla 17"/>
        <s v="USB 3.0.1"/>
      </sharedItems>
    </cacheField>
    <cacheField name="Importe" numFmtId="166">
      <sharedItems containsSemiMixedTypes="0" containsString="0" containsNumber="1" containsInteger="1" minValue="10" maxValue="4000" count="10">
        <n v="1000"/>
        <n v="200"/>
        <n v="3500"/>
        <n v="100"/>
        <n v="20"/>
        <n v="10"/>
        <n v="4000"/>
        <n v="180"/>
        <n v="30"/>
        <n v="15"/>
      </sharedItems>
    </cacheField>
    <cacheField name="Meses (Fecha)" numFmtId="0" databaseField="0">
      <fieldGroup base="0">
        <rangePr groupBy="months" startDate="2017-03-17T00:00:00" endDate="2019-09-21T00:00:00"/>
        <groupItems count="14">
          <s v="&lt;17/0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9/2019"/>
        </groupItems>
      </fieldGroup>
    </cacheField>
    <cacheField name="Trimestres (Fecha)" numFmtId="0" databaseField="0">
      <fieldGroup base="0">
        <rangePr groupBy="quarters" startDate="2017-03-17T00:00:00" endDate="2019-09-21T00:00:00"/>
        <groupItems count="6">
          <s v="&lt;17/03/2017"/>
          <s v="Trim.1"/>
          <s v="Trim.2"/>
          <s v="Trim.3"/>
          <s v="Trim.4"/>
          <s v="&gt;21/09/2019"/>
        </groupItems>
      </fieldGroup>
    </cacheField>
    <cacheField name="Años (Fecha)" numFmtId="0" databaseField="0">
      <fieldGroup base="0">
        <rangePr groupBy="years" startDate="2017-03-17T00:00:00" endDate="2019-09-21T00:00:00"/>
        <groupItems count="5">
          <s v="&lt;17/03/2017"/>
          <s v="2017"/>
          <s v="2018"/>
          <s v="2019"/>
          <s v="&gt;21/0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397051967593" createdVersion="8" refreshedVersion="8" minRefreshableVersion="3" recordCount="29" xr:uid="{0FDD98B5-E137-4629-8EF7-7000949D9CFA}">
  <cacheSource type="worksheet">
    <worksheetSource ref="B2:F31" sheet="Ejercicio II" r:id="rId2"/>
  </cacheSource>
  <cacheFields count="8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7"/>
    </cacheField>
    <cacheField name="Vendedor" numFmtId="0">
      <sharedItems/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6">
      <sharedItems containsSemiMixedTypes="0" containsString="0" containsNumber="1" containsInteger="1" minValue="10" maxValue="4000"/>
    </cacheField>
    <cacheField name="Meses (Fecha)" numFmtId="0" databaseField="0">
      <fieldGroup base="0">
        <rangePr groupBy="months" startDate="2017-03-17T00:00:00" endDate="2019-09-21T00:00:00"/>
        <groupItems count="14">
          <s v="&lt;17/0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9/2019"/>
        </groupItems>
      </fieldGroup>
    </cacheField>
    <cacheField name="Trimestres (Fecha)" numFmtId="0" databaseField="0">
      <fieldGroup base="0">
        <rangePr groupBy="quarters" startDate="2017-03-17T00:00:00" endDate="2019-09-21T00:00:00"/>
        <groupItems count="6">
          <s v="&lt;17/03/2017"/>
          <s v="Trim.1"/>
          <s v="Trim.2"/>
          <s v="Trim.3"/>
          <s v="Trim.4"/>
          <s v="&gt;21/09/2019"/>
        </groupItems>
      </fieldGroup>
    </cacheField>
    <cacheField name="Años (Fecha)" numFmtId="0" databaseField="0">
      <fieldGroup base="0">
        <rangePr groupBy="years" startDate="2017-03-17T00:00:00" endDate="2019-09-21T00:00:00"/>
        <groupItems count="5">
          <s v="&lt;17/03/2017"/>
          <s v="2017"/>
          <s v="2018"/>
          <s v="2019"/>
          <s v="&gt;21/0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399232986114" createdVersion="8" refreshedVersion="8" minRefreshableVersion="3" recordCount="29" xr:uid="{8EEF0845-A6F0-45A4-860A-C8421380C840}">
  <cacheSource type="worksheet">
    <worksheetSource ref="B2:F31" sheet="Ejercicio III" r:id="rId2"/>
  </cacheSource>
  <cacheFields count="8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7"/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6">
      <sharedItems containsSemiMixedTypes="0" containsString="0" containsNumber="1" containsInteger="1" minValue="10" maxValue="4000"/>
    </cacheField>
    <cacheField name="Meses (Fecha)" numFmtId="0" databaseField="0">
      <fieldGroup base="0">
        <rangePr groupBy="months" startDate="2017-03-17T00:00:00" endDate="2019-09-21T00:00:00"/>
        <groupItems count="14">
          <s v="&lt;17/0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9/2019"/>
        </groupItems>
      </fieldGroup>
    </cacheField>
    <cacheField name="Trimestres (Fecha)" numFmtId="0" databaseField="0">
      <fieldGroup base="0">
        <rangePr groupBy="quarters" startDate="2017-03-17T00:00:00" endDate="2019-09-21T00:00:00"/>
        <groupItems count="6">
          <s v="&lt;17/03/2017"/>
          <s v="Trim.1"/>
          <s v="Trim.2"/>
          <s v="Trim.3"/>
          <s v="Trim.4"/>
          <s v="&gt;21/09/2019"/>
        </groupItems>
      </fieldGroup>
    </cacheField>
    <cacheField name="Años (Fecha)" numFmtId="0" databaseField="0">
      <fieldGroup base="0">
        <rangePr groupBy="years" startDate="2017-03-17T00:00:00" endDate="2019-09-21T00:00:00"/>
        <groupItems count="5">
          <s v="&lt;17/03/2017"/>
          <s v="2017"/>
          <s v="2018"/>
          <s v="2019"/>
          <s v="&gt;21/0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401122916664" createdVersion="8" refreshedVersion="8" minRefreshableVersion="3" recordCount="29" xr:uid="{51A03F43-8936-4EFB-9BC4-2B8DE1B4A0B3}">
  <cacheSource type="worksheet">
    <worksheetSource ref="B2:F31" sheet="Ejercicio IV" r:id="rId2"/>
  </cacheSource>
  <cacheFields count="8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7"/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/>
    </cacheField>
    <cacheField name="Meses (Fecha)" numFmtId="0" databaseField="0">
      <fieldGroup base="0">
        <rangePr groupBy="months" startDate="2017-03-17T00:00:00" endDate="2019-09-21T00:00:00"/>
        <groupItems count="14">
          <s v="&lt;17/0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9/2019"/>
        </groupItems>
      </fieldGroup>
    </cacheField>
    <cacheField name="Trimestres (Fecha)" numFmtId="0" databaseField="0">
      <fieldGroup base="0">
        <rangePr groupBy="quarters" startDate="2017-03-17T00:00:00" endDate="2019-09-21T00:00:00"/>
        <groupItems count="6">
          <s v="&lt;17/03/2017"/>
          <s v="Trim.1"/>
          <s v="Trim.2"/>
          <s v="Trim.3"/>
          <s v="Trim.4"/>
          <s v="&gt;21/09/2019"/>
        </groupItems>
      </fieldGroup>
    </cacheField>
    <cacheField name="Años (Fecha)" numFmtId="0" databaseField="0">
      <fieldGroup base="0">
        <rangePr groupBy="years" startDate="2017-03-17T00:00:00" endDate="2019-09-21T00:00:00"/>
        <groupItems count="5">
          <s v="&lt;17/03/2017"/>
          <s v="2017"/>
          <s v="2018"/>
          <s v="2019"/>
          <s v="&gt;21/09/2019"/>
        </groupItems>
      </fieldGroup>
    </cacheField>
  </cacheFields>
  <extLst>
    <ext xmlns:x14="http://schemas.microsoft.com/office/spreadsheetml/2009/9/main" uri="{725AE2AE-9491-48be-B2B4-4EB974FC3084}">
      <x14:pivotCacheDefinition pivotCacheId="1057634393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406663657406" createdVersion="8" refreshedVersion="8" minRefreshableVersion="3" recordCount="29" xr:uid="{F85D2E89-2170-4C0E-B6C1-74F68753C841}">
  <cacheSource type="worksheet">
    <worksheetSource ref="B2:F31" sheet="Ejercicio V" r:id="rId2"/>
  </cacheSource>
  <cacheFields count="5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/>
    </cacheField>
  </cacheFields>
  <extLst>
    <ext xmlns:x14="http://schemas.microsoft.com/office/spreadsheetml/2009/9/main" uri="{725AE2AE-9491-48be-B2B4-4EB974FC3084}">
      <x14:pivotCacheDefinition pivotCacheId="1786247116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ñana" refreshedDate="46169.449336458332" createdVersion="8" refreshedVersion="8" minRefreshableVersion="3" recordCount="29" xr:uid="{7E028988-278D-4EA3-AF19-37E0F2D4E1BD}">
  <cacheSource type="worksheet">
    <worksheetSource ref="B2:F31" sheet="Ejercicio VI" r:id="rId2"/>
  </cacheSource>
  <cacheFields count="6">
    <cacheField name="Fecha" numFmtId="14">
      <sharedItems containsSemiMixedTypes="0" containsNonDate="0" containsDate="1" containsString="0" minDate="2017-03-17T00:00:00" maxDate="2019-09-21T00:00:00"/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6">
      <sharedItems containsSemiMixedTypes="0" containsString="0" containsNumber="1" containsInteger="1" minValue="10" maxValue="4000"/>
    </cacheField>
    <cacheField name="Descuento 10%" numFmtId="0" formula="Importe * 0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  <x v="0"/>
  </r>
  <r>
    <x v="1"/>
    <x v="1"/>
    <x v="1"/>
    <x v="1"/>
    <x v="1"/>
  </r>
  <r>
    <x v="2"/>
    <x v="2"/>
    <x v="1"/>
    <x v="2"/>
    <x v="2"/>
  </r>
  <r>
    <x v="3"/>
    <x v="3"/>
    <x v="2"/>
    <x v="1"/>
    <x v="3"/>
  </r>
  <r>
    <x v="4"/>
    <x v="0"/>
    <x v="0"/>
    <x v="3"/>
    <x v="3"/>
  </r>
  <r>
    <x v="5"/>
    <x v="1"/>
    <x v="2"/>
    <x v="4"/>
    <x v="4"/>
  </r>
  <r>
    <x v="5"/>
    <x v="2"/>
    <x v="2"/>
    <x v="5"/>
    <x v="5"/>
  </r>
  <r>
    <x v="6"/>
    <x v="3"/>
    <x v="0"/>
    <x v="4"/>
    <x v="4"/>
  </r>
  <r>
    <x v="7"/>
    <x v="3"/>
    <x v="3"/>
    <x v="6"/>
    <x v="6"/>
  </r>
  <r>
    <x v="8"/>
    <x v="0"/>
    <x v="2"/>
    <x v="6"/>
    <x v="6"/>
  </r>
  <r>
    <x v="9"/>
    <x v="1"/>
    <x v="2"/>
    <x v="7"/>
    <x v="7"/>
  </r>
  <r>
    <x v="8"/>
    <x v="2"/>
    <x v="0"/>
    <x v="5"/>
    <x v="5"/>
  </r>
  <r>
    <x v="7"/>
    <x v="3"/>
    <x v="3"/>
    <x v="4"/>
    <x v="8"/>
  </r>
  <r>
    <x v="10"/>
    <x v="0"/>
    <x v="1"/>
    <x v="0"/>
    <x v="0"/>
  </r>
  <r>
    <x v="11"/>
    <x v="1"/>
    <x v="2"/>
    <x v="8"/>
    <x v="9"/>
  </r>
  <r>
    <x v="12"/>
    <x v="2"/>
    <x v="0"/>
    <x v="6"/>
    <x v="6"/>
  </r>
  <r>
    <x v="13"/>
    <x v="3"/>
    <x v="2"/>
    <x v="8"/>
    <x v="9"/>
  </r>
  <r>
    <x v="14"/>
    <x v="0"/>
    <x v="0"/>
    <x v="1"/>
    <x v="3"/>
  </r>
  <r>
    <x v="15"/>
    <x v="1"/>
    <x v="3"/>
    <x v="3"/>
    <x v="3"/>
  </r>
  <r>
    <x v="16"/>
    <x v="2"/>
    <x v="0"/>
    <x v="0"/>
    <x v="9"/>
  </r>
  <r>
    <x v="17"/>
    <x v="3"/>
    <x v="2"/>
    <x v="3"/>
    <x v="3"/>
  </r>
  <r>
    <x v="18"/>
    <x v="0"/>
    <x v="3"/>
    <x v="8"/>
    <x v="9"/>
  </r>
  <r>
    <x v="19"/>
    <x v="1"/>
    <x v="2"/>
    <x v="3"/>
    <x v="3"/>
  </r>
  <r>
    <x v="20"/>
    <x v="2"/>
    <x v="0"/>
    <x v="6"/>
    <x v="6"/>
  </r>
  <r>
    <x v="21"/>
    <x v="3"/>
    <x v="0"/>
    <x v="3"/>
    <x v="3"/>
  </r>
  <r>
    <x v="22"/>
    <x v="0"/>
    <x v="1"/>
    <x v="1"/>
    <x v="3"/>
  </r>
  <r>
    <x v="23"/>
    <x v="1"/>
    <x v="0"/>
    <x v="0"/>
    <x v="0"/>
  </r>
  <r>
    <x v="24"/>
    <x v="2"/>
    <x v="3"/>
    <x v="2"/>
    <x v="2"/>
  </r>
  <r>
    <x v="25"/>
    <x v="3"/>
    <x v="1"/>
    <x v="8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Carlos Vasquez"/>
    <x v="0"/>
    <s v="Laptop i3"/>
    <n v="1000"/>
  </r>
  <r>
    <x v="1"/>
    <s v="Juan Carlos"/>
    <x v="1"/>
    <s v="Impresora "/>
    <n v="200"/>
  </r>
  <r>
    <x v="2"/>
    <s v="Pedro Noriega"/>
    <x v="1"/>
    <s v="Laptop i5"/>
    <n v="3500"/>
  </r>
  <r>
    <x v="3"/>
    <s v="José Almanares"/>
    <x v="2"/>
    <s v="Impresora "/>
    <n v="100"/>
  </r>
  <r>
    <x v="4"/>
    <s v="Carlos Vasquez"/>
    <x v="0"/>
    <s v="Pantalla 42"/>
    <n v="100"/>
  </r>
  <r>
    <x v="5"/>
    <s v="Juan Carlos"/>
    <x v="2"/>
    <s v="Teclado"/>
    <n v="20"/>
  </r>
  <r>
    <x v="5"/>
    <s v="Pedro Noriega"/>
    <x v="2"/>
    <s v="Mouse"/>
    <n v="10"/>
  </r>
  <r>
    <x v="6"/>
    <s v="José Almanares"/>
    <x v="0"/>
    <s v="Teclado"/>
    <n v="20"/>
  </r>
  <r>
    <x v="7"/>
    <s v="José Almanares"/>
    <x v="3"/>
    <s v="Laptop i7"/>
    <n v="4000"/>
  </r>
  <r>
    <x v="8"/>
    <s v="Carlos Vasquez"/>
    <x v="2"/>
    <s v="Laptop i7"/>
    <n v="4000"/>
  </r>
  <r>
    <x v="9"/>
    <s v="Juan Carlos"/>
    <x v="2"/>
    <s v="Pantalla 17"/>
    <n v="180"/>
  </r>
  <r>
    <x v="8"/>
    <s v="Pedro Noriega"/>
    <x v="0"/>
    <s v="Mouse"/>
    <n v="10"/>
  </r>
  <r>
    <x v="7"/>
    <s v="José Almanares"/>
    <x v="3"/>
    <s v="Teclado"/>
    <n v="30"/>
  </r>
  <r>
    <x v="10"/>
    <s v="Carlos Vasquez"/>
    <x v="1"/>
    <s v="Laptop i3"/>
    <n v="1000"/>
  </r>
  <r>
    <x v="11"/>
    <s v="Juan Carlos"/>
    <x v="2"/>
    <s v="USB 3.0.1"/>
    <n v="15"/>
  </r>
  <r>
    <x v="12"/>
    <s v="Pedro Noriega"/>
    <x v="0"/>
    <s v="Laptop i7"/>
    <n v="4000"/>
  </r>
  <r>
    <x v="13"/>
    <s v="José Almanares"/>
    <x v="2"/>
    <s v="USB 3.0.1"/>
    <n v="15"/>
  </r>
  <r>
    <x v="14"/>
    <s v="Carlos Vasquez"/>
    <x v="0"/>
    <s v="Impresora "/>
    <n v="100"/>
  </r>
  <r>
    <x v="15"/>
    <s v="Juan Carlos"/>
    <x v="3"/>
    <s v="Pantalla 42"/>
    <n v="100"/>
  </r>
  <r>
    <x v="16"/>
    <s v="Pedro Noriega"/>
    <x v="0"/>
    <s v="Laptop i3"/>
    <n v="15"/>
  </r>
  <r>
    <x v="17"/>
    <s v="José Almanares"/>
    <x v="2"/>
    <s v="Pantalla 42"/>
    <n v="100"/>
  </r>
  <r>
    <x v="18"/>
    <s v="Carlos Vasquez"/>
    <x v="3"/>
    <s v="USB 3.0.1"/>
    <n v="15"/>
  </r>
  <r>
    <x v="19"/>
    <s v="Juan Carlos"/>
    <x v="2"/>
    <s v="Pantalla 42"/>
    <n v="100"/>
  </r>
  <r>
    <x v="20"/>
    <s v="Pedro Noriega"/>
    <x v="0"/>
    <s v="Laptop i7"/>
    <n v="4000"/>
  </r>
  <r>
    <x v="21"/>
    <s v="José Almanares"/>
    <x v="0"/>
    <s v="Pantalla 42"/>
    <n v="100"/>
  </r>
  <r>
    <x v="22"/>
    <s v="Carlos Vasquez"/>
    <x v="1"/>
    <s v="Impresora "/>
    <n v="100"/>
  </r>
  <r>
    <x v="23"/>
    <s v="Juan Carlos"/>
    <x v="0"/>
    <s v="Laptop i3"/>
    <n v="1000"/>
  </r>
  <r>
    <x v="24"/>
    <s v="Pedro Noriega"/>
    <x v="3"/>
    <s v="Laptop i5"/>
    <n v="3500"/>
  </r>
  <r>
    <x v="25"/>
    <s v="José Almanares"/>
    <x v="1"/>
    <s v="USB 3.0.1"/>
    <n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17-03-17T00:00:00"/>
    <x v="0"/>
    <x v="0"/>
    <s v="Laptop i3"/>
    <n v="1000"/>
  </r>
  <r>
    <d v="2017-03-20T00:00:00"/>
    <x v="1"/>
    <x v="1"/>
    <s v="Impresora "/>
    <n v="200"/>
  </r>
  <r>
    <d v="2017-03-22T00:00:00"/>
    <x v="2"/>
    <x v="1"/>
    <s v="Laptop i5"/>
    <n v="3500"/>
  </r>
  <r>
    <d v="2017-04-20T00:00:00"/>
    <x v="3"/>
    <x v="2"/>
    <s v="Impresora "/>
    <n v="100"/>
  </r>
  <r>
    <d v="2017-04-17T00:00:00"/>
    <x v="0"/>
    <x v="0"/>
    <s v="Pantalla 42"/>
    <n v="100"/>
  </r>
  <r>
    <d v="2017-05-22T00:00:00"/>
    <x v="1"/>
    <x v="2"/>
    <s v="Teclado"/>
    <n v="20"/>
  </r>
  <r>
    <d v="2017-05-22T00:00:00"/>
    <x v="2"/>
    <x v="2"/>
    <s v="Mouse"/>
    <n v="10"/>
  </r>
  <r>
    <d v="2017-05-24T00:00:00"/>
    <x v="3"/>
    <x v="0"/>
    <s v="Teclado"/>
    <n v="20"/>
  </r>
  <r>
    <d v="2017-05-17T00:00:00"/>
    <x v="3"/>
    <x v="3"/>
    <s v="Laptop i7"/>
    <n v="4000"/>
  </r>
  <r>
    <d v="2017-05-20T00:00:00"/>
    <x v="0"/>
    <x v="2"/>
    <s v="Laptop i7"/>
    <n v="4000"/>
  </r>
  <r>
    <d v="2017-05-27T00:00:00"/>
    <x v="1"/>
    <x v="2"/>
    <s v="Pantalla 17"/>
    <n v="180"/>
  </r>
  <r>
    <d v="2017-05-20T00:00:00"/>
    <x v="2"/>
    <x v="0"/>
    <s v="Mouse"/>
    <n v="10"/>
  </r>
  <r>
    <d v="2017-05-17T00:00:00"/>
    <x v="3"/>
    <x v="3"/>
    <s v="Teclado"/>
    <n v="30"/>
  </r>
  <r>
    <d v="2018-05-18T00:00:00"/>
    <x v="0"/>
    <x v="1"/>
    <s v="Laptop i3"/>
    <n v="1000"/>
  </r>
  <r>
    <d v="2018-06-16T00:00:00"/>
    <x v="1"/>
    <x v="2"/>
    <s v="USB 3.0.1"/>
    <n v="15"/>
  </r>
  <r>
    <d v="2018-06-17T00:00:00"/>
    <x v="2"/>
    <x v="0"/>
    <s v="Laptop i7"/>
    <n v="4000"/>
  </r>
  <r>
    <d v="2018-06-20T00:00:00"/>
    <x v="3"/>
    <x v="2"/>
    <s v="USB 3.0.1"/>
    <n v="15"/>
  </r>
  <r>
    <d v="2018-06-19T00:00:00"/>
    <x v="0"/>
    <x v="0"/>
    <s v="Impresora "/>
    <n v="100"/>
  </r>
  <r>
    <d v="2018-07-05T00:00:00"/>
    <x v="1"/>
    <x v="3"/>
    <s v="Pantalla 42"/>
    <n v="100"/>
  </r>
  <r>
    <d v="2018-07-06T00:00:00"/>
    <x v="2"/>
    <x v="0"/>
    <s v="Laptop i3"/>
    <n v="15"/>
  </r>
  <r>
    <d v="2018-07-08T00:00:00"/>
    <x v="3"/>
    <x v="2"/>
    <s v="Pantalla 42"/>
    <n v="100"/>
  </r>
  <r>
    <d v="2018-08-04T00:00:00"/>
    <x v="0"/>
    <x v="3"/>
    <s v="USB 3.0.1"/>
    <n v="15"/>
  </r>
  <r>
    <d v="2018-08-06T00:00:00"/>
    <x v="1"/>
    <x v="2"/>
    <s v="Pantalla 42"/>
    <n v="100"/>
  </r>
  <r>
    <d v="2018-08-07T00:00:00"/>
    <x v="2"/>
    <x v="0"/>
    <s v="Laptop i7"/>
    <n v="4000"/>
  </r>
  <r>
    <d v="2018-09-01T00:00:00"/>
    <x v="3"/>
    <x v="0"/>
    <s v="Pantalla 42"/>
    <n v="100"/>
  </r>
  <r>
    <d v="2018-09-04T00:00:00"/>
    <x v="0"/>
    <x v="1"/>
    <s v="Impresora "/>
    <n v="100"/>
  </r>
  <r>
    <d v="2019-09-05T00:00:00"/>
    <x v="1"/>
    <x v="0"/>
    <s v="Laptop i3"/>
    <n v="1000"/>
  </r>
  <r>
    <d v="2019-09-08T00:00:00"/>
    <x v="2"/>
    <x v="3"/>
    <s v="Laptop i5"/>
    <n v="3500"/>
  </r>
  <r>
    <d v="2019-09-20T00:00:00"/>
    <x v="3"/>
    <x v="1"/>
    <s v="USB 3.0.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51B55-4D56-4834-BC55-B06617C4B139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19:O25" firstHeaderRow="1" firstDataRow="2" firstDataCol="1"/>
  <pivotFields count="8">
    <pivotField numFmtId="14" showAll="0">
      <items count="27">
        <item x="0"/>
        <item x="1"/>
        <item x="2"/>
        <item x="4"/>
        <item x="3"/>
        <item x="7"/>
        <item x="8"/>
        <item x="5"/>
        <item x="6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10">
        <item x="1"/>
        <item x="0"/>
        <item x="2"/>
        <item x="6"/>
        <item x="5"/>
        <item x="7"/>
        <item x="3"/>
        <item x="4"/>
        <item x="8"/>
        <item t="default"/>
      </items>
    </pivotField>
    <pivotField dataField="1" numFmtId="166" showAll="0">
      <items count="11">
        <item x="5"/>
        <item x="9"/>
        <item x="4"/>
        <item x="8"/>
        <item x="3"/>
        <item x="7"/>
        <item x="1"/>
        <item x="0"/>
        <item x="2"/>
        <item x="6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Importe" fld="4" baseField="0" baseItem="0"/>
  </dataFields>
  <formats count="3">
    <format dxfId="35">
      <pivotArea type="all" dataOnly="0" outline="0" fieldPosition="0"/>
    </format>
    <format dxfId="36">
      <pivotArea type="all" dataOnly="0" outline="0" fieldPosition="0"/>
    </format>
    <format dxfId="3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2B40A-1C2F-4466-A37D-60268404130C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2:N27" firstHeaderRow="1" firstDataRow="2" firstDataCol="1"/>
  <pivotFields count="8">
    <pivotField axis="axisRow" numFmtId="14" showAll="0">
      <items count="27">
        <item x="0"/>
        <item x="1"/>
        <item x="2"/>
        <item x="4"/>
        <item x="3"/>
        <item x="7"/>
        <item x="8"/>
        <item x="5"/>
        <item x="6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7"/>
    <field x="5"/>
    <field x="0"/>
  </rowFields>
  <rowItems count="4"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mporte" fld="4" baseField="0" baseItem="0"/>
  </dataFields>
  <formats count="3">
    <format dxfId="32">
      <pivotArea type="all" dataOnly="0" outline="0" fieldPosition="0"/>
    </format>
    <format dxfId="33">
      <pivotArea type="all" dataOnly="0" outline="0" fieldPosition="0"/>
    </format>
    <format dxfId="3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6B994-7275-4C69-B85B-0C7D1F6E0329}" name="TablaDiná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5:N30" firstHeaderRow="1" firstDataRow="2" firstDataCol="1" rowPageCount="1" colPageCount="1"/>
  <pivotFields count="8">
    <pivotField axis="axisRow" numFmtId="14" showAll="0">
      <items count="27">
        <item x="0"/>
        <item x="1"/>
        <item x="2"/>
        <item x="4"/>
        <item x="3"/>
        <item x="7"/>
        <item x="8"/>
        <item x="5"/>
        <item x="6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7"/>
    <field x="6"/>
    <field x="5"/>
    <field x="0"/>
  </rowFields>
  <rowItems count="4"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item="0" hier="-1"/>
  </pageFields>
  <dataFields count="1">
    <dataField name="Máx. de Importe" fld="4" subtotal="max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56041-F048-4DD6-9A67-097ED8285F45}" name="TablaDinámica4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5:N33" firstHeaderRow="1" firstDataRow="2" firstDataCol="1"/>
  <pivotFields count="8">
    <pivotField axis="axisRow" numFmtId="14" showAll="0">
      <items count="27">
        <item x="0"/>
        <item x="1"/>
        <item x="2"/>
        <item x="4"/>
        <item x="3"/>
        <item x="7"/>
        <item x="8"/>
        <item x="5"/>
        <item x="6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3">
    <field x="7"/>
    <field x="5"/>
    <field x="0"/>
  </rowFields>
  <rowItems count="7">
    <i>
      <x v="1"/>
    </i>
    <i r="1">
      <x v="3"/>
    </i>
    <i r="1">
      <x v="4"/>
    </i>
    <i r="1">
      <x v="5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mpor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71D92-E65E-4FB9-A71F-28AE911FBA5D}" name="TablaDinámica5" cacheId="2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H28:M34" firstHeaderRow="1" firstDataRow="2" firstDataCol="1"/>
  <pivotFields count="5">
    <pivotField numFmtId="14" showAll="0">
      <items count="27">
        <item x="0"/>
        <item x="1"/>
        <item x="2"/>
        <item x="4"/>
        <item x="3"/>
        <item x="7"/>
        <item x="8"/>
        <item x="5"/>
        <item x="6"/>
        <item x="9"/>
        <item x="10"/>
        <item x="11"/>
        <item x="12"/>
        <item x="14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Importe" fld="4" subtotal="average" baseField="2" baseItem="0" numFmtId="164"/>
  </dataFields>
  <formats count="3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9">
      <pivotArea dataOnly="0" labelOnly="1" grandCol="1" outline="0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F7D64-2B0B-466E-BB5F-24683ECAA9C3}" name="TablaDinámica6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8:Q29" firstHeaderRow="0" firstDataRow="1" firstDataCol="1"/>
  <pivotFields count="6">
    <pivotField numFmtId="14" showAll="0"/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166" showAll="0"/>
    <pivotField dataField="1" dragToRow="0" dragToCol="0" dragToPage="0" showAll="0" defaultSubtotal="0"/>
  </pivotFields>
  <rowFields count="2">
    <field x="2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scuento 10%" fld="5" baseField="0" baseItem="0" numFmtId="166"/>
    <dataField name="Suma de Import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2A956C1E-03DF-4B8F-8FAB-22EC86EA2CBD}" sourceName="Vendedor">
  <pivotTables>
    <pivotTable tabId="6" name="TablaDinámica4"/>
  </pivotTables>
  <data>
    <tabular pivotCacheId="1057634393">
      <items count="4"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1F2D129C-E514-4C5B-A81A-F62C3EEBC3F3}" cache="SegmentaciónDeDatos_Vendedor" caption="Vendedor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F002E478-3D79-4E95-A8FC-126437AB63C2}" sourceName="Fecha">
  <pivotTables>
    <pivotTable tabId="7" name="TablaDinámica5"/>
  </pivotTables>
  <state minimalRefreshVersion="6" lastRefreshVersion="6" pivotCacheId="1786247116" filterType="unknown">
    <bounds startDate="2017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72F72FE-05BC-41A5-937D-6F09A532309D}" cache="NativeTimeline_Fecha" caption="Fecha" level="1" selectionLevel="2" scrollPosition="2017-01-01T00:00:00" style="TimeSlicerStyleLight1 2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Relationship Id="rId4" Type="http://schemas.microsoft.com/office/2011/relationships/timeline" Target="../timelines/timelin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5DA-7556-4A0D-B838-6AFAA3F9EC94}">
  <dimension ref="A1:AP22"/>
  <sheetViews>
    <sheetView topLeftCell="B1" workbookViewId="0">
      <selection activeCell="H1" sqref="H1"/>
    </sheetView>
  </sheetViews>
  <sheetFormatPr baseColWidth="10" defaultRowHeight="15" x14ac:dyDescent="0.25"/>
  <cols>
    <col min="3" max="3" width="19.42578125" customWidth="1"/>
    <col min="5" max="5" width="16" customWidth="1"/>
    <col min="6" max="6" width="17.5703125" customWidth="1"/>
    <col min="19" max="19" width="18.28515625" customWidth="1"/>
    <col min="20" max="20" width="21" customWidth="1"/>
    <col min="23" max="23" width="18.7109375" customWidth="1"/>
    <col min="24" max="24" width="24" customWidth="1"/>
    <col min="32" max="32" width="23.42578125" customWidth="1"/>
    <col min="36" max="36" width="24.42578125" customWidth="1"/>
    <col min="39" max="39" width="12.42578125" bestFit="1" customWidth="1"/>
  </cols>
  <sheetData>
    <row r="1" spans="1:42" ht="47.25" thickBot="1" x14ac:dyDescent="0.3">
      <c r="A1" s="1"/>
      <c r="B1" s="117" t="s">
        <v>77</v>
      </c>
      <c r="C1" s="118"/>
      <c r="D1" s="118"/>
      <c r="E1" s="118"/>
      <c r="F1" s="119"/>
      <c r="G1" s="1"/>
      <c r="H1" s="1"/>
      <c r="I1" s="114" t="s">
        <v>76</v>
      </c>
      <c r="J1" s="115"/>
      <c r="K1" s="115"/>
      <c r="L1" s="115"/>
      <c r="M1" s="115"/>
      <c r="N1" s="115"/>
      <c r="O1" s="115"/>
      <c r="P1" s="116"/>
      <c r="Q1" s="1"/>
      <c r="R1" s="1"/>
      <c r="S1" s="1"/>
      <c r="T1" s="114" t="s">
        <v>78</v>
      </c>
      <c r="U1" s="115"/>
      <c r="V1" s="115"/>
      <c r="W1" s="115"/>
      <c r="X1" s="115"/>
      <c r="Y1" s="115"/>
      <c r="Z1" s="115"/>
      <c r="AA1" s="116"/>
      <c r="AB1" s="1"/>
      <c r="AC1" s="1"/>
      <c r="AD1" s="1"/>
      <c r="AE1" s="114" t="s">
        <v>79</v>
      </c>
      <c r="AF1" s="115"/>
      <c r="AG1" s="115"/>
      <c r="AH1" s="115"/>
      <c r="AI1" s="115"/>
      <c r="AJ1" s="115"/>
      <c r="AK1" s="115"/>
      <c r="AL1" s="115"/>
      <c r="AM1" s="116"/>
      <c r="AN1" s="1"/>
      <c r="AO1" s="1"/>
      <c r="AP1" s="1"/>
    </row>
    <row r="2" spans="1:42" ht="15.75" thickBot="1" x14ac:dyDescent="0.3">
      <c r="A2" s="1"/>
      <c r="B2" s="9" t="s">
        <v>0</v>
      </c>
      <c r="C2" s="81" t="s">
        <v>7</v>
      </c>
      <c r="D2" s="20"/>
      <c r="E2" s="9" t="s">
        <v>2</v>
      </c>
      <c r="F2" s="11" t="s">
        <v>3</v>
      </c>
      <c r="G2" s="1"/>
      <c r="H2" s="1"/>
      <c r="I2" s="89" t="s">
        <v>2</v>
      </c>
      <c r="J2" s="87" t="s">
        <v>25</v>
      </c>
      <c r="K2" s="87" t="s">
        <v>26</v>
      </c>
      <c r="L2" s="20"/>
      <c r="M2" s="121" t="s">
        <v>41</v>
      </c>
      <c r="N2" s="121"/>
      <c r="O2" s="20"/>
      <c r="P2" s="34"/>
      <c r="Q2" s="1"/>
      <c r="R2" s="1"/>
      <c r="S2" s="1"/>
      <c r="T2" s="139" t="s">
        <v>45</v>
      </c>
      <c r="U2" s="140"/>
      <c r="V2" s="97"/>
      <c r="W2" s="9" t="s">
        <v>48</v>
      </c>
      <c r="X2" s="10" t="s">
        <v>49</v>
      </c>
      <c r="Y2" s="10" t="s">
        <v>56</v>
      </c>
      <c r="Z2" s="10" t="s">
        <v>57</v>
      </c>
      <c r="AA2" s="11" t="s">
        <v>58</v>
      </c>
      <c r="AB2" s="1"/>
      <c r="AC2" s="1"/>
      <c r="AD2" s="1"/>
      <c r="AE2" s="40" t="s">
        <v>2</v>
      </c>
      <c r="AF2" s="41" t="s">
        <v>3</v>
      </c>
      <c r="AG2" s="42" t="s">
        <v>26</v>
      </c>
      <c r="AH2" s="122"/>
      <c r="AI2" s="43" t="s">
        <v>64</v>
      </c>
      <c r="AJ2" s="124">
        <v>46168</v>
      </c>
      <c r="AK2" s="125"/>
      <c r="AL2" s="126"/>
      <c r="AM2" s="98"/>
      <c r="AN2" s="1"/>
      <c r="AO2" s="1"/>
      <c r="AP2" s="1"/>
    </row>
    <row r="3" spans="1:42" ht="15.75" thickBot="1" x14ac:dyDescent="0.3">
      <c r="A3" s="1"/>
      <c r="B3" s="23" t="s">
        <v>1</v>
      </c>
      <c r="C3" s="52" t="str">
        <f>VLOOKUP(C2,$E$3:$F$9,2,0)</f>
        <v>Tarjeta de sonido</v>
      </c>
      <c r="D3" s="1"/>
      <c r="E3" s="14" t="s">
        <v>4</v>
      </c>
      <c r="F3" s="13" t="s">
        <v>11</v>
      </c>
      <c r="G3" s="1"/>
      <c r="H3" s="1"/>
      <c r="I3" s="28" t="s">
        <v>18</v>
      </c>
      <c r="J3" s="33" t="s">
        <v>27</v>
      </c>
      <c r="K3" s="88">
        <v>0.3</v>
      </c>
      <c r="L3" s="1"/>
      <c r="M3" s="28" t="s">
        <v>42</v>
      </c>
      <c r="N3" s="88">
        <f>AVERAGE(K13:K19)</f>
        <v>557.14285714285711</v>
      </c>
      <c r="O3" s="1"/>
      <c r="P3" s="21"/>
      <c r="Q3" s="1"/>
      <c r="R3" s="1"/>
      <c r="S3" s="1"/>
      <c r="T3" s="12" t="s">
        <v>46</v>
      </c>
      <c r="U3" s="90" t="s">
        <v>47</v>
      </c>
      <c r="V3" s="99"/>
      <c r="W3" s="14">
        <v>1</v>
      </c>
      <c r="X3" s="2" t="s">
        <v>50</v>
      </c>
      <c r="Y3" s="2">
        <v>1000</v>
      </c>
      <c r="Z3" s="2">
        <v>1</v>
      </c>
      <c r="AA3" s="26">
        <v>125</v>
      </c>
      <c r="AB3" s="1"/>
      <c r="AC3" s="1"/>
      <c r="AD3" s="1"/>
      <c r="AE3" s="28" t="s">
        <v>4</v>
      </c>
      <c r="AF3" s="29" t="s">
        <v>11</v>
      </c>
      <c r="AG3" s="30">
        <v>1081.8219999999999</v>
      </c>
      <c r="AH3" s="112"/>
      <c r="AI3" s="27" t="s">
        <v>65</v>
      </c>
      <c r="AJ3" s="127" t="s">
        <v>73</v>
      </c>
      <c r="AK3" s="128"/>
      <c r="AL3" s="129"/>
      <c r="AM3" s="100"/>
      <c r="AN3" s="1"/>
      <c r="AO3" s="1"/>
      <c r="AP3" s="1"/>
    </row>
    <row r="4" spans="1:42" ht="15.75" thickBot="1" x14ac:dyDescent="0.3">
      <c r="A4" s="1"/>
      <c r="B4" s="5"/>
      <c r="C4" s="1"/>
      <c r="D4" s="1"/>
      <c r="E4" s="14" t="s">
        <v>5</v>
      </c>
      <c r="F4" s="13" t="s">
        <v>12</v>
      </c>
      <c r="G4" s="1"/>
      <c r="H4" s="1"/>
      <c r="I4" s="14" t="s">
        <v>19</v>
      </c>
      <c r="J4" s="2" t="s">
        <v>28</v>
      </c>
      <c r="K4" s="50">
        <v>0.12</v>
      </c>
      <c r="L4" s="1"/>
      <c r="M4" s="14" t="s">
        <v>43</v>
      </c>
      <c r="N4" s="50">
        <f>MAX(K13:K19)</f>
        <v>1900</v>
      </c>
      <c r="O4" s="1"/>
      <c r="P4" s="21"/>
      <c r="Q4" s="1"/>
      <c r="R4" s="1"/>
      <c r="S4" s="1"/>
      <c r="T4" s="14">
        <v>0</v>
      </c>
      <c r="U4" s="91">
        <v>0</v>
      </c>
      <c r="V4" s="99"/>
      <c r="W4" s="14">
        <v>2</v>
      </c>
      <c r="X4" s="2" t="s">
        <v>51</v>
      </c>
      <c r="Y4" s="2">
        <v>1200</v>
      </c>
      <c r="Z4" s="2">
        <v>6</v>
      </c>
      <c r="AA4" s="26">
        <v>65</v>
      </c>
      <c r="AB4" s="1"/>
      <c r="AC4" s="1"/>
      <c r="AD4" s="1"/>
      <c r="AE4" s="14" t="s">
        <v>5</v>
      </c>
      <c r="AF4" s="3" t="s">
        <v>62</v>
      </c>
      <c r="AG4" s="25">
        <v>210.35</v>
      </c>
      <c r="AH4" s="112"/>
      <c r="AI4" s="120"/>
      <c r="AJ4" s="120"/>
      <c r="AK4" s="120"/>
      <c r="AL4" s="120"/>
      <c r="AM4" s="102"/>
      <c r="AN4" s="1"/>
      <c r="AO4" s="1"/>
      <c r="AP4" s="1"/>
    </row>
    <row r="5" spans="1:42" ht="15.75" thickBot="1" x14ac:dyDescent="0.3">
      <c r="A5" s="1"/>
      <c r="B5" s="5"/>
      <c r="C5" s="1"/>
      <c r="D5" s="1"/>
      <c r="E5" s="14" t="s">
        <v>6</v>
      </c>
      <c r="F5" s="13" t="s">
        <v>13</v>
      </c>
      <c r="G5" s="1"/>
      <c r="H5" s="1"/>
      <c r="I5" s="14" t="s">
        <v>20</v>
      </c>
      <c r="J5" s="2" t="s">
        <v>29</v>
      </c>
      <c r="K5" s="50">
        <v>0.06</v>
      </c>
      <c r="L5" s="1"/>
      <c r="M5" s="16" t="s">
        <v>44</v>
      </c>
      <c r="N5" s="52">
        <f>MIN(K13:K19)</f>
        <v>150</v>
      </c>
      <c r="O5" s="1"/>
      <c r="P5" s="21"/>
      <c r="Q5" s="1"/>
      <c r="R5" s="1"/>
      <c r="S5" s="1"/>
      <c r="T5" s="14">
        <v>5</v>
      </c>
      <c r="U5" s="91">
        <v>0.1</v>
      </c>
      <c r="V5" s="99"/>
      <c r="W5" s="14">
        <v>3</v>
      </c>
      <c r="X5" s="2" t="s">
        <v>52</v>
      </c>
      <c r="Y5" s="2">
        <v>1100</v>
      </c>
      <c r="Z5" s="2">
        <v>12</v>
      </c>
      <c r="AA5" s="26">
        <v>0</v>
      </c>
      <c r="AB5" s="1"/>
      <c r="AC5" s="1"/>
      <c r="AD5" s="1"/>
      <c r="AE5" s="14" t="s">
        <v>6</v>
      </c>
      <c r="AF5" s="3" t="s">
        <v>63</v>
      </c>
      <c r="AG5" s="25">
        <v>168.28</v>
      </c>
      <c r="AH5" s="112"/>
      <c r="AI5" s="130" t="s">
        <v>66</v>
      </c>
      <c r="AJ5" s="131"/>
      <c r="AK5" s="131"/>
      <c r="AL5" s="131"/>
      <c r="AM5" s="132"/>
      <c r="AN5" s="1"/>
      <c r="AO5" s="1"/>
      <c r="AP5" s="1"/>
    </row>
    <row r="6" spans="1:42" x14ac:dyDescent="0.25">
      <c r="A6" s="1"/>
      <c r="B6" s="5"/>
      <c r="C6" s="1"/>
      <c r="D6" s="1"/>
      <c r="E6" s="14" t="s">
        <v>7</v>
      </c>
      <c r="F6" s="13" t="s">
        <v>14</v>
      </c>
      <c r="G6" s="1"/>
      <c r="H6" s="1"/>
      <c r="I6" s="14" t="s">
        <v>21</v>
      </c>
      <c r="J6" s="2" t="s">
        <v>30</v>
      </c>
      <c r="K6" s="50">
        <v>0.48</v>
      </c>
      <c r="L6" s="1"/>
      <c r="M6" s="1"/>
      <c r="N6" s="1"/>
      <c r="O6" s="1"/>
      <c r="P6" s="21"/>
      <c r="Q6" s="1"/>
      <c r="R6" s="1"/>
      <c r="S6" s="1"/>
      <c r="T6" s="14">
        <v>10</v>
      </c>
      <c r="U6" s="91">
        <v>0.2</v>
      </c>
      <c r="V6" s="99"/>
      <c r="W6" s="14">
        <v>4</v>
      </c>
      <c r="X6" s="2" t="s">
        <v>53</v>
      </c>
      <c r="Y6" s="2">
        <v>1200</v>
      </c>
      <c r="Z6" s="2">
        <v>25</v>
      </c>
      <c r="AA6" s="26">
        <v>125</v>
      </c>
      <c r="AB6" s="1"/>
      <c r="AC6" s="1"/>
      <c r="AD6" s="1"/>
      <c r="AE6" s="14" t="s">
        <v>7</v>
      </c>
      <c r="AF6" s="3" t="s">
        <v>14</v>
      </c>
      <c r="AG6" s="25">
        <v>90.15</v>
      </c>
      <c r="AH6" s="112"/>
      <c r="AI6" s="133"/>
      <c r="AJ6" s="134"/>
      <c r="AK6" s="134"/>
      <c r="AL6" s="134"/>
      <c r="AM6" s="135"/>
      <c r="AN6" s="1"/>
      <c r="AO6" s="1"/>
      <c r="AP6" s="1"/>
    </row>
    <row r="7" spans="1:42" ht="15.75" thickBot="1" x14ac:dyDescent="0.3">
      <c r="A7" s="1"/>
      <c r="B7" s="5"/>
      <c r="C7" s="1"/>
      <c r="D7" s="1"/>
      <c r="E7" s="14" t="s">
        <v>8</v>
      </c>
      <c r="F7" s="13" t="s">
        <v>15</v>
      </c>
      <c r="G7" s="1"/>
      <c r="H7" s="1"/>
      <c r="I7" s="14" t="s">
        <v>22</v>
      </c>
      <c r="J7" s="2" t="s">
        <v>31</v>
      </c>
      <c r="K7" s="50">
        <v>0.42</v>
      </c>
      <c r="L7" s="1"/>
      <c r="M7" s="1"/>
      <c r="N7" s="1"/>
      <c r="O7" s="1"/>
      <c r="P7" s="21"/>
      <c r="Q7" s="1"/>
      <c r="R7" s="1"/>
      <c r="S7" s="1"/>
      <c r="T7" s="14">
        <v>15</v>
      </c>
      <c r="U7" s="91">
        <v>0.3</v>
      </c>
      <c r="V7" s="99"/>
      <c r="W7" s="14">
        <v>5</v>
      </c>
      <c r="X7" s="2" t="s">
        <v>54</v>
      </c>
      <c r="Y7" s="2">
        <v>1000</v>
      </c>
      <c r="Z7" s="2">
        <v>20</v>
      </c>
      <c r="AA7" s="26">
        <v>65</v>
      </c>
      <c r="AB7" s="1"/>
      <c r="AC7" s="1"/>
      <c r="AD7" s="1"/>
      <c r="AE7" s="14" t="s">
        <v>8</v>
      </c>
      <c r="AF7" s="3" t="s">
        <v>15</v>
      </c>
      <c r="AG7" s="25">
        <v>30.05</v>
      </c>
      <c r="AH7" s="112"/>
      <c r="AI7" s="136"/>
      <c r="AJ7" s="137"/>
      <c r="AK7" s="137"/>
      <c r="AL7" s="137"/>
      <c r="AM7" s="138"/>
      <c r="AN7" s="1"/>
      <c r="AO7" s="1"/>
      <c r="AP7" s="1"/>
    </row>
    <row r="8" spans="1:42" ht="15.75" thickBot="1" x14ac:dyDescent="0.3">
      <c r="A8" s="1"/>
      <c r="B8" s="5"/>
      <c r="C8" s="1"/>
      <c r="D8" s="1"/>
      <c r="E8" s="14" t="s">
        <v>9</v>
      </c>
      <c r="F8" s="13" t="s">
        <v>16</v>
      </c>
      <c r="G8" s="1"/>
      <c r="H8" s="1"/>
      <c r="I8" s="14" t="s">
        <v>23</v>
      </c>
      <c r="J8" s="2" t="s">
        <v>32</v>
      </c>
      <c r="K8" s="50">
        <v>0.3</v>
      </c>
      <c r="L8" s="1"/>
      <c r="M8" s="1"/>
      <c r="N8" s="1"/>
      <c r="O8" s="1"/>
      <c r="P8" s="21"/>
      <c r="Q8" s="1"/>
      <c r="R8" s="1"/>
      <c r="S8" s="1"/>
      <c r="T8" s="14">
        <v>20</v>
      </c>
      <c r="U8" s="91">
        <v>0.35</v>
      </c>
      <c r="V8" s="99"/>
      <c r="W8" s="16">
        <v>6</v>
      </c>
      <c r="X8" s="17" t="s">
        <v>55</v>
      </c>
      <c r="Y8" s="17">
        <v>1300</v>
      </c>
      <c r="Z8" s="17">
        <v>35</v>
      </c>
      <c r="AA8" s="36">
        <v>0</v>
      </c>
      <c r="AB8" s="1"/>
      <c r="AC8" s="1"/>
      <c r="AD8" s="1"/>
      <c r="AE8" s="14" t="s">
        <v>9</v>
      </c>
      <c r="AF8" s="3" t="s">
        <v>16</v>
      </c>
      <c r="AG8" s="25">
        <v>24.04</v>
      </c>
      <c r="AH8" s="112"/>
      <c r="AI8" s="120"/>
      <c r="AJ8" s="120"/>
      <c r="AK8" s="120"/>
      <c r="AL8" s="120"/>
      <c r="AM8" s="123"/>
      <c r="AN8" s="1"/>
      <c r="AO8" s="1"/>
      <c r="AP8" s="1"/>
    </row>
    <row r="9" spans="1:42" ht="15.75" thickBot="1" x14ac:dyDescent="0.3">
      <c r="A9" s="1"/>
      <c r="B9" s="5"/>
      <c r="C9" s="1"/>
      <c r="D9" s="1"/>
      <c r="E9" s="16" t="s">
        <v>10</v>
      </c>
      <c r="F9" s="96" t="s">
        <v>17</v>
      </c>
      <c r="G9" s="1"/>
      <c r="H9" s="1"/>
      <c r="I9" s="16" t="s">
        <v>24</v>
      </c>
      <c r="J9" s="17" t="s">
        <v>33</v>
      </c>
      <c r="K9" s="52">
        <v>0.27</v>
      </c>
      <c r="L9" s="1"/>
      <c r="M9" s="1"/>
      <c r="N9" s="1"/>
      <c r="O9" s="1"/>
      <c r="P9" s="21"/>
      <c r="Q9" s="1"/>
      <c r="R9" s="1"/>
      <c r="S9" s="1"/>
      <c r="T9" s="16">
        <v>25</v>
      </c>
      <c r="U9" s="92">
        <v>0.5</v>
      </c>
      <c r="V9" s="99"/>
      <c r="W9" s="99"/>
      <c r="X9" s="99"/>
      <c r="Y9" s="99"/>
      <c r="Z9" s="99"/>
      <c r="AA9" s="100"/>
      <c r="AB9" s="1"/>
      <c r="AC9" s="1"/>
      <c r="AD9" s="1"/>
      <c r="AE9" s="14" t="s">
        <v>10</v>
      </c>
      <c r="AF9" s="3" t="s">
        <v>17</v>
      </c>
      <c r="AG9" s="25">
        <v>480.81</v>
      </c>
      <c r="AH9" s="112"/>
      <c r="AI9" s="9" t="s">
        <v>0</v>
      </c>
      <c r="AJ9" s="10" t="s">
        <v>1</v>
      </c>
      <c r="AK9" s="10" t="s">
        <v>67</v>
      </c>
      <c r="AL9" s="10" t="s">
        <v>68</v>
      </c>
      <c r="AM9" s="11" t="s">
        <v>69</v>
      </c>
      <c r="AN9" s="1"/>
      <c r="AO9" s="1"/>
      <c r="AP9" s="1"/>
    </row>
    <row r="10" spans="1:42" ht="15.75" thickBot="1" x14ac:dyDescent="0.3">
      <c r="A10" s="1"/>
      <c r="B10" s="6"/>
      <c r="C10" s="7"/>
      <c r="D10" s="7"/>
      <c r="E10" s="7"/>
      <c r="F10" s="22"/>
      <c r="G10" s="1"/>
      <c r="H10" s="1"/>
      <c r="I10" s="5"/>
      <c r="J10" s="1"/>
      <c r="K10" s="1"/>
      <c r="L10" s="1"/>
      <c r="M10" s="1"/>
      <c r="N10" s="1"/>
      <c r="O10" s="1"/>
      <c r="P10" s="21"/>
      <c r="Q10" s="1"/>
      <c r="R10" s="1"/>
      <c r="S10" s="1"/>
      <c r="T10" s="112"/>
      <c r="U10" s="99"/>
      <c r="V10" s="99"/>
      <c r="W10" s="99"/>
      <c r="X10" s="99"/>
      <c r="Y10" s="99"/>
      <c r="Z10" s="99"/>
      <c r="AA10" s="100"/>
      <c r="AB10" s="1"/>
      <c r="AC10" s="1"/>
      <c r="AD10" s="1"/>
      <c r="AE10" s="16" t="s">
        <v>75</v>
      </c>
      <c r="AF10" s="31" t="s">
        <v>74</v>
      </c>
      <c r="AG10" s="32">
        <v>18</v>
      </c>
      <c r="AH10" s="112"/>
      <c r="AI10" s="14" t="s">
        <v>5</v>
      </c>
      <c r="AJ10" s="2" t="str">
        <f>IFERROR(VLOOKUP(AI10,$AE$3:$AG$10,2,FALSE),"")</f>
        <v>Disco Duro</v>
      </c>
      <c r="AK10" s="2">
        <v>3</v>
      </c>
      <c r="AL10" s="35">
        <f>IFERROR(VLOOKUP(AI10,$AE$3:$AG$10,3,FALSE),"")</f>
        <v>210.35</v>
      </c>
      <c r="AM10" s="26">
        <f>IFERROR(AL10*AK10,"")</f>
        <v>631.04999999999995</v>
      </c>
      <c r="AN10" s="1"/>
      <c r="AO10" s="1"/>
      <c r="AP10" s="1"/>
    </row>
    <row r="11" spans="1:42" ht="15.75" thickBot="1" x14ac:dyDescent="0.3">
      <c r="A11" s="1"/>
      <c r="B11" s="1"/>
      <c r="C11" s="1"/>
      <c r="D11" s="1"/>
      <c r="E11" s="1"/>
      <c r="F11" s="1"/>
      <c r="G11" s="1"/>
      <c r="H11" s="1"/>
      <c r="I11" s="5"/>
      <c r="J11" s="1"/>
      <c r="K11" s="1"/>
      <c r="L11" s="1"/>
      <c r="M11" s="1"/>
      <c r="N11" s="1"/>
      <c r="O11" s="1"/>
      <c r="P11" s="21"/>
      <c r="Q11" s="1"/>
      <c r="R11" s="1"/>
      <c r="S11" s="1"/>
      <c r="T11" s="112"/>
      <c r="U11" s="99"/>
      <c r="V11" s="4" t="s">
        <v>60</v>
      </c>
      <c r="W11" s="99"/>
      <c r="X11" s="99"/>
      <c r="Y11" s="100"/>
      <c r="Z11" s="89" t="s">
        <v>60</v>
      </c>
      <c r="AA11" s="93" t="s">
        <v>57</v>
      </c>
      <c r="AB11" s="1"/>
      <c r="AC11" s="1"/>
      <c r="AD11" s="1"/>
      <c r="AE11" s="112"/>
      <c r="AF11" s="99"/>
      <c r="AG11" s="99"/>
      <c r="AH11" s="99"/>
      <c r="AI11" s="14" t="s">
        <v>9</v>
      </c>
      <c r="AJ11" s="2" t="str">
        <f t="shared" ref="AJ11:AJ18" si="0">IFERROR(VLOOKUP(AI11,$AE$3:$AG$10,2,FALSE),"")</f>
        <v>Ratón</v>
      </c>
      <c r="AK11" s="2">
        <v>3</v>
      </c>
      <c r="AL11" s="35">
        <f t="shared" ref="AL11:AL18" si="1">IFERROR(VLOOKUP(AI11,$AE$3:$AG$10,3,FALSE),"")</f>
        <v>24.04</v>
      </c>
      <c r="AM11" s="26">
        <f t="shared" ref="AM11:AM18" si="2">IFERROR(AL11*AK11,"")</f>
        <v>72.12</v>
      </c>
      <c r="AN11" s="1"/>
      <c r="AO11" s="1"/>
      <c r="AP11" s="1"/>
    </row>
    <row r="12" spans="1:42" ht="15.75" thickBot="1" x14ac:dyDescent="0.3">
      <c r="A12" s="1"/>
      <c r="B12" s="1"/>
      <c r="C12" s="1"/>
      <c r="D12" s="1"/>
      <c r="E12" s="1"/>
      <c r="F12" s="1"/>
      <c r="G12" s="1"/>
      <c r="H12" s="1"/>
      <c r="I12" s="9" t="s">
        <v>0</v>
      </c>
      <c r="J12" s="10" t="s">
        <v>34</v>
      </c>
      <c r="K12" s="10" t="s">
        <v>35</v>
      </c>
      <c r="L12" s="10" t="s">
        <v>36</v>
      </c>
      <c r="M12" s="10" t="s">
        <v>37</v>
      </c>
      <c r="N12" s="10" t="s">
        <v>38</v>
      </c>
      <c r="O12" s="10" t="s">
        <v>39</v>
      </c>
      <c r="P12" s="86" t="s">
        <v>40</v>
      </c>
      <c r="Q12" s="1"/>
      <c r="R12" s="1"/>
      <c r="S12" s="1"/>
      <c r="T12" s="9" t="s">
        <v>59</v>
      </c>
      <c r="U12" s="33">
        <v>4</v>
      </c>
      <c r="V12" s="81" t="str">
        <f>VLOOKUP(U12, $W$3:$AA$8, 2, FALSE)</f>
        <v>Mivo</v>
      </c>
      <c r="W12" s="99"/>
      <c r="X12" s="9" t="s">
        <v>59</v>
      </c>
      <c r="Y12" s="94">
        <v>4</v>
      </c>
      <c r="Z12" s="94" t="str">
        <f>VLOOKUP(Y12, $W$3:$AA$8, 2, FALSE)</f>
        <v>Mivo</v>
      </c>
      <c r="AA12" s="95">
        <f>VLOOKUP(Y12,$W$3:$AA$8,3,FALSE)*VLOOKUP(VLOOKUP(Y12,$W$3:$AA$8,4,FALSE),$T$4:$U$9,2,TRUE)</f>
        <v>600</v>
      </c>
      <c r="AB12" s="1"/>
      <c r="AC12" s="1"/>
      <c r="AD12" s="1"/>
      <c r="AE12" s="112"/>
      <c r="AF12" s="99"/>
      <c r="AG12" s="99"/>
      <c r="AH12" s="99"/>
      <c r="AI12" s="14" t="s">
        <v>6</v>
      </c>
      <c r="AJ12" s="2" t="str">
        <f t="shared" si="0"/>
        <v>CD ROM</v>
      </c>
      <c r="AK12" s="2">
        <v>2</v>
      </c>
      <c r="AL12" s="35">
        <f t="shared" si="1"/>
        <v>168.28</v>
      </c>
      <c r="AM12" s="26">
        <f t="shared" si="2"/>
        <v>336.56</v>
      </c>
      <c r="AN12" s="1"/>
      <c r="AO12" s="1"/>
      <c r="AP12" s="1"/>
    </row>
    <row r="13" spans="1:42" ht="15.75" thickBot="1" x14ac:dyDescent="0.3">
      <c r="A13" s="1"/>
      <c r="B13" s="1"/>
      <c r="C13" s="1"/>
      <c r="D13" s="1"/>
      <c r="E13" s="1"/>
      <c r="F13" s="1"/>
      <c r="G13" s="1"/>
      <c r="H13" s="1"/>
      <c r="I13" s="14" t="s">
        <v>18</v>
      </c>
      <c r="J13" s="2" t="str">
        <f>VLOOKUP(I13,I3:K9,2,)</f>
        <v>ASAS</v>
      </c>
      <c r="K13" s="2">
        <v>200</v>
      </c>
      <c r="L13" s="8">
        <f t="shared" ref="L13:L19" si="3">K13 * VLOOKUP(I13, $I$3:$K$9, 3, FALSE)</f>
        <v>60</v>
      </c>
      <c r="M13" s="8">
        <f>L13 * 0.02</f>
        <v>1.2</v>
      </c>
      <c r="N13" s="8">
        <f>L13 - M13</f>
        <v>58.8</v>
      </c>
      <c r="O13" s="8">
        <f>N13 * 0.21</f>
        <v>12.347999999999999</v>
      </c>
      <c r="P13" s="15">
        <f>N13 + O13</f>
        <v>71.147999999999996</v>
      </c>
      <c r="Q13" s="1"/>
      <c r="R13" s="1"/>
      <c r="S13" s="1"/>
      <c r="T13" s="23" t="s">
        <v>61</v>
      </c>
      <c r="U13" s="107">
        <f>VLOOKUP(U12,$W$3:$AA$8,3,FALSE)+(VLOOKUP(U12,$W$3:$AA$8,3,FALSE)*VLOOKUP(VLOOKUP(U12,$W$3:$AA$8,4,FALSE),$T$4:$U$9,2,TRUE))+VLOOKUP(U12,$W$3:$AA$8,5,FALSE)</f>
        <v>1925</v>
      </c>
      <c r="V13" s="108"/>
      <c r="W13" s="101"/>
      <c r="X13" s="24" t="s">
        <v>61</v>
      </c>
      <c r="Y13" s="109">
        <f>VLOOKUP(Y12,$W$3:$AA$8,3)+VLOOKUP(Y12,$W$3:$AA$8,5,FALSE)+AA12</f>
        <v>1925</v>
      </c>
      <c r="Z13" s="110"/>
      <c r="AA13" s="111"/>
      <c r="AB13" s="1"/>
      <c r="AC13" s="1"/>
      <c r="AD13" s="1"/>
      <c r="AE13" s="112"/>
      <c r="AF13" s="99"/>
      <c r="AG13" s="99"/>
      <c r="AH13" s="99"/>
      <c r="AI13" s="14" t="s">
        <v>75</v>
      </c>
      <c r="AJ13" s="2" t="str">
        <f t="shared" si="0"/>
        <v>Caja de Sidra Trabanco</v>
      </c>
      <c r="AK13" s="2">
        <v>1</v>
      </c>
      <c r="AL13" s="35">
        <f t="shared" si="1"/>
        <v>18</v>
      </c>
      <c r="AM13" s="26">
        <f t="shared" si="2"/>
        <v>18</v>
      </c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4" t="s">
        <v>19</v>
      </c>
      <c r="J14" s="2" t="str">
        <f t="shared" ref="J14:J19" si="4">VLOOKUP(I14,I4:K10,2,)</f>
        <v>REFUERZOS</v>
      </c>
      <c r="K14" s="2">
        <v>200</v>
      </c>
      <c r="L14" s="8">
        <f t="shared" si="3"/>
        <v>24</v>
      </c>
      <c r="M14" s="8">
        <f t="shared" ref="M14:M19" si="5">L14 * 0.02</f>
        <v>0.48</v>
      </c>
      <c r="N14" s="8">
        <f t="shared" ref="N14:N19" si="6">L14 - M14</f>
        <v>23.52</v>
      </c>
      <c r="O14" s="8">
        <f t="shared" ref="O14:O19" si="7">N14 * 0.21</f>
        <v>4.9391999999999996</v>
      </c>
      <c r="P14" s="15">
        <f t="shared" ref="P14:P19" si="8">N14 + O14</f>
        <v>28.459199999999999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12"/>
      <c r="AF14" s="99"/>
      <c r="AG14" s="99"/>
      <c r="AH14" s="99"/>
      <c r="AI14" s="14"/>
      <c r="AJ14" s="2" t="str">
        <f t="shared" si="0"/>
        <v/>
      </c>
      <c r="AK14" s="2"/>
      <c r="AL14" s="35" t="str">
        <f t="shared" si="1"/>
        <v/>
      </c>
      <c r="AM14" s="26" t="str">
        <f t="shared" si="2"/>
        <v/>
      </c>
      <c r="AN14" s="1"/>
      <c r="AO14" s="1"/>
      <c r="AP14" s="1"/>
    </row>
    <row r="15" spans="1:42" x14ac:dyDescent="0.25">
      <c r="A15" s="1"/>
      <c r="B15" s="1"/>
      <c r="C15" s="1"/>
      <c r="D15" s="1"/>
      <c r="E15" s="1"/>
      <c r="F15" s="1"/>
      <c r="G15" s="1"/>
      <c r="H15" s="1"/>
      <c r="I15" s="14" t="s">
        <v>20</v>
      </c>
      <c r="J15" s="2" t="str">
        <f t="shared" si="4"/>
        <v>CORDONES</v>
      </c>
      <c r="K15" s="2">
        <v>1900</v>
      </c>
      <c r="L15" s="8">
        <f t="shared" si="3"/>
        <v>114</v>
      </c>
      <c r="M15" s="8">
        <f t="shared" si="5"/>
        <v>2.2800000000000002</v>
      </c>
      <c r="N15" s="8">
        <f t="shared" si="6"/>
        <v>111.72</v>
      </c>
      <c r="O15" s="8">
        <f t="shared" si="7"/>
        <v>23.461199999999998</v>
      </c>
      <c r="P15" s="15">
        <f t="shared" si="8"/>
        <v>135.18119999999999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12"/>
      <c r="AF15" s="99"/>
      <c r="AG15" s="99"/>
      <c r="AH15" s="99"/>
      <c r="AI15" s="14"/>
      <c r="AJ15" s="2" t="str">
        <f t="shared" si="0"/>
        <v/>
      </c>
      <c r="AK15" s="2"/>
      <c r="AL15" s="35" t="str">
        <f t="shared" si="1"/>
        <v/>
      </c>
      <c r="AM15" s="26" t="str">
        <f t="shared" si="2"/>
        <v/>
      </c>
      <c r="AN15" s="1"/>
      <c r="AO15" s="1"/>
      <c r="AP15" s="1"/>
    </row>
    <row r="16" spans="1:42" x14ac:dyDescent="0.25">
      <c r="A16" s="1"/>
      <c r="B16" s="1"/>
      <c r="C16" s="1"/>
      <c r="D16" s="1"/>
      <c r="E16" s="1"/>
      <c r="F16" s="1"/>
      <c r="G16" s="1"/>
      <c r="H16" s="1"/>
      <c r="I16" s="14" t="s">
        <v>21</v>
      </c>
      <c r="J16" s="2" t="str">
        <f t="shared" si="4"/>
        <v>BOLSAS</v>
      </c>
      <c r="K16" s="2">
        <v>800</v>
      </c>
      <c r="L16" s="8">
        <f t="shared" si="3"/>
        <v>384</v>
      </c>
      <c r="M16" s="8">
        <f t="shared" si="5"/>
        <v>7.68</v>
      </c>
      <c r="N16" s="8">
        <f t="shared" si="6"/>
        <v>376.32</v>
      </c>
      <c r="O16" s="8">
        <f t="shared" si="7"/>
        <v>79.027199999999993</v>
      </c>
      <c r="P16" s="15">
        <f t="shared" si="8"/>
        <v>455.34719999999999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12"/>
      <c r="AF16" s="99"/>
      <c r="AG16" s="99"/>
      <c r="AH16" s="99"/>
      <c r="AI16" s="14"/>
      <c r="AJ16" s="2" t="str">
        <f t="shared" si="0"/>
        <v/>
      </c>
      <c r="AK16" s="2"/>
      <c r="AL16" s="35" t="str">
        <f t="shared" si="1"/>
        <v/>
      </c>
      <c r="AM16" s="26" t="str">
        <f t="shared" si="2"/>
        <v/>
      </c>
      <c r="AN16" s="1"/>
      <c r="AO16" s="1"/>
      <c r="AP16" s="1"/>
    </row>
    <row r="17" spans="1:42" x14ac:dyDescent="0.25">
      <c r="A17" s="1"/>
      <c r="B17" s="1"/>
      <c r="C17" s="1"/>
      <c r="D17" s="1"/>
      <c r="E17" s="1"/>
      <c r="F17" s="1"/>
      <c r="G17" s="1"/>
      <c r="H17" s="1"/>
      <c r="I17" s="14" t="s">
        <v>22</v>
      </c>
      <c r="J17" s="2" t="str">
        <f t="shared" si="4"/>
        <v>TAPAS</v>
      </c>
      <c r="K17" s="2">
        <v>150</v>
      </c>
      <c r="L17" s="8">
        <f t="shared" si="3"/>
        <v>63</v>
      </c>
      <c r="M17" s="8">
        <f t="shared" si="5"/>
        <v>1.26</v>
      </c>
      <c r="N17" s="8">
        <f t="shared" si="6"/>
        <v>61.74</v>
      </c>
      <c r="O17" s="8">
        <f t="shared" si="7"/>
        <v>12.965400000000001</v>
      </c>
      <c r="P17" s="15">
        <f t="shared" si="8"/>
        <v>74.705399999999997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12"/>
      <c r="AF17" s="99"/>
      <c r="AG17" s="99"/>
      <c r="AH17" s="99"/>
      <c r="AI17" s="14"/>
      <c r="AJ17" s="2" t="str">
        <f t="shared" si="0"/>
        <v/>
      </c>
      <c r="AK17" s="2"/>
      <c r="AL17" s="35" t="str">
        <f t="shared" si="1"/>
        <v/>
      </c>
      <c r="AM17" s="26" t="str">
        <f t="shared" si="2"/>
        <v/>
      </c>
      <c r="AN17" s="1"/>
      <c r="AO17" s="1"/>
      <c r="AP17" s="1"/>
    </row>
    <row r="18" spans="1:42" ht="15.75" thickBot="1" x14ac:dyDescent="0.3">
      <c r="A18" s="1"/>
      <c r="B18" s="1"/>
      <c r="C18" s="1"/>
      <c r="D18" s="1"/>
      <c r="E18" s="1"/>
      <c r="F18" s="1"/>
      <c r="G18" s="1"/>
      <c r="H18" s="1"/>
      <c r="I18" s="14" t="s">
        <v>23</v>
      </c>
      <c r="J18" s="2" t="str">
        <f t="shared" si="4"/>
        <v>EMBALAJES</v>
      </c>
      <c r="K18" s="2">
        <v>150</v>
      </c>
      <c r="L18" s="8">
        <f t="shared" si="3"/>
        <v>45</v>
      </c>
      <c r="M18" s="8">
        <f t="shared" si="5"/>
        <v>0.9</v>
      </c>
      <c r="N18" s="8">
        <f t="shared" si="6"/>
        <v>44.1</v>
      </c>
      <c r="O18" s="8">
        <f t="shared" si="7"/>
        <v>9.2609999999999992</v>
      </c>
      <c r="P18" s="15">
        <f t="shared" si="8"/>
        <v>53.361000000000004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12"/>
      <c r="AF18" s="99"/>
      <c r="AG18" s="99"/>
      <c r="AH18" s="99"/>
      <c r="AI18" s="16"/>
      <c r="AJ18" s="17" t="str">
        <f t="shared" si="0"/>
        <v/>
      </c>
      <c r="AK18" s="17"/>
      <c r="AL18" s="35" t="str">
        <f t="shared" si="1"/>
        <v/>
      </c>
      <c r="AM18" s="36" t="str">
        <f t="shared" si="2"/>
        <v/>
      </c>
      <c r="AN18" s="1"/>
      <c r="AO18" s="1"/>
      <c r="AP18" s="1"/>
    </row>
    <row r="19" spans="1:42" ht="15.75" thickBot="1" x14ac:dyDescent="0.3">
      <c r="A19" s="1"/>
      <c r="B19" s="1"/>
      <c r="C19" s="1"/>
      <c r="D19" s="1"/>
      <c r="E19" s="1"/>
      <c r="F19" s="1"/>
      <c r="G19" s="1"/>
      <c r="H19" s="1"/>
      <c r="I19" s="16" t="s">
        <v>24</v>
      </c>
      <c r="J19" s="17" t="str">
        <f t="shared" si="4"/>
        <v>FONDOS</v>
      </c>
      <c r="K19" s="17">
        <v>500</v>
      </c>
      <c r="L19" s="18">
        <f t="shared" si="3"/>
        <v>135</v>
      </c>
      <c r="M19" s="18">
        <f t="shared" si="5"/>
        <v>2.7</v>
      </c>
      <c r="N19" s="18">
        <f t="shared" si="6"/>
        <v>132.30000000000001</v>
      </c>
      <c r="O19" s="18">
        <f t="shared" si="7"/>
        <v>27.783000000000001</v>
      </c>
      <c r="P19" s="19">
        <f t="shared" si="8"/>
        <v>160.08300000000003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12"/>
      <c r="AF19" s="99"/>
      <c r="AG19" s="99"/>
      <c r="AH19" s="99"/>
      <c r="AI19" s="97"/>
      <c r="AJ19" s="98"/>
      <c r="AK19" s="103" t="s">
        <v>70</v>
      </c>
      <c r="AL19" s="104"/>
      <c r="AM19" s="37">
        <f>SUM(AM10:AM18)</f>
        <v>1057.73</v>
      </c>
      <c r="AN19" s="1"/>
      <c r="AO19" s="1"/>
      <c r="AP19" s="1"/>
    </row>
    <row r="20" spans="1:4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12"/>
      <c r="AF20" s="99"/>
      <c r="AG20" s="99"/>
      <c r="AH20" s="99"/>
      <c r="AI20" s="99"/>
      <c r="AJ20" s="100"/>
      <c r="AK20" s="103" t="s">
        <v>72</v>
      </c>
      <c r="AL20" s="104"/>
      <c r="AM20" s="38">
        <f>0.21*AM19</f>
        <v>222.1233</v>
      </c>
      <c r="AN20" s="1"/>
      <c r="AO20" s="1"/>
      <c r="AP20" s="1"/>
    </row>
    <row r="21" spans="1:42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13"/>
      <c r="AF21" s="101"/>
      <c r="AG21" s="101"/>
      <c r="AH21" s="101"/>
      <c r="AI21" s="101"/>
      <c r="AJ21" s="102"/>
      <c r="AK21" s="105" t="s">
        <v>71</v>
      </c>
      <c r="AL21" s="106"/>
      <c r="AM21" s="39">
        <f>AM19+AM20</f>
        <v>1279.8533</v>
      </c>
      <c r="AN21" s="1"/>
      <c r="AO21" s="1"/>
      <c r="AP21" s="1"/>
    </row>
    <row r="22" spans="1: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</sheetData>
  <mergeCells count="25">
    <mergeCell ref="AJ3:AL3"/>
    <mergeCell ref="AI5:AM7"/>
    <mergeCell ref="T2:U2"/>
    <mergeCell ref="X11:Y11"/>
    <mergeCell ref="X9:AA10"/>
    <mergeCell ref="AE11:AH21"/>
    <mergeCell ref="I1:P1"/>
    <mergeCell ref="B1:F1"/>
    <mergeCell ref="T1:AA1"/>
    <mergeCell ref="AE1:AM1"/>
    <mergeCell ref="AM2:AM4"/>
    <mergeCell ref="AI4:AL4"/>
    <mergeCell ref="M2:N2"/>
    <mergeCell ref="AH2:AH10"/>
    <mergeCell ref="AI8:AM8"/>
    <mergeCell ref="W9:W13"/>
    <mergeCell ref="T10:U11"/>
    <mergeCell ref="V2:V10"/>
    <mergeCell ref="AJ2:AL2"/>
    <mergeCell ref="AI19:AJ21"/>
    <mergeCell ref="AK20:AL20"/>
    <mergeCell ref="AK19:AL19"/>
    <mergeCell ref="AK21:AL21"/>
    <mergeCell ref="U13:V13"/>
    <mergeCell ref="Y13:AA13"/>
  </mergeCells>
  <phoneticPr fontId="5" type="noConversion"/>
  <dataValidations count="4">
    <dataValidation type="list" allowBlank="1" showInputMessage="1" showErrorMessage="1" sqref="C2" xr:uid="{42E21DD1-3635-43DE-BC30-8F37D6B6EE99}">
      <formula1>$E$3:$E$9</formula1>
    </dataValidation>
    <dataValidation type="list" allowBlank="1" showInputMessage="1" showErrorMessage="1" sqref="I13:I19" xr:uid="{8FA520AD-8BBF-4F4A-9B13-A5B3F0AD6015}">
      <formula1>$I$3:$I$9</formula1>
    </dataValidation>
    <dataValidation type="list" allowBlank="1" showInputMessage="1" showErrorMessage="1" sqref="U12 Y12" xr:uid="{6B720C54-1827-4121-9159-69B19F964704}">
      <formula1>$W$3:$W$8</formula1>
    </dataValidation>
    <dataValidation type="list" allowBlank="1" showInputMessage="1" showErrorMessage="1" sqref="AI10:AI18" xr:uid="{50051F46-281A-46A8-ABC8-C8A693B8D90A}">
      <formula1>$AE$3:$AE$10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2931-EBB2-4949-92FA-969EF35A7E18}">
  <dimension ref="A2:BG15"/>
  <sheetViews>
    <sheetView workbookViewId="0">
      <selection activeCell="AY3" sqref="AY3"/>
    </sheetView>
  </sheetViews>
  <sheetFormatPr baseColWidth="10" defaultRowHeight="15" x14ac:dyDescent="0.25"/>
  <cols>
    <col min="1" max="1" width="23.28515625" customWidth="1"/>
    <col min="2" max="2" width="13.5703125" customWidth="1"/>
    <col min="3" max="3" width="13" customWidth="1"/>
    <col min="4" max="4" width="13.85546875" customWidth="1"/>
    <col min="5" max="5" width="13.42578125" customWidth="1"/>
    <col min="6" max="7" width="12.42578125" customWidth="1"/>
    <col min="10" max="10" width="23.28515625" customWidth="1"/>
    <col min="11" max="11" width="23.85546875" customWidth="1"/>
    <col min="12" max="12" width="21.85546875" customWidth="1"/>
    <col min="13" max="13" width="22.42578125" customWidth="1"/>
    <col min="14" max="14" width="18.5703125" customWidth="1"/>
    <col min="15" max="15" width="14.5703125" customWidth="1"/>
    <col min="18" max="18" width="22.7109375" customWidth="1"/>
    <col min="19" max="19" width="18.28515625" customWidth="1"/>
    <col min="20" max="20" width="15.5703125" customWidth="1"/>
    <col min="21" max="21" width="14" customWidth="1"/>
    <col min="25" max="25" width="32" customWidth="1"/>
    <col min="26" max="26" width="9.42578125" customWidth="1"/>
    <col min="27" max="27" width="16" customWidth="1"/>
    <col min="28" max="28" width="13" customWidth="1"/>
    <col min="29" max="29" width="14.7109375" customWidth="1"/>
    <col min="30" max="30" width="14.5703125" customWidth="1"/>
    <col min="34" max="34" width="17.42578125" customWidth="1"/>
    <col min="35" max="35" width="15.28515625" customWidth="1"/>
    <col min="43" max="43" width="19.85546875" customWidth="1"/>
    <col min="44" max="44" width="13.5703125" customWidth="1"/>
    <col min="45" max="45" width="13.42578125" customWidth="1"/>
    <col min="46" max="46" width="7" customWidth="1"/>
    <col min="47" max="47" width="14.42578125" customWidth="1"/>
    <col min="48" max="48" width="12.7109375" customWidth="1"/>
    <col min="49" max="49" width="14.5703125" customWidth="1"/>
    <col min="53" max="53" width="22.5703125" customWidth="1"/>
    <col min="55" max="55" width="16.42578125" customWidth="1"/>
    <col min="56" max="56" width="15.42578125" customWidth="1"/>
    <col min="57" max="57" width="15.5703125" customWidth="1"/>
    <col min="59" max="59" width="13.5703125" customWidth="1"/>
  </cols>
  <sheetData>
    <row r="2" spans="1:59" ht="15.75" thickBot="1" x14ac:dyDescent="0.3"/>
    <row r="3" spans="1:59" ht="21.75" thickBot="1" x14ac:dyDescent="0.4">
      <c r="A3" s="46" t="s">
        <v>77</v>
      </c>
      <c r="B3" s="44" t="s">
        <v>80</v>
      </c>
      <c r="C3" s="44" t="s">
        <v>81</v>
      </c>
      <c r="D3" s="44" t="s">
        <v>82</v>
      </c>
      <c r="E3" s="44" t="s">
        <v>83</v>
      </c>
      <c r="F3" s="44" t="s">
        <v>84</v>
      </c>
      <c r="G3" s="45" t="s">
        <v>85</v>
      </c>
      <c r="J3" s="46" t="s">
        <v>76</v>
      </c>
      <c r="K3" s="44" t="s">
        <v>91</v>
      </c>
      <c r="L3" s="44" t="s">
        <v>92</v>
      </c>
      <c r="M3" s="44" t="s">
        <v>93</v>
      </c>
      <c r="N3" s="44" t="s">
        <v>94</v>
      </c>
      <c r="O3" s="45" t="s">
        <v>95</v>
      </c>
      <c r="R3" s="46" t="s">
        <v>78</v>
      </c>
      <c r="S3" s="44" t="s">
        <v>105</v>
      </c>
      <c r="T3" s="44" t="s">
        <v>113</v>
      </c>
      <c r="U3" s="45" t="s">
        <v>118</v>
      </c>
      <c r="Y3" s="46" t="s">
        <v>79</v>
      </c>
      <c r="Z3" s="44" t="s">
        <v>2</v>
      </c>
      <c r="AA3" s="44" t="s">
        <v>119</v>
      </c>
      <c r="AB3" s="44" t="s">
        <v>26</v>
      </c>
      <c r="AC3" s="44" t="s">
        <v>135</v>
      </c>
      <c r="AD3" s="45" t="s">
        <v>120</v>
      </c>
      <c r="AH3" s="67" t="s">
        <v>136</v>
      </c>
      <c r="AI3" s="68" t="s">
        <v>137</v>
      </c>
      <c r="AJ3" s="69">
        <v>60.1</v>
      </c>
      <c r="AK3" s="70"/>
      <c r="AL3" s="70"/>
      <c r="AM3" s="70"/>
      <c r="AN3" s="71"/>
      <c r="AQ3" s="46" t="s">
        <v>144</v>
      </c>
      <c r="AR3" s="44" t="s">
        <v>145</v>
      </c>
      <c r="AS3" s="44" t="s">
        <v>60</v>
      </c>
      <c r="AT3" s="44" t="s">
        <v>146</v>
      </c>
      <c r="AU3" s="44" t="s">
        <v>147</v>
      </c>
      <c r="AV3" s="44" t="s">
        <v>57</v>
      </c>
      <c r="AW3" s="45" t="s">
        <v>148</v>
      </c>
      <c r="BA3" s="46" t="s">
        <v>157</v>
      </c>
      <c r="BB3" s="141" t="s">
        <v>158</v>
      </c>
      <c r="BC3" s="44" t="s">
        <v>159</v>
      </c>
      <c r="BD3" s="44" t="s">
        <v>160</v>
      </c>
      <c r="BE3" s="44" t="s">
        <v>161</v>
      </c>
      <c r="BF3" s="44" t="s">
        <v>162</v>
      </c>
      <c r="BG3" s="71"/>
    </row>
    <row r="4" spans="1:59" ht="15.75" thickBot="1" x14ac:dyDescent="0.3">
      <c r="A4" s="5"/>
      <c r="B4" s="2" t="s">
        <v>86</v>
      </c>
      <c r="C4" s="53">
        <v>15500000</v>
      </c>
      <c r="D4" s="53">
        <v>1085000</v>
      </c>
      <c r="E4" s="53">
        <v>2480000</v>
      </c>
      <c r="F4" s="54">
        <f>D4/C4</f>
        <v>7.0000000000000007E-2</v>
      </c>
      <c r="G4" s="50" t="str">
        <f>IF(F4&lt;8%,"Disminuye","Aumenta")</f>
        <v>Disminuye</v>
      </c>
      <c r="J4" s="5"/>
      <c r="K4" s="2" t="s">
        <v>96</v>
      </c>
      <c r="L4" s="49">
        <v>30000</v>
      </c>
      <c r="M4" s="49">
        <v>40000</v>
      </c>
      <c r="N4" s="49">
        <f>M4-L4</f>
        <v>10000</v>
      </c>
      <c r="O4" s="50" t="str">
        <f>_xlfn.IFS(N4=0,"MANTIENE",N4&gt;0,"AUMENTA",N4&lt;0,"DISMINUYE")</f>
        <v>AUMENTA</v>
      </c>
      <c r="R4" s="5"/>
      <c r="S4" s="2" t="s">
        <v>106</v>
      </c>
      <c r="T4" s="2" t="s">
        <v>114</v>
      </c>
      <c r="U4" s="47">
        <f>IF(T4="Madrid",10%,5%)</f>
        <v>0.05</v>
      </c>
      <c r="Y4" s="5"/>
      <c r="Z4" s="2" t="s">
        <v>121</v>
      </c>
      <c r="AA4" s="2">
        <v>12568</v>
      </c>
      <c r="AB4" s="2">
        <v>0.23</v>
      </c>
      <c r="AC4" s="2" t="s">
        <v>130</v>
      </c>
      <c r="AD4" s="50" t="str">
        <f>IF(AC4="A","MÁXIMA","MODERADA")</f>
        <v>MÁXIMA</v>
      </c>
      <c r="AH4" s="72"/>
      <c r="AI4" s="63" t="s">
        <v>138</v>
      </c>
      <c r="AJ4" s="65">
        <v>6.61</v>
      </c>
      <c r="AN4" s="73"/>
      <c r="AQ4" s="5"/>
      <c r="AR4" s="2">
        <v>1255</v>
      </c>
      <c r="AS4" s="2" t="s">
        <v>149</v>
      </c>
      <c r="AT4" s="2">
        <v>11</v>
      </c>
      <c r="AU4" s="2">
        <v>0</v>
      </c>
      <c r="AV4" s="2">
        <v>1</v>
      </c>
      <c r="AW4" s="50" t="str">
        <f>IF(AND(AU4&gt;2,AT4&gt;20),AS4,"")</f>
        <v/>
      </c>
      <c r="BA4" s="5"/>
      <c r="BB4" s="142"/>
      <c r="BC4" s="58">
        <v>9.1999999999999993</v>
      </c>
      <c r="BD4" s="59">
        <v>2</v>
      </c>
      <c r="BE4" s="59">
        <v>6.12</v>
      </c>
      <c r="BF4" s="60">
        <v>6</v>
      </c>
      <c r="BG4" s="73"/>
    </row>
    <row r="5" spans="1:59" x14ac:dyDescent="0.25">
      <c r="A5" s="5"/>
      <c r="B5" s="2" t="s">
        <v>87</v>
      </c>
      <c r="C5" s="53">
        <v>38700000</v>
      </c>
      <c r="D5" s="53">
        <v>2709000</v>
      </c>
      <c r="E5" s="53">
        <v>5031000</v>
      </c>
      <c r="F5" s="54">
        <f>D5/C5</f>
        <v>7.0000000000000007E-2</v>
      </c>
      <c r="G5" s="50" t="str">
        <f>IF(F5&lt;8%,"Disminuye","Aumenta")</f>
        <v>Disminuye</v>
      </c>
      <c r="J5" s="5"/>
      <c r="K5" s="2" t="s">
        <v>97</v>
      </c>
      <c r="L5" s="49">
        <v>6000</v>
      </c>
      <c r="M5" s="49">
        <v>7500</v>
      </c>
      <c r="N5" s="49">
        <f t="shared" ref="N5:N12" si="0">M5-L5</f>
        <v>1500</v>
      </c>
      <c r="O5" s="50" t="str">
        <f t="shared" ref="O5:O12" si="1">_xlfn.IFS(N5=0,"MANTIENE",N5&gt;0,"AUMENTA",N5&lt;0,"DISMINUYE")</f>
        <v>AUMENTA</v>
      </c>
      <c r="R5" s="5"/>
      <c r="S5" s="2" t="s">
        <v>112</v>
      </c>
      <c r="T5" s="2" t="s">
        <v>115</v>
      </c>
      <c r="U5" s="47">
        <f t="shared" ref="U5:U10" si="2">IF(T5="Madrid",10%,5%)</f>
        <v>0.1</v>
      </c>
      <c r="Y5" s="5"/>
      <c r="Z5" s="2" t="s">
        <v>122</v>
      </c>
      <c r="AA5" s="2">
        <v>2356</v>
      </c>
      <c r="AB5" s="2">
        <v>0.25</v>
      </c>
      <c r="AC5" s="2" t="s">
        <v>131</v>
      </c>
      <c r="AD5" s="50" t="str">
        <f t="shared" ref="AD5:AD12" si="3">IF(AC5="A","MÁXIMA","MODERADA")</f>
        <v>MODERADA</v>
      </c>
      <c r="AH5" s="72"/>
      <c r="AN5" s="73"/>
      <c r="AQ5" s="5"/>
      <c r="AR5" s="2">
        <v>2148</v>
      </c>
      <c r="AS5" s="2" t="s">
        <v>150</v>
      </c>
      <c r="AT5" s="2">
        <v>18</v>
      </c>
      <c r="AU5" s="2">
        <v>0</v>
      </c>
      <c r="AV5" s="2">
        <v>5</v>
      </c>
      <c r="AW5" s="50" t="str">
        <f t="shared" ref="AW5:AW11" si="4">IF(AND(AU5&gt;2,AT5&gt;20),AS5,"")</f>
        <v/>
      </c>
      <c r="BA5" s="72"/>
      <c r="BG5" s="73"/>
    </row>
    <row r="6" spans="1:59" ht="15.75" thickBot="1" x14ac:dyDescent="0.3">
      <c r="A6" s="5"/>
      <c r="B6" s="2" t="s">
        <v>88</v>
      </c>
      <c r="C6" s="53">
        <v>57000000</v>
      </c>
      <c r="D6" s="53">
        <v>5130000</v>
      </c>
      <c r="E6" s="53">
        <v>5070000</v>
      </c>
      <c r="F6" s="54">
        <f>D6/C6</f>
        <v>0.09</v>
      </c>
      <c r="G6" s="50" t="str">
        <f>IF(F6&lt;8%,"Disminuye","Aumenta")</f>
        <v>Aumenta</v>
      </c>
      <c r="J6" s="5"/>
      <c r="K6" s="2" t="s">
        <v>98</v>
      </c>
      <c r="L6" s="49">
        <v>300</v>
      </c>
      <c r="M6" s="49">
        <v>150</v>
      </c>
      <c r="N6" s="49">
        <f t="shared" si="0"/>
        <v>-150</v>
      </c>
      <c r="O6" s="50" t="str">
        <f t="shared" si="1"/>
        <v>DISMINUYE</v>
      </c>
      <c r="R6" s="5"/>
      <c r="S6" s="2" t="s">
        <v>107</v>
      </c>
      <c r="T6" s="2" t="s">
        <v>116</v>
      </c>
      <c r="U6" s="47">
        <f t="shared" si="2"/>
        <v>0.05</v>
      </c>
      <c r="Y6" s="5"/>
      <c r="Z6" s="2" t="s">
        <v>123</v>
      </c>
      <c r="AA6" s="2">
        <v>4588</v>
      </c>
      <c r="AB6" s="2">
        <v>0.36</v>
      </c>
      <c r="AC6" s="2" t="s">
        <v>130</v>
      </c>
      <c r="AD6" s="50" t="str">
        <f t="shared" si="3"/>
        <v>MÁXIMA</v>
      </c>
      <c r="AH6" s="72"/>
      <c r="AN6" s="73"/>
      <c r="AQ6" s="5"/>
      <c r="AR6" s="2">
        <v>2365</v>
      </c>
      <c r="AS6" s="2" t="s">
        <v>151</v>
      </c>
      <c r="AT6" s="2">
        <v>23</v>
      </c>
      <c r="AU6" s="2">
        <v>1</v>
      </c>
      <c r="AV6" s="2">
        <v>6</v>
      </c>
      <c r="AW6" s="50" t="str">
        <f t="shared" si="4"/>
        <v/>
      </c>
      <c r="BA6" s="72"/>
      <c r="BG6" s="73"/>
    </row>
    <row r="7" spans="1:59" x14ac:dyDescent="0.25">
      <c r="A7" s="5"/>
      <c r="B7" s="2" t="s">
        <v>89</v>
      </c>
      <c r="C7" s="53">
        <v>61200000</v>
      </c>
      <c r="D7" s="53">
        <v>6732000</v>
      </c>
      <c r="E7" s="53">
        <v>612000000</v>
      </c>
      <c r="F7" s="54">
        <f>D7/C7</f>
        <v>0.11</v>
      </c>
      <c r="G7" s="50" t="str">
        <f>IF(F7&lt;8%,"Disminuye","Aumenta")</f>
        <v>Aumenta</v>
      </c>
      <c r="J7" s="5"/>
      <c r="K7" s="2" t="s">
        <v>99</v>
      </c>
      <c r="L7" s="49">
        <v>550</v>
      </c>
      <c r="M7" s="49">
        <v>460</v>
      </c>
      <c r="N7" s="49">
        <f t="shared" si="0"/>
        <v>-90</v>
      </c>
      <c r="O7" s="50" t="str">
        <f t="shared" si="1"/>
        <v>DISMINUYE</v>
      </c>
      <c r="R7" s="5"/>
      <c r="S7" s="2" t="s">
        <v>108</v>
      </c>
      <c r="T7" s="2" t="s">
        <v>115</v>
      </c>
      <c r="U7" s="47">
        <f t="shared" si="2"/>
        <v>0.1</v>
      </c>
      <c r="Y7" s="5"/>
      <c r="Z7" s="2" t="s">
        <v>124</v>
      </c>
      <c r="AA7" s="2">
        <v>9522</v>
      </c>
      <c r="AB7" s="2">
        <v>0.14000000000000001</v>
      </c>
      <c r="AC7" s="2" t="s">
        <v>132</v>
      </c>
      <c r="AD7" s="50" t="str">
        <f t="shared" si="3"/>
        <v>MODERADA</v>
      </c>
      <c r="AH7" s="72"/>
      <c r="AI7" s="63" t="s">
        <v>64</v>
      </c>
      <c r="AJ7" s="63" t="s">
        <v>139</v>
      </c>
      <c r="AK7" s="63" t="s">
        <v>140</v>
      </c>
      <c r="AL7" s="63" t="s">
        <v>141</v>
      </c>
      <c r="AM7" s="63" t="s">
        <v>142</v>
      </c>
      <c r="AN7" s="74" t="s">
        <v>143</v>
      </c>
      <c r="AQ7" s="5"/>
      <c r="AR7" s="2">
        <v>3255</v>
      </c>
      <c r="AS7" s="2" t="s">
        <v>152</v>
      </c>
      <c r="AT7" s="2">
        <v>43</v>
      </c>
      <c r="AU7" s="2">
        <v>5</v>
      </c>
      <c r="AV7" s="2">
        <v>3</v>
      </c>
      <c r="AW7" s="50" t="str">
        <f t="shared" si="4"/>
        <v>José Piperno</v>
      </c>
      <c r="BA7" s="84" t="s">
        <v>163</v>
      </c>
      <c r="BB7" s="85" t="s">
        <v>164</v>
      </c>
      <c r="BC7" s="85" t="s">
        <v>165</v>
      </c>
      <c r="BD7" s="85" t="s">
        <v>166</v>
      </c>
      <c r="BE7" s="85" t="s">
        <v>167</v>
      </c>
      <c r="BF7" s="85" t="s">
        <v>175</v>
      </c>
      <c r="BG7" s="86" t="s">
        <v>168</v>
      </c>
    </row>
    <row r="8" spans="1:59" x14ac:dyDescent="0.25">
      <c r="A8" s="5"/>
      <c r="B8" s="1"/>
      <c r="C8" s="1"/>
      <c r="D8" s="1"/>
      <c r="E8" s="1"/>
      <c r="F8" s="1"/>
      <c r="G8" s="21"/>
      <c r="J8" s="5"/>
      <c r="K8" s="2" t="s">
        <v>100</v>
      </c>
      <c r="L8" s="49">
        <v>120</v>
      </c>
      <c r="M8" s="49">
        <v>120</v>
      </c>
      <c r="N8" s="49">
        <f t="shared" si="0"/>
        <v>0</v>
      </c>
      <c r="O8" s="50" t="str">
        <f t="shared" si="1"/>
        <v>MANTIENE</v>
      </c>
      <c r="R8" s="5"/>
      <c r="S8" s="2" t="s">
        <v>109</v>
      </c>
      <c r="T8" s="2" t="s">
        <v>115</v>
      </c>
      <c r="U8" s="47">
        <f t="shared" si="2"/>
        <v>0.1</v>
      </c>
      <c r="Y8" s="5"/>
      <c r="Z8" s="2" t="s">
        <v>125</v>
      </c>
      <c r="AA8" s="2">
        <v>12544</v>
      </c>
      <c r="AB8" s="2">
        <v>0.18</v>
      </c>
      <c r="AC8" s="2" t="s">
        <v>130</v>
      </c>
      <c r="AD8" s="50" t="str">
        <f t="shared" si="3"/>
        <v>MÁXIMA</v>
      </c>
      <c r="AH8" s="72"/>
      <c r="AI8" s="64">
        <v>37530</v>
      </c>
      <c r="AJ8" s="65">
        <f>AJ3</f>
        <v>60.1</v>
      </c>
      <c r="AK8" s="66">
        <v>0.16</v>
      </c>
      <c r="AL8" s="65">
        <f>AJ8*AK8</f>
        <v>9.6159999999999997</v>
      </c>
      <c r="AM8" s="65">
        <f>AJ8-AL8</f>
        <v>50.484000000000002</v>
      </c>
      <c r="AN8" s="75" t="str">
        <f>IF(AND(AM8&gt;72.12,AK8=8%),"BUENA","MALA")</f>
        <v>MALA</v>
      </c>
      <c r="AQ8" s="5"/>
      <c r="AR8" s="2">
        <v>3654</v>
      </c>
      <c r="AS8" s="2" t="s">
        <v>153</v>
      </c>
      <c r="AT8" s="2">
        <v>22</v>
      </c>
      <c r="AU8" s="2">
        <v>0</v>
      </c>
      <c r="AV8" s="2">
        <v>1</v>
      </c>
      <c r="AW8" s="50" t="str">
        <f t="shared" si="4"/>
        <v/>
      </c>
      <c r="BA8" s="14" t="s">
        <v>169</v>
      </c>
      <c r="BB8" s="2">
        <v>7.5</v>
      </c>
      <c r="BC8" s="2">
        <v>6</v>
      </c>
      <c r="BD8" s="2">
        <v>8</v>
      </c>
      <c r="BE8" s="82">
        <f>AVERAGE(BB8:BD8)</f>
        <v>7.166666666666667</v>
      </c>
      <c r="BF8" s="2" t="str">
        <f>IF(BE8&gt;=5,"Aprobado","Suspenso")</f>
        <v>Aprobado</v>
      </c>
      <c r="BG8" s="50" t="str">
        <f>_xlfn.IFS(BE8&lt;5,"Insuficiente",BE8&lt;7,"Bien",BE8&lt;9,"Notable",BE8&lt;=10,"Sobresaliente")</f>
        <v>Notable</v>
      </c>
    </row>
    <row r="9" spans="1:59" x14ac:dyDescent="0.25">
      <c r="A9" s="5"/>
      <c r="B9" s="55" t="s">
        <v>90</v>
      </c>
      <c r="C9" s="53">
        <f>AVERAGE(C4:C7)</f>
        <v>43100000</v>
      </c>
      <c r="D9" s="53">
        <f>AVERAGE(D4:D7)</f>
        <v>3914000</v>
      </c>
      <c r="E9" s="53">
        <f>AVERAGE(E4:E7)</f>
        <v>156145250</v>
      </c>
      <c r="F9" s="1"/>
      <c r="G9" s="21"/>
      <c r="J9" s="5"/>
      <c r="K9" s="2" t="s">
        <v>101</v>
      </c>
      <c r="L9" s="49">
        <v>27000</v>
      </c>
      <c r="M9" s="49">
        <v>32000</v>
      </c>
      <c r="N9" s="49">
        <f t="shared" si="0"/>
        <v>5000</v>
      </c>
      <c r="O9" s="50" t="str">
        <f t="shared" si="1"/>
        <v>AUMENTA</v>
      </c>
      <c r="R9" s="5"/>
      <c r="S9" s="2" t="s">
        <v>110</v>
      </c>
      <c r="T9" s="2" t="s">
        <v>117</v>
      </c>
      <c r="U9" s="47">
        <f t="shared" si="2"/>
        <v>0.05</v>
      </c>
      <c r="Y9" s="5"/>
      <c r="Z9" s="2" t="s">
        <v>126</v>
      </c>
      <c r="AA9" s="2">
        <v>1020</v>
      </c>
      <c r="AB9" s="2">
        <v>0.6</v>
      </c>
      <c r="AC9" s="2" t="s">
        <v>132</v>
      </c>
      <c r="AD9" s="50" t="str">
        <f t="shared" si="3"/>
        <v>MODERADA</v>
      </c>
      <c r="AH9" s="72"/>
      <c r="AI9" s="64">
        <v>37531</v>
      </c>
      <c r="AJ9" s="65">
        <f>AJ8+$AJ$4</f>
        <v>66.710000000000008</v>
      </c>
      <c r="AK9" s="66">
        <v>0.12</v>
      </c>
      <c r="AL9" s="65">
        <f t="shared" ref="AL9:AL14" si="5">AJ9*AK9</f>
        <v>8.0052000000000003</v>
      </c>
      <c r="AM9" s="65">
        <f t="shared" ref="AM9:AM14" si="6">AJ9-AL9</f>
        <v>58.704800000000006</v>
      </c>
      <c r="AN9" s="75" t="str">
        <f t="shared" ref="AN9:AN14" si="7">IF(AND(AM9&gt;72.12,AK9=8%),"BUENA","MALA")</f>
        <v>MALA</v>
      </c>
      <c r="AQ9" s="5"/>
      <c r="AR9" s="2">
        <v>4578</v>
      </c>
      <c r="AS9" s="2" t="s">
        <v>154</v>
      </c>
      <c r="AT9" s="2">
        <v>56</v>
      </c>
      <c r="AU9" s="2">
        <v>3</v>
      </c>
      <c r="AV9" s="2">
        <v>20</v>
      </c>
      <c r="AW9" s="50" t="str">
        <f t="shared" si="4"/>
        <v>Luisa Vehil</v>
      </c>
      <c r="BA9" s="14" t="s">
        <v>170</v>
      </c>
      <c r="BB9" s="2">
        <v>9.1999999999999993</v>
      </c>
      <c r="BC9" s="2">
        <v>8.5</v>
      </c>
      <c r="BD9" s="2">
        <v>9</v>
      </c>
      <c r="BE9" s="82">
        <f t="shared" ref="BE9:BE13" si="8">AVERAGE(BB9:BD9)</f>
        <v>8.9</v>
      </c>
      <c r="BF9" s="2" t="str">
        <f t="shared" ref="BF9:BF13" si="9">IF(BE9&gt;=5,"Aprobado","Suspenso")</f>
        <v>Aprobado</v>
      </c>
      <c r="BG9" s="50" t="str">
        <f t="shared" ref="BG9:BG13" si="10">_xlfn.IFS(BE9&lt;5,"Insuficiente",BE9&lt;7,"Bien",BE9&lt;9,"Notable",BE9&lt;=10,"Sobresaliente")</f>
        <v>Notable</v>
      </c>
    </row>
    <row r="10" spans="1:59" ht="15.75" thickBot="1" x14ac:dyDescent="0.3">
      <c r="A10" s="5"/>
      <c r="B10" s="55" t="s">
        <v>43</v>
      </c>
      <c r="C10" s="53">
        <f>MAX(C4:C7)</f>
        <v>61200000</v>
      </c>
      <c r="D10" s="53">
        <f>MAX(D4:D7)</f>
        <v>6732000</v>
      </c>
      <c r="E10" s="53">
        <f>MAX(E4:E7)</f>
        <v>612000000</v>
      </c>
      <c r="F10" s="1"/>
      <c r="G10" s="21"/>
      <c r="J10" s="5"/>
      <c r="K10" s="2" t="s">
        <v>102</v>
      </c>
      <c r="L10" s="49">
        <v>645</v>
      </c>
      <c r="M10" s="49">
        <v>540</v>
      </c>
      <c r="N10" s="49">
        <f t="shared" si="0"/>
        <v>-105</v>
      </c>
      <c r="O10" s="50" t="str">
        <f t="shared" si="1"/>
        <v>DISMINUYE</v>
      </c>
      <c r="R10" s="6"/>
      <c r="S10" s="17" t="s">
        <v>111</v>
      </c>
      <c r="T10" s="17" t="s">
        <v>115</v>
      </c>
      <c r="U10" s="48">
        <f t="shared" si="2"/>
        <v>0.1</v>
      </c>
      <c r="Y10" s="5"/>
      <c r="Z10" s="2" t="s">
        <v>127</v>
      </c>
      <c r="AA10" s="2">
        <v>15402</v>
      </c>
      <c r="AB10" s="2">
        <v>0.27</v>
      </c>
      <c r="AC10" s="2" t="s">
        <v>130</v>
      </c>
      <c r="AD10" s="50" t="str">
        <f t="shared" si="3"/>
        <v>MÁXIMA</v>
      </c>
      <c r="AH10" s="72"/>
      <c r="AI10" s="64">
        <v>37532</v>
      </c>
      <c r="AJ10" s="65">
        <f t="shared" ref="AJ10:AJ14" si="11">AJ9+$AJ$4</f>
        <v>73.320000000000007</v>
      </c>
      <c r="AK10" s="66">
        <v>0.08</v>
      </c>
      <c r="AL10" s="65">
        <f t="shared" si="5"/>
        <v>5.8656000000000006</v>
      </c>
      <c r="AM10" s="65">
        <f t="shared" si="6"/>
        <v>67.454400000000007</v>
      </c>
      <c r="AN10" s="75" t="str">
        <f t="shared" si="7"/>
        <v>MALA</v>
      </c>
      <c r="AQ10" s="5"/>
      <c r="AR10" s="2">
        <v>5967</v>
      </c>
      <c r="AS10" s="2" t="s">
        <v>155</v>
      </c>
      <c r="AT10" s="2">
        <v>11</v>
      </c>
      <c r="AU10" s="2">
        <v>1</v>
      </c>
      <c r="AV10" s="2">
        <v>2</v>
      </c>
      <c r="AW10" s="50" t="str">
        <f t="shared" si="4"/>
        <v/>
      </c>
      <c r="BA10" s="14" t="s">
        <v>171</v>
      </c>
      <c r="BB10" s="2">
        <v>8</v>
      </c>
      <c r="BC10" s="2">
        <v>4</v>
      </c>
      <c r="BD10" s="2">
        <v>3</v>
      </c>
      <c r="BE10" s="82">
        <f t="shared" si="8"/>
        <v>5</v>
      </c>
      <c r="BF10" s="2" t="str">
        <f t="shared" si="9"/>
        <v>Aprobado</v>
      </c>
      <c r="BG10" s="50" t="str">
        <f t="shared" si="10"/>
        <v>Bien</v>
      </c>
    </row>
    <row r="11" spans="1:59" ht="15.75" thickBot="1" x14ac:dyDescent="0.3">
      <c r="A11" s="6"/>
      <c r="B11" s="56" t="s">
        <v>44</v>
      </c>
      <c r="C11" s="57">
        <f>MIN(C4:C7)</f>
        <v>15500000</v>
      </c>
      <c r="D11" s="57">
        <f>MIN(D4:D7)</f>
        <v>1085000</v>
      </c>
      <c r="E11" s="57">
        <f>MIN(E4:E7)</f>
        <v>2480000</v>
      </c>
      <c r="F11" s="7"/>
      <c r="G11" s="22"/>
      <c r="J11" s="5"/>
      <c r="K11" s="2" t="s">
        <v>103</v>
      </c>
      <c r="L11" s="49">
        <v>200</v>
      </c>
      <c r="M11" s="49">
        <v>200</v>
      </c>
      <c r="N11" s="49">
        <f t="shared" si="0"/>
        <v>0</v>
      </c>
      <c r="O11" s="50" t="str">
        <f t="shared" si="1"/>
        <v>MANTIENE</v>
      </c>
      <c r="Y11" s="5"/>
      <c r="Z11" s="2" t="s">
        <v>129</v>
      </c>
      <c r="AA11" s="2">
        <v>6598</v>
      </c>
      <c r="AB11" s="2">
        <v>0.78</v>
      </c>
      <c r="AC11" s="2" t="s">
        <v>131</v>
      </c>
      <c r="AD11" s="50" t="str">
        <f t="shared" si="3"/>
        <v>MODERADA</v>
      </c>
      <c r="AH11" s="72"/>
      <c r="AI11" s="64">
        <v>37533</v>
      </c>
      <c r="AJ11" s="65">
        <f t="shared" si="11"/>
        <v>79.930000000000007</v>
      </c>
      <c r="AK11" s="66">
        <v>0.08</v>
      </c>
      <c r="AL11" s="65">
        <f t="shared" si="5"/>
        <v>6.394400000000001</v>
      </c>
      <c r="AM11" s="65">
        <f t="shared" si="6"/>
        <v>73.535600000000002</v>
      </c>
      <c r="AN11" s="75" t="str">
        <f t="shared" si="7"/>
        <v>BUENA</v>
      </c>
      <c r="AQ11" s="6"/>
      <c r="AR11" s="17">
        <v>6685</v>
      </c>
      <c r="AS11" s="17" t="s">
        <v>156</v>
      </c>
      <c r="AT11" s="17">
        <v>29</v>
      </c>
      <c r="AU11" s="17">
        <v>1</v>
      </c>
      <c r="AV11" s="17">
        <v>12</v>
      </c>
      <c r="AW11" s="52" t="str">
        <f t="shared" si="4"/>
        <v/>
      </c>
      <c r="BA11" s="14" t="s">
        <v>172</v>
      </c>
      <c r="BB11" s="2">
        <v>3</v>
      </c>
      <c r="BC11" s="2">
        <v>5</v>
      </c>
      <c r="BD11" s="2">
        <v>6.5</v>
      </c>
      <c r="BE11" s="82">
        <f t="shared" si="8"/>
        <v>4.833333333333333</v>
      </c>
      <c r="BF11" s="2" t="str">
        <f t="shared" si="9"/>
        <v>Suspenso</v>
      </c>
      <c r="BG11" s="50" t="str">
        <f t="shared" si="10"/>
        <v>Insuficiente</v>
      </c>
    </row>
    <row r="12" spans="1:59" ht="15.75" thickBot="1" x14ac:dyDescent="0.3">
      <c r="J12" s="6"/>
      <c r="K12" s="17" t="s">
        <v>104</v>
      </c>
      <c r="L12" s="51">
        <v>700</v>
      </c>
      <c r="M12" s="51">
        <v>750</v>
      </c>
      <c r="N12" s="51">
        <f t="shared" si="0"/>
        <v>50</v>
      </c>
      <c r="O12" s="52" t="str">
        <f t="shared" si="1"/>
        <v>AUMENTA</v>
      </c>
      <c r="Y12" s="5"/>
      <c r="Z12" s="2" t="s">
        <v>128</v>
      </c>
      <c r="AA12" s="2">
        <v>8787</v>
      </c>
      <c r="AB12" s="2">
        <v>1.02</v>
      </c>
      <c r="AC12" s="2" t="s">
        <v>131</v>
      </c>
      <c r="AD12" s="50" t="str">
        <f t="shared" si="3"/>
        <v>MODERADA</v>
      </c>
      <c r="AH12" s="72"/>
      <c r="AI12" s="64">
        <v>37534</v>
      </c>
      <c r="AJ12" s="65">
        <f t="shared" si="11"/>
        <v>86.54</v>
      </c>
      <c r="AK12" s="66">
        <v>0.12</v>
      </c>
      <c r="AL12" s="65">
        <f t="shared" si="5"/>
        <v>10.3848</v>
      </c>
      <c r="AM12" s="65">
        <f t="shared" si="6"/>
        <v>76.155200000000008</v>
      </c>
      <c r="AN12" s="75" t="str">
        <f t="shared" si="7"/>
        <v>MALA</v>
      </c>
      <c r="BA12" s="14" t="s">
        <v>173</v>
      </c>
      <c r="BB12" s="2">
        <v>5</v>
      </c>
      <c r="BC12" s="2">
        <v>7</v>
      </c>
      <c r="BD12" s="2">
        <v>2</v>
      </c>
      <c r="BE12" s="82">
        <f t="shared" si="8"/>
        <v>4.666666666666667</v>
      </c>
      <c r="BF12" s="2" t="str">
        <f t="shared" si="9"/>
        <v>Suspenso</v>
      </c>
      <c r="BG12" s="50" t="str">
        <f t="shared" si="10"/>
        <v>Insuficiente</v>
      </c>
    </row>
    <row r="13" spans="1:59" ht="15.75" thickBot="1" x14ac:dyDescent="0.3">
      <c r="Y13" s="5"/>
      <c r="Z13" s="1"/>
      <c r="AA13" s="1"/>
      <c r="AB13" s="1"/>
      <c r="AC13" s="1"/>
      <c r="AD13" s="21"/>
      <c r="AH13" s="72"/>
      <c r="AI13" s="64">
        <v>37535</v>
      </c>
      <c r="AJ13" s="65">
        <f t="shared" si="11"/>
        <v>93.15</v>
      </c>
      <c r="AK13" s="66">
        <v>0.16</v>
      </c>
      <c r="AL13" s="65">
        <f t="shared" si="5"/>
        <v>14.904000000000002</v>
      </c>
      <c r="AM13" s="65">
        <f t="shared" si="6"/>
        <v>78.246000000000009</v>
      </c>
      <c r="AN13" s="75" t="str">
        <f t="shared" si="7"/>
        <v>MALA</v>
      </c>
      <c r="BA13" s="16" t="s">
        <v>174</v>
      </c>
      <c r="BB13" s="17">
        <v>6.5</v>
      </c>
      <c r="BC13" s="17">
        <v>6</v>
      </c>
      <c r="BD13" s="17">
        <v>6</v>
      </c>
      <c r="BE13" s="83">
        <f t="shared" si="8"/>
        <v>6.166666666666667</v>
      </c>
      <c r="BF13" s="17" t="str">
        <f t="shared" si="9"/>
        <v>Aprobado</v>
      </c>
      <c r="BG13" s="52" t="str">
        <f t="shared" si="10"/>
        <v>Bien</v>
      </c>
    </row>
    <row r="14" spans="1:59" ht="15.75" thickBot="1" x14ac:dyDescent="0.3">
      <c r="Y14" s="61" t="s">
        <v>133</v>
      </c>
      <c r="Z14" s="2">
        <f>COUNTIF(AC4:AC12,"A")</f>
        <v>4</v>
      </c>
      <c r="AA14" s="1"/>
      <c r="AB14" s="1"/>
      <c r="AC14" s="1"/>
      <c r="AD14" s="21"/>
      <c r="AH14" s="76"/>
      <c r="AI14" s="77">
        <v>37536</v>
      </c>
      <c r="AJ14" s="78">
        <f t="shared" si="11"/>
        <v>99.76</v>
      </c>
      <c r="AK14" s="79">
        <v>0.16</v>
      </c>
      <c r="AL14" s="78">
        <f t="shared" si="5"/>
        <v>15.961600000000001</v>
      </c>
      <c r="AM14" s="78">
        <f t="shared" si="6"/>
        <v>83.798400000000001</v>
      </c>
      <c r="AN14" s="80" t="str">
        <f t="shared" si="7"/>
        <v>MALA</v>
      </c>
    </row>
    <row r="15" spans="1:59" ht="15.75" thickBot="1" x14ac:dyDescent="0.3">
      <c r="Y15" s="62" t="s">
        <v>134</v>
      </c>
      <c r="Z15" s="17">
        <f>COUNTIF(AB4:AB12,"&lt;0,5")</f>
        <v>6</v>
      </c>
      <c r="AA15" s="7"/>
      <c r="AB15" s="7"/>
      <c r="AC15" s="7"/>
      <c r="AD15" s="22"/>
    </row>
  </sheetData>
  <mergeCells count="1">
    <mergeCell ref="BB3:BB4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B1D6-8842-4607-BEB8-95F3304E831E}">
  <dimension ref="B2:O31"/>
  <sheetViews>
    <sheetView topLeftCell="B16" zoomScale="50" zoomScaleNormal="50" workbookViewId="0">
      <selection activeCell="K33" sqref="K33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8" width="17.5703125" bestFit="1" customWidth="1"/>
    <col min="9" max="9" width="22.42578125" bestFit="1" customWidth="1"/>
    <col min="10" max="10" width="40.42578125" bestFit="1" customWidth="1"/>
    <col min="11" max="11" width="50.140625" bestFit="1" customWidth="1"/>
    <col min="12" max="12" width="29.85546875" bestFit="1" customWidth="1"/>
    <col min="13" max="13" width="21.85546875" bestFit="1" customWidth="1"/>
    <col min="14" max="14" width="27.85546875" bestFit="1" customWidth="1"/>
    <col min="15" max="15" width="25.5703125" bestFit="1" customWidth="1"/>
    <col min="16" max="17" width="21.28515625" bestFit="1" customWidth="1"/>
    <col min="18" max="18" width="15.5703125" bestFit="1" customWidth="1"/>
    <col min="19" max="19" width="18.42578125" bestFit="1" customWidth="1"/>
    <col min="20" max="20" width="25.5703125" bestFit="1" customWidth="1"/>
    <col min="21" max="21" width="15.140625" bestFit="1" customWidth="1"/>
    <col min="22" max="22" width="15.42578125" bestFit="1" customWidth="1"/>
    <col min="23" max="23" width="19.5703125" bestFit="1" customWidth="1"/>
    <col min="24" max="24" width="13.85546875" bestFit="1" customWidth="1"/>
    <col min="25" max="25" width="11" bestFit="1" customWidth="1"/>
    <col min="26" max="26" width="11.85546875" bestFit="1" customWidth="1"/>
    <col min="27" max="28" width="12.85546875" bestFit="1" customWidth="1"/>
    <col min="29" max="29" width="15.7109375" bestFit="1" customWidth="1"/>
    <col min="30" max="30" width="19.5703125" bestFit="1" customWidth="1"/>
    <col min="31" max="31" width="13.85546875" bestFit="1" customWidth="1"/>
    <col min="32" max="32" width="11.85546875" bestFit="1" customWidth="1"/>
    <col min="33" max="33" width="12.85546875" bestFit="1" customWidth="1"/>
    <col min="34" max="34" width="15.42578125" bestFit="1" customWidth="1"/>
    <col min="35" max="35" width="15.7109375" bestFit="1" customWidth="1"/>
    <col min="36" max="36" width="19.5703125" bestFit="1" customWidth="1"/>
    <col min="37" max="37" width="17.85546875" bestFit="1" customWidth="1"/>
  </cols>
  <sheetData>
    <row r="2" spans="2:8" ht="37.5" customHeight="1" x14ac:dyDescent="0.25">
      <c r="B2" s="143" t="s">
        <v>64</v>
      </c>
      <c r="C2" s="143" t="s">
        <v>176</v>
      </c>
      <c r="D2" s="143" t="s">
        <v>177</v>
      </c>
      <c r="E2" s="143" t="s">
        <v>178</v>
      </c>
      <c r="F2" s="143" t="s">
        <v>69</v>
      </c>
      <c r="G2" s="1"/>
    </row>
    <row r="3" spans="2:8" ht="18" customHeight="1" x14ac:dyDescent="0.25">
      <c r="B3" s="144">
        <v>42811</v>
      </c>
      <c r="C3" s="145" t="s">
        <v>179</v>
      </c>
      <c r="D3" s="145" t="s">
        <v>180</v>
      </c>
      <c r="E3" s="145" t="s">
        <v>181</v>
      </c>
      <c r="F3" s="146">
        <v>1000</v>
      </c>
    </row>
    <row r="4" spans="2:8" ht="18" customHeight="1" x14ac:dyDescent="0.25">
      <c r="B4" s="144">
        <v>42814</v>
      </c>
      <c r="C4" s="145" t="s">
        <v>182</v>
      </c>
      <c r="D4" s="145" t="s">
        <v>183</v>
      </c>
      <c r="E4" s="145" t="s">
        <v>184</v>
      </c>
      <c r="F4" s="146">
        <v>200</v>
      </c>
    </row>
    <row r="5" spans="2:8" ht="18" customHeight="1" x14ac:dyDescent="0.25">
      <c r="B5" s="144">
        <v>42816</v>
      </c>
      <c r="C5" s="145" t="s">
        <v>185</v>
      </c>
      <c r="D5" s="145" t="s">
        <v>183</v>
      </c>
      <c r="E5" s="145" t="s">
        <v>186</v>
      </c>
      <c r="F5" s="146">
        <v>3500</v>
      </c>
    </row>
    <row r="6" spans="2:8" ht="18" customHeight="1" x14ac:dyDescent="0.25">
      <c r="B6" s="144">
        <v>42845</v>
      </c>
      <c r="C6" s="145" t="s">
        <v>187</v>
      </c>
      <c r="D6" s="145" t="s">
        <v>188</v>
      </c>
      <c r="E6" s="145" t="s">
        <v>184</v>
      </c>
      <c r="F6" s="146">
        <v>100</v>
      </c>
    </row>
    <row r="7" spans="2:8" ht="18" customHeight="1" x14ac:dyDescent="0.25">
      <c r="B7" s="144">
        <v>42842</v>
      </c>
      <c r="C7" s="145" t="s">
        <v>179</v>
      </c>
      <c r="D7" s="145" t="s">
        <v>180</v>
      </c>
      <c r="E7" s="145" t="s">
        <v>189</v>
      </c>
      <c r="F7" s="146">
        <v>100</v>
      </c>
      <c r="H7" s="147"/>
    </row>
    <row r="8" spans="2:8" ht="18" customHeight="1" x14ac:dyDescent="0.25">
      <c r="B8" s="144">
        <v>42877</v>
      </c>
      <c r="C8" s="145" t="s">
        <v>182</v>
      </c>
      <c r="D8" s="145" t="s">
        <v>188</v>
      </c>
      <c r="E8" s="145" t="s">
        <v>190</v>
      </c>
      <c r="F8" s="146">
        <v>20</v>
      </c>
    </row>
    <row r="9" spans="2:8" ht="18" customHeight="1" x14ac:dyDescent="0.25">
      <c r="B9" s="144">
        <v>42877</v>
      </c>
      <c r="C9" s="145" t="s">
        <v>185</v>
      </c>
      <c r="D9" s="145" t="s">
        <v>188</v>
      </c>
      <c r="E9" s="145" t="s">
        <v>191</v>
      </c>
      <c r="F9" s="146">
        <v>10</v>
      </c>
    </row>
    <row r="10" spans="2:8" ht="18" customHeight="1" x14ac:dyDescent="0.25">
      <c r="B10" s="148">
        <v>42879</v>
      </c>
      <c r="C10" s="149" t="s">
        <v>187</v>
      </c>
      <c r="D10" s="145" t="s">
        <v>180</v>
      </c>
      <c r="E10" s="149" t="s">
        <v>190</v>
      </c>
      <c r="F10" s="150">
        <v>20</v>
      </c>
    </row>
    <row r="11" spans="2:8" ht="18" customHeight="1" x14ac:dyDescent="0.25">
      <c r="B11" s="151">
        <v>42872</v>
      </c>
      <c r="C11" s="152" t="s">
        <v>187</v>
      </c>
      <c r="D11" s="152" t="s">
        <v>192</v>
      </c>
      <c r="E11" s="152" t="s">
        <v>193</v>
      </c>
      <c r="F11" s="153">
        <v>4000</v>
      </c>
    </row>
    <row r="12" spans="2:8" ht="18" customHeight="1" x14ac:dyDescent="0.25">
      <c r="B12" s="151">
        <v>42875</v>
      </c>
      <c r="C12" s="152" t="s">
        <v>179</v>
      </c>
      <c r="D12" s="145" t="s">
        <v>188</v>
      </c>
      <c r="E12" s="152" t="s">
        <v>193</v>
      </c>
      <c r="F12" s="153">
        <v>4000</v>
      </c>
    </row>
    <row r="13" spans="2:8" ht="18" customHeight="1" x14ac:dyDescent="0.25">
      <c r="B13" s="151">
        <v>42882</v>
      </c>
      <c r="C13" s="152" t="s">
        <v>182</v>
      </c>
      <c r="D13" s="145" t="s">
        <v>188</v>
      </c>
      <c r="E13" s="152" t="s">
        <v>194</v>
      </c>
      <c r="F13" s="153">
        <v>180</v>
      </c>
    </row>
    <row r="14" spans="2:8" ht="18" customHeight="1" x14ac:dyDescent="0.25">
      <c r="B14" s="151">
        <v>42875</v>
      </c>
      <c r="C14" s="152" t="s">
        <v>185</v>
      </c>
      <c r="D14" s="145" t="s">
        <v>180</v>
      </c>
      <c r="E14" s="152" t="s">
        <v>191</v>
      </c>
      <c r="F14" s="153">
        <v>10</v>
      </c>
    </row>
    <row r="15" spans="2:8" ht="18" customHeight="1" x14ac:dyDescent="0.25">
      <c r="B15" s="151">
        <v>42872</v>
      </c>
      <c r="C15" s="152" t="s">
        <v>187</v>
      </c>
      <c r="D15" s="152" t="s">
        <v>192</v>
      </c>
      <c r="E15" s="152" t="s">
        <v>190</v>
      </c>
      <c r="F15" s="153">
        <v>30</v>
      </c>
    </row>
    <row r="16" spans="2:8" ht="18" customHeight="1" x14ac:dyDescent="0.25">
      <c r="B16" s="151">
        <v>43238</v>
      </c>
      <c r="C16" s="151" t="s">
        <v>179</v>
      </c>
      <c r="D16" s="145" t="s">
        <v>183</v>
      </c>
      <c r="E16" s="154" t="s">
        <v>181</v>
      </c>
      <c r="F16" s="146">
        <v>1000</v>
      </c>
    </row>
    <row r="17" spans="2:15" x14ac:dyDescent="0.25">
      <c r="B17" s="151">
        <v>43267</v>
      </c>
      <c r="C17" s="151" t="s">
        <v>182</v>
      </c>
      <c r="D17" s="145" t="s">
        <v>188</v>
      </c>
      <c r="E17" s="154" t="s">
        <v>195</v>
      </c>
      <c r="F17" s="155">
        <v>15</v>
      </c>
    </row>
    <row r="18" spans="2:15" ht="18" customHeight="1" x14ac:dyDescent="0.25">
      <c r="B18" s="151">
        <v>43268</v>
      </c>
      <c r="C18" s="151" t="s">
        <v>185</v>
      </c>
      <c r="D18" s="145" t="s">
        <v>180</v>
      </c>
      <c r="E18" s="152" t="s">
        <v>193</v>
      </c>
      <c r="F18" s="153">
        <v>4000</v>
      </c>
    </row>
    <row r="19" spans="2:15" ht="28.5" x14ac:dyDescent="0.25">
      <c r="B19" s="151">
        <v>43271</v>
      </c>
      <c r="C19" s="151" t="s">
        <v>187</v>
      </c>
      <c r="D19" s="145" t="s">
        <v>188</v>
      </c>
      <c r="E19" s="154" t="s">
        <v>195</v>
      </c>
      <c r="F19" s="155">
        <v>15</v>
      </c>
      <c r="J19" s="156" t="s">
        <v>196</v>
      </c>
      <c r="K19" s="156" t="s">
        <v>197</v>
      </c>
      <c r="L19" s="156"/>
      <c r="M19" s="156"/>
      <c r="N19" s="156"/>
      <c r="O19" s="156"/>
    </row>
    <row r="20" spans="2:15" ht="28.5" x14ac:dyDescent="0.25">
      <c r="B20" s="151">
        <v>43270</v>
      </c>
      <c r="C20" s="151" t="s">
        <v>179</v>
      </c>
      <c r="D20" s="145" t="s">
        <v>180</v>
      </c>
      <c r="E20" s="145" t="s">
        <v>184</v>
      </c>
      <c r="F20" s="146">
        <v>100</v>
      </c>
      <c r="J20" s="156" t="s">
        <v>198</v>
      </c>
      <c r="K20" s="156" t="s">
        <v>179</v>
      </c>
      <c r="L20" s="156" t="s">
        <v>187</v>
      </c>
      <c r="M20" s="156" t="s">
        <v>182</v>
      </c>
      <c r="N20" s="156" t="s">
        <v>185</v>
      </c>
      <c r="O20" s="156" t="s">
        <v>199</v>
      </c>
    </row>
    <row r="21" spans="2:15" ht="28.5" x14ac:dyDescent="0.25">
      <c r="B21" s="151">
        <v>43286</v>
      </c>
      <c r="C21" s="151" t="s">
        <v>182</v>
      </c>
      <c r="D21" s="152" t="s">
        <v>192</v>
      </c>
      <c r="E21" s="145" t="s">
        <v>189</v>
      </c>
      <c r="F21" s="146">
        <v>100</v>
      </c>
      <c r="J21" s="156" t="s">
        <v>180</v>
      </c>
      <c r="K21" s="156">
        <v>1200</v>
      </c>
      <c r="L21" s="156">
        <v>120</v>
      </c>
      <c r="M21" s="156">
        <v>1000</v>
      </c>
      <c r="N21" s="156">
        <v>8025</v>
      </c>
      <c r="O21" s="156">
        <v>10345</v>
      </c>
    </row>
    <row r="22" spans="2:15" ht="28.5" x14ac:dyDescent="0.25">
      <c r="B22" s="151">
        <v>43287</v>
      </c>
      <c r="C22" s="151" t="s">
        <v>185</v>
      </c>
      <c r="D22" s="145" t="s">
        <v>180</v>
      </c>
      <c r="E22" s="154" t="s">
        <v>181</v>
      </c>
      <c r="F22" s="155">
        <v>15</v>
      </c>
      <c r="J22" s="156" t="s">
        <v>183</v>
      </c>
      <c r="K22" s="156">
        <v>1100</v>
      </c>
      <c r="L22" s="156">
        <v>15</v>
      </c>
      <c r="M22" s="156">
        <v>200</v>
      </c>
      <c r="N22" s="156">
        <v>3500</v>
      </c>
      <c r="O22" s="156">
        <v>4815</v>
      </c>
    </row>
    <row r="23" spans="2:15" ht="28.5" x14ac:dyDescent="0.25">
      <c r="B23" s="151">
        <v>43289</v>
      </c>
      <c r="C23" s="151" t="s">
        <v>187</v>
      </c>
      <c r="D23" s="145" t="s">
        <v>188</v>
      </c>
      <c r="E23" s="145" t="s">
        <v>189</v>
      </c>
      <c r="F23" s="146">
        <v>100</v>
      </c>
      <c r="J23" s="156" t="s">
        <v>188</v>
      </c>
      <c r="K23" s="156">
        <v>4000</v>
      </c>
      <c r="L23" s="156">
        <v>215</v>
      </c>
      <c r="M23" s="156">
        <v>315</v>
      </c>
      <c r="N23" s="156">
        <v>10</v>
      </c>
      <c r="O23" s="156">
        <v>4540</v>
      </c>
    </row>
    <row r="24" spans="2:15" ht="28.5" x14ac:dyDescent="0.25">
      <c r="B24" s="151">
        <v>43316</v>
      </c>
      <c r="C24" s="151" t="s">
        <v>179</v>
      </c>
      <c r="D24" s="152" t="s">
        <v>192</v>
      </c>
      <c r="E24" s="154" t="s">
        <v>195</v>
      </c>
      <c r="F24" s="155">
        <v>15</v>
      </c>
      <c r="J24" s="156" t="s">
        <v>192</v>
      </c>
      <c r="K24" s="156">
        <v>15</v>
      </c>
      <c r="L24" s="156">
        <v>4030</v>
      </c>
      <c r="M24" s="156">
        <v>100</v>
      </c>
      <c r="N24" s="156">
        <v>3500</v>
      </c>
      <c r="O24" s="156">
        <v>7645</v>
      </c>
    </row>
    <row r="25" spans="2:15" ht="28.5" x14ac:dyDescent="0.25">
      <c r="B25" s="151">
        <v>43318</v>
      </c>
      <c r="C25" s="151" t="s">
        <v>182</v>
      </c>
      <c r="D25" s="145" t="s">
        <v>188</v>
      </c>
      <c r="E25" s="145" t="s">
        <v>189</v>
      </c>
      <c r="F25" s="146">
        <v>100</v>
      </c>
      <c r="J25" s="156" t="s">
        <v>199</v>
      </c>
      <c r="K25" s="156">
        <v>6315</v>
      </c>
      <c r="L25" s="156">
        <v>4380</v>
      </c>
      <c r="M25" s="156">
        <v>1615</v>
      </c>
      <c r="N25" s="156">
        <v>15035</v>
      </c>
      <c r="O25" s="156">
        <v>27345</v>
      </c>
    </row>
    <row r="26" spans="2:15" x14ac:dyDescent="0.25">
      <c r="B26" s="151">
        <v>43319</v>
      </c>
      <c r="C26" s="151" t="s">
        <v>185</v>
      </c>
      <c r="D26" s="145" t="s">
        <v>180</v>
      </c>
      <c r="E26" s="152" t="s">
        <v>193</v>
      </c>
      <c r="F26" s="153">
        <v>4000</v>
      </c>
    </row>
    <row r="27" spans="2:15" x14ac:dyDescent="0.25">
      <c r="B27" s="151">
        <v>43344</v>
      </c>
      <c r="C27" s="151" t="s">
        <v>187</v>
      </c>
      <c r="D27" s="145" t="s">
        <v>180</v>
      </c>
      <c r="E27" s="145" t="s">
        <v>189</v>
      </c>
      <c r="F27" s="146">
        <v>100</v>
      </c>
    </row>
    <row r="28" spans="2:15" x14ac:dyDescent="0.25">
      <c r="B28" s="151">
        <v>43347</v>
      </c>
      <c r="C28" s="151" t="s">
        <v>179</v>
      </c>
      <c r="D28" s="145" t="s">
        <v>183</v>
      </c>
      <c r="E28" s="145" t="s">
        <v>184</v>
      </c>
      <c r="F28" s="146">
        <v>100</v>
      </c>
    </row>
    <row r="29" spans="2:15" x14ac:dyDescent="0.25">
      <c r="B29" s="151">
        <v>43713</v>
      </c>
      <c r="C29" s="151" t="s">
        <v>182</v>
      </c>
      <c r="D29" s="145" t="s">
        <v>180</v>
      </c>
      <c r="E29" s="154" t="s">
        <v>181</v>
      </c>
      <c r="F29" s="146">
        <v>1000</v>
      </c>
    </row>
    <row r="30" spans="2:15" x14ac:dyDescent="0.25">
      <c r="B30" s="151">
        <v>43716</v>
      </c>
      <c r="C30" s="151" t="s">
        <v>185</v>
      </c>
      <c r="D30" s="157" t="s">
        <v>192</v>
      </c>
      <c r="E30" s="145" t="s">
        <v>186</v>
      </c>
      <c r="F30" s="146">
        <v>3500</v>
      </c>
    </row>
    <row r="31" spans="2:15" x14ac:dyDescent="0.25">
      <c r="B31" s="151">
        <v>43728</v>
      </c>
      <c r="C31" s="151" t="s">
        <v>187</v>
      </c>
      <c r="D31" s="145" t="s">
        <v>183</v>
      </c>
      <c r="E31" s="154" t="s">
        <v>195</v>
      </c>
      <c r="F31" s="155">
        <v>15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9E55-D21B-4726-BF5C-6FB416CF5023}">
  <dimension ref="B2:N101"/>
  <sheetViews>
    <sheetView topLeftCell="D10" zoomScale="40" zoomScaleNormal="40" zoomScaleSheetLayoutView="130" workbookViewId="0">
      <selection activeCell="J31" sqref="J31"/>
    </sheetView>
  </sheetViews>
  <sheetFormatPr baseColWidth="10" defaultColWidth="50.7109375" defaultRowHeight="30" customHeight="1" x14ac:dyDescent="0.45"/>
  <cols>
    <col min="1" max="8" width="50.7109375" style="159"/>
    <col min="9" max="9" width="45.85546875" style="159" bestFit="1" customWidth="1"/>
    <col min="10" max="10" width="57.28515625" style="159" bestFit="1" customWidth="1"/>
    <col min="11" max="12" width="19.140625" style="159" bestFit="1" customWidth="1"/>
    <col min="13" max="13" width="19.42578125" style="159" bestFit="1" customWidth="1"/>
    <col min="14" max="14" width="28.42578125" style="159" bestFit="1" customWidth="1"/>
    <col min="15" max="16384" width="50.7109375" style="159"/>
  </cols>
  <sheetData>
    <row r="2" spans="2:8" ht="30" customHeight="1" x14ac:dyDescent="0.45">
      <c r="B2" s="158" t="s">
        <v>64</v>
      </c>
      <c r="C2" s="158" t="s">
        <v>176</v>
      </c>
      <c r="D2" s="158" t="s">
        <v>177</v>
      </c>
      <c r="E2" s="158" t="s">
        <v>178</v>
      </c>
      <c r="F2" s="158" t="s">
        <v>69</v>
      </c>
      <c r="G2" s="156"/>
    </row>
    <row r="3" spans="2:8" ht="30" customHeight="1" x14ac:dyDescent="0.45">
      <c r="B3" s="160">
        <v>42811</v>
      </c>
      <c r="C3" s="161" t="s">
        <v>179</v>
      </c>
      <c r="D3" s="161" t="s">
        <v>180</v>
      </c>
      <c r="E3" s="161" t="s">
        <v>181</v>
      </c>
      <c r="F3" s="162">
        <v>1000</v>
      </c>
    </row>
    <row r="4" spans="2:8" ht="30" customHeight="1" x14ac:dyDescent="0.45">
      <c r="B4" s="160">
        <v>42814</v>
      </c>
      <c r="C4" s="161" t="s">
        <v>182</v>
      </c>
      <c r="D4" s="161" t="s">
        <v>183</v>
      </c>
      <c r="E4" s="161" t="s">
        <v>184</v>
      </c>
      <c r="F4" s="162">
        <v>200</v>
      </c>
    </row>
    <row r="5" spans="2:8" ht="30" customHeight="1" x14ac:dyDescent="0.45">
      <c r="B5" s="160">
        <v>42816</v>
      </c>
      <c r="C5" s="161" t="s">
        <v>185</v>
      </c>
      <c r="D5" s="161" t="s">
        <v>183</v>
      </c>
      <c r="E5" s="161" t="s">
        <v>186</v>
      </c>
      <c r="F5" s="162">
        <v>3500</v>
      </c>
    </row>
    <row r="6" spans="2:8" ht="30" customHeight="1" x14ac:dyDescent="0.45">
      <c r="B6" s="160">
        <v>42845</v>
      </c>
      <c r="C6" s="161" t="s">
        <v>187</v>
      </c>
      <c r="D6" s="161" t="s">
        <v>188</v>
      </c>
      <c r="E6" s="161" t="s">
        <v>184</v>
      </c>
      <c r="F6" s="162">
        <v>100</v>
      </c>
    </row>
    <row r="7" spans="2:8" ht="30" customHeight="1" x14ac:dyDescent="0.45">
      <c r="B7" s="160">
        <v>42842</v>
      </c>
      <c r="C7" s="161" t="s">
        <v>179</v>
      </c>
      <c r="D7" s="161" t="s">
        <v>180</v>
      </c>
      <c r="E7" s="161" t="s">
        <v>189</v>
      </c>
      <c r="F7" s="162">
        <v>100</v>
      </c>
      <c r="H7" s="163"/>
    </row>
    <row r="8" spans="2:8" ht="30" customHeight="1" x14ac:dyDescent="0.45">
      <c r="B8" s="160">
        <v>42877</v>
      </c>
      <c r="C8" s="161" t="s">
        <v>182</v>
      </c>
      <c r="D8" s="161" t="s">
        <v>188</v>
      </c>
      <c r="E8" s="161" t="s">
        <v>190</v>
      </c>
      <c r="F8" s="162">
        <v>20</v>
      </c>
    </row>
    <row r="9" spans="2:8" ht="30" customHeight="1" x14ac:dyDescent="0.45">
      <c r="B9" s="160">
        <v>42877</v>
      </c>
      <c r="C9" s="161" t="s">
        <v>185</v>
      </c>
      <c r="D9" s="161" t="s">
        <v>188</v>
      </c>
      <c r="E9" s="161" t="s">
        <v>191</v>
      </c>
      <c r="F9" s="162">
        <v>10</v>
      </c>
    </row>
    <row r="10" spans="2:8" ht="30" customHeight="1" x14ac:dyDescent="0.45">
      <c r="B10" s="164">
        <v>42879</v>
      </c>
      <c r="C10" s="165" t="s">
        <v>187</v>
      </c>
      <c r="D10" s="161" t="s">
        <v>180</v>
      </c>
      <c r="E10" s="165" t="s">
        <v>190</v>
      </c>
      <c r="F10" s="166">
        <v>20</v>
      </c>
    </row>
    <row r="11" spans="2:8" ht="30" customHeight="1" x14ac:dyDescent="0.45">
      <c r="B11" s="167">
        <v>42872</v>
      </c>
      <c r="C11" s="168" t="s">
        <v>187</v>
      </c>
      <c r="D11" s="168" t="s">
        <v>192</v>
      </c>
      <c r="E11" s="168" t="s">
        <v>193</v>
      </c>
      <c r="F11" s="169">
        <v>4000</v>
      </c>
    </row>
    <row r="12" spans="2:8" ht="30" customHeight="1" x14ac:dyDescent="0.45">
      <c r="B12" s="167">
        <v>42875</v>
      </c>
      <c r="C12" s="168" t="s">
        <v>179</v>
      </c>
      <c r="D12" s="161" t="s">
        <v>188</v>
      </c>
      <c r="E12" s="168" t="s">
        <v>193</v>
      </c>
      <c r="F12" s="169">
        <v>4000</v>
      </c>
    </row>
    <row r="13" spans="2:8" ht="30" customHeight="1" x14ac:dyDescent="0.45">
      <c r="B13" s="167">
        <v>42882</v>
      </c>
      <c r="C13" s="168" t="s">
        <v>182</v>
      </c>
      <c r="D13" s="161" t="s">
        <v>188</v>
      </c>
      <c r="E13" s="168" t="s">
        <v>194</v>
      </c>
      <c r="F13" s="169">
        <v>180</v>
      </c>
    </row>
    <row r="14" spans="2:8" ht="30" customHeight="1" x14ac:dyDescent="0.45">
      <c r="B14" s="167">
        <v>42875</v>
      </c>
      <c r="C14" s="168" t="s">
        <v>185</v>
      </c>
      <c r="D14" s="161" t="s">
        <v>180</v>
      </c>
      <c r="E14" s="168" t="s">
        <v>191</v>
      </c>
      <c r="F14" s="169">
        <v>10</v>
      </c>
    </row>
    <row r="15" spans="2:8" ht="30" customHeight="1" x14ac:dyDescent="0.45">
      <c r="B15" s="167">
        <v>42872</v>
      </c>
      <c r="C15" s="168" t="s">
        <v>187</v>
      </c>
      <c r="D15" s="168" t="s">
        <v>192</v>
      </c>
      <c r="E15" s="168" t="s">
        <v>190</v>
      </c>
      <c r="F15" s="169">
        <v>30</v>
      </c>
    </row>
    <row r="16" spans="2:8" ht="30" customHeight="1" x14ac:dyDescent="0.45">
      <c r="B16" s="167">
        <v>43238</v>
      </c>
      <c r="C16" s="167" t="s">
        <v>179</v>
      </c>
      <c r="D16" s="161" t="s">
        <v>183</v>
      </c>
      <c r="E16" s="168" t="s">
        <v>181</v>
      </c>
      <c r="F16" s="162">
        <v>1000</v>
      </c>
    </row>
    <row r="17" spans="2:14" ht="30" customHeight="1" x14ac:dyDescent="0.45">
      <c r="B17" s="167">
        <v>43267</v>
      </c>
      <c r="C17" s="167" t="s">
        <v>182</v>
      </c>
      <c r="D17" s="161" t="s">
        <v>188</v>
      </c>
      <c r="E17" s="168" t="s">
        <v>195</v>
      </c>
      <c r="F17" s="169">
        <v>15</v>
      </c>
    </row>
    <row r="18" spans="2:14" ht="30" customHeight="1" x14ac:dyDescent="0.45">
      <c r="B18" s="167">
        <v>43268</v>
      </c>
      <c r="C18" s="167" t="s">
        <v>185</v>
      </c>
      <c r="D18" s="161" t="s">
        <v>180</v>
      </c>
      <c r="E18" s="168" t="s">
        <v>193</v>
      </c>
      <c r="F18" s="169">
        <v>4000</v>
      </c>
    </row>
    <row r="19" spans="2:14" ht="30" customHeight="1" x14ac:dyDescent="0.45">
      <c r="B19" s="167">
        <v>43271</v>
      </c>
      <c r="C19" s="167" t="s">
        <v>187</v>
      </c>
      <c r="D19" s="161" t="s">
        <v>188</v>
      </c>
      <c r="E19" s="168" t="s">
        <v>195</v>
      </c>
      <c r="F19" s="169">
        <v>15</v>
      </c>
    </row>
    <row r="20" spans="2:14" ht="30" customHeight="1" x14ac:dyDescent="0.45">
      <c r="B20" s="167">
        <v>43270</v>
      </c>
      <c r="C20" s="167" t="s">
        <v>179</v>
      </c>
      <c r="D20" s="161" t="s">
        <v>180</v>
      </c>
      <c r="E20" s="161" t="s">
        <v>184</v>
      </c>
      <c r="F20" s="162">
        <v>100</v>
      </c>
    </row>
    <row r="21" spans="2:14" ht="30" customHeight="1" x14ac:dyDescent="0.45">
      <c r="B21" s="167">
        <v>43286</v>
      </c>
      <c r="C21" s="167" t="s">
        <v>182</v>
      </c>
      <c r="D21" s="168" t="s">
        <v>192</v>
      </c>
      <c r="E21" s="161" t="s">
        <v>189</v>
      </c>
      <c r="F21" s="162">
        <v>100</v>
      </c>
    </row>
    <row r="22" spans="2:14" ht="31.5" x14ac:dyDescent="0.45">
      <c r="B22" s="167">
        <v>43287</v>
      </c>
      <c r="C22" s="167" t="s">
        <v>185</v>
      </c>
      <c r="D22" s="161" t="s">
        <v>180</v>
      </c>
      <c r="E22" s="168" t="s">
        <v>181</v>
      </c>
      <c r="F22" s="169">
        <v>15</v>
      </c>
      <c r="I22" s="170" t="s">
        <v>196</v>
      </c>
      <c r="J22" s="170" t="s">
        <v>197</v>
      </c>
      <c r="K22" s="170"/>
      <c r="L22" s="170"/>
      <c r="M22" s="170"/>
      <c r="N22" s="170"/>
    </row>
    <row r="23" spans="2:14" ht="31.5" x14ac:dyDescent="0.45">
      <c r="B23" s="167">
        <v>43289</v>
      </c>
      <c r="C23" s="167" t="s">
        <v>187</v>
      </c>
      <c r="D23" s="161" t="s">
        <v>188</v>
      </c>
      <c r="E23" s="161" t="s">
        <v>189</v>
      </c>
      <c r="F23" s="162">
        <v>100</v>
      </c>
      <c r="I23" s="170" t="s">
        <v>198</v>
      </c>
      <c r="J23" s="170" t="s">
        <v>180</v>
      </c>
      <c r="K23" s="170" t="s">
        <v>183</v>
      </c>
      <c r="L23" s="170" t="s">
        <v>188</v>
      </c>
      <c r="M23" s="170" t="s">
        <v>192</v>
      </c>
      <c r="N23" s="170" t="s">
        <v>199</v>
      </c>
    </row>
    <row r="24" spans="2:14" ht="31.5" x14ac:dyDescent="0.45">
      <c r="B24" s="167">
        <v>43316</v>
      </c>
      <c r="C24" s="167" t="s">
        <v>179</v>
      </c>
      <c r="D24" s="168" t="s">
        <v>192</v>
      </c>
      <c r="E24" s="168" t="s">
        <v>195</v>
      </c>
      <c r="F24" s="169">
        <v>15</v>
      </c>
      <c r="I24" s="170" t="s">
        <v>200</v>
      </c>
      <c r="J24" s="170">
        <v>1130</v>
      </c>
      <c r="K24" s="170">
        <v>3700</v>
      </c>
      <c r="L24" s="170">
        <v>4310</v>
      </c>
      <c r="M24" s="170">
        <v>4030</v>
      </c>
      <c r="N24" s="170">
        <v>13170</v>
      </c>
    </row>
    <row r="25" spans="2:14" ht="31.5" x14ac:dyDescent="0.45">
      <c r="B25" s="167">
        <v>43318</v>
      </c>
      <c r="C25" s="167" t="s">
        <v>182</v>
      </c>
      <c r="D25" s="161" t="s">
        <v>188</v>
      </c>
      <c r="E25" s="161" t="s">
        <v>189</v>
      </c>
      <c r="F25" s="162">
        <v>100</v>
      </c>
      <c r="I25" s="170" t="s">
        <v>201</v>
      </c>
      <c r="J25" s="170">
        <v>8215</v>
      </c>
      <c r="K25" s="170">
        <v>1100</v>
      </c>
      <c r="L25" s="170">
        <v>230</v>
      </c>
      <c r="M25" s="170">
        <v>115</v>
      </c>
      <c r="N25" s="170">
        <v>9660</v>
      </c>
    </row>
    <row r="26" spans="2:14" ht="31.5" x14ac:dyDescent="0.45">
      <c r="B26" s="167">
        <v>43319</v>
      </c>
      <c r="C26" s="167" t="s">
        <v>185</v>
      </c>
      <c r="D26" s="161" t="s">
        <v>180</v>
      </c>
      <c r="E26" s="168" t="s">
        <v>193</v>
      </c>
      <c r="F26" s="169">
        <v>4000</v>
      </c>
      <c r="I26" s="170" t="s">
        <v>202</v>
      </c>
      <c r="J26" s="170">
        <v>1000</v>
      </c>
      <c r="K26" s="170">
        <v>15</v>
      </c>
      <c r="L26" s="170"/>
      <c r="M26" s="170">
        <v>3500</v>
      </c>
      <c r="N26" s="170">
        <v>4515</v>
      </c>
    </row>
    <row r="27" spans="2:14" ht="31.5" x14ac:dyDescent="0.45">
      <c r="B27" s="167">
        <v>43344</v>
      </c>
      <c r="C27" s="167" t="s">
        <v>187</v>
      </c>
      <c r="D27" s="161" t="s">
        <v>180</v>
      </c>
      <c r="E27" s="161" t="s">
        <v>189</v>
      </c>
      <c r="F27" s="162">
        <v>100</v>
      </c>
      <c r="I27" s="170" t="s">
        <v>199</v>
      </c>
      <c r="J27" s="170">
        <v>10345</v>
      </c>
      <c r="K27" s="170">
        <v>4815</v>
      </c>
      <c r="L27" s="170">
        <v>4540</v>
      </c>
      <c r="M27" s="170">
        <v>7645</v>
      </c>
      <c r="N27" s="170">
        <v>27345</v>
      </c>
    </row>
    <row r="28" spans="2:14" ht="30" customHeight="1" x14ac:dyDescent="0.45">
      <c r="B28" s="167">
        <v>43347</v>
      </c>
      <c r="C28" s="167" t="s">
        <v>179</v>
      </c>
      <c r="D28" s="161" t="s">
        <v>183</v>
      </c>
      <c r="E28" s="161" t="s">
        <v>184</v>
      </c>
      <c r="F28" s="162">
        <v>100</v>
      </c>
      <c r="I28"/>
      <c r="J28"/>
      <c r="K28"/>
      <c r="L28"/>
      <c r="M28"/>
      <c r="N28"/>
    </row>
    <row r="29" spans="2:14" ht="30" customHeight="1" x14ac:dyDescent="0.45">
      <c r="B29" s="167">
        <v>43713</v>
      </c>
      <c r="C29" s="167" t="s">
        <v>182</v>
      </c>
      <c r="D29" s="161" t="s">
        <v>180</v>
      </c>
      <c r="E29" s="168" t="s">
        <v>181</v>
      </c>
      <c r="F29" s="162">
        <v>1000</v>
      </c>
      <c r="I29"/>
      <c r="J29"/>
      <c r="K29"/>
      <c r="L29"/>
      <c r="M29"/>
      <c r="N29"/>
    </row>
    <row r="30" spans="2:14" ht="30" customHeight="1" x14ac:dyDescent="0.45">
      <c r="B30" s="167">
        <v>43716</v>
      </c>
      <c r="C30" s="167" t="s">
        <v>185</v>
      </c>
      <c r="D30" s="171" t="s">
        <v>192</v>
      </c>
      <c r="E30" s="161" t="s">
        <v>186</v>
      </c>
      <c r="F30" s="162">
        <v>3500</v>
      </c>
      <c r="I30"/>
      <c r="J30"/>
      <c r="K30"/>
      <c r="L30"/>
      <c r="M30"/>
      <c r="N30"/>
    </row>
    <row r="31" spans="2:14" ht="28.5" x14ac:dyDescent="0.45">
      <c r="B31" s="167">
        <v>43728</v>
      </c>
      <c r="C31" s="167" t="s">
        <v>187</v>
      </c>
      <c r="D31" s="161" t="s">
        <v>183</v>
      </c>
      <c r="E31" s="168" t="s">
        <v>195</v>
      </c>
      <c r="F31" s="169">
        <v>15</v>
      </c>
      <c r="I31"/>
      <c r="J31"/>
      <c r="K31"/>
    </row>
    <row r="32" spans="2:14" ht="28.5" x14ac:dyDescent="0.45">
      <c r="I32"/>
      <c r="J32"/>
      <c r="K32"/>
    </row>
    <row r="33" spans="9:11" ht="28.5" x14ac:dyDescent="0.45">
      <c r="I33"/>
      <c r="J33"/>
      <c r="K33"/>
    </row>
    <row r="34" spans="9:11" ht="28.5" x14ac:dyDescent="0.45">
      <c r="I34"/>
      <c r="J34"/>
      <c r="K34"/>
    </row>
    <row r="35" spans="9:11" ht="28.5" x14ac:dyDescent="0.45">
      <c r="I35"/>
      <c r="J35"/>
      <c r="K35"/>
    </row>
    <row r="36" spans="9:11" ht="28.5" x14ac:dyDescent="0.45">
      <c r="I36"/>
      <c r="J36"/>
      <c r="K36"/>
    </row>
    <row r="37" spans="9:11" ht="28.5" x14ac:dyDescent="0.45">
      <c r="I37"/>
      <c r="J37"/>
      <c r="K37"/>
    </row>
    <row r="38" spans="9:11" ht="28.5" x14ac:dyDescent="0.45">
      <c r="I38"/>
      <c r="J38"/>
      <c r="K38"/>
    </row>
    <row r="39" spans="9:11" ht="28.5" x14ac:dyDescent="0.45">
      <c r="I39"/>
      <c r="J39"/>
      <c r="K39"/>
    </row>
    <row r="40" spans="9:11" ht="28.5" x14ac:dyDescent="0.45">
      <c r="I40"/>
      <c r="J40"/>
    </row>
    <row r="41" spans="9:11" ht="28.5" x14ac:dyDescent="0.45">
      <c r="I41"/>
      <c r="J41"/>
    </row>
    <row r="42" spans="9:11" ht="28.5" x14ac:dyDescent="0.45">
      <c r="I42"/>
      <c r="J42"/>
    </row>
    <row r="43" spans="9:11" ht="28.5" x14ac:dyDescent="0.45">
      <c r="I43"/>
      <c r="J43"/>
    </row>
    <row r="44" spans="9:11" ht="28.5" x14ac:dyDescent="0.45">
      <c r="I44"/>
      <c r="J44"/>
    </row>
    <row r="45" spans="9:11" ht="28.5" x14ac:dyDescent="0.45">
      <c r="I45"/>
      <c r="J45"/>
    </row>
    <row r="46" spans="9:11" ht="28.5" x14ac:dyDescent="0.45">
      <c r="I46"/>
      <c r="J46"/>
    </row>
    <row r="47" spans="9:11" ht="28.5" x14ac:dyDescent="0.45">
      <c r="I47"/>
      <c r="J47"/>
    </row>
    <row r="48" spans="9:11" ht="28.5" x14ac:dyDescent="0.45">
      <c r="I48"/>
      <c r="J48"/>
    </row>
    <row r="49" spans="9:10" ht="28.5" x14ac:dyDescent="0.45">
      <c r="I49"/>
      <c r="J49"/>
    </row>
    <row r="50" spans="9:10" ht="28.5" x14ac:dyDescent="0.45">
      <c r="I50"/>
      <c r="J50"/>
    </row>
    <row r="51" spans="9:10" ht="28.5" x14ac:dyDescent="0.45">
      <c r="I51"/>
      <c r="J51"/>
    </row>
    <row r="52" spans="9:10" ht="28.5" x14ac:dyDescent="0.45">
      <c r="I52"/>
      <c r="J52"/>
    </row>
    <row r="53" spans="9:10" ht="28.5" x14ac:dyDescent="0.45">
      <c r="I53"/>
      <c r="J53"/>
    </row>
    <row r="54" spans="9:10" ht="28.5" x14ac:dyDescent="0.45">
      <c r="I54"/>
      <c r="J54"/>
    </row>
    <row r="55" spans="9:10" ht="28.5" x14ac:dyDescent="0.45">
      <c r="I55"/>
      <c r="J55"/>
    </row>
    <row r="56" spans="9:10" ht="28.5" x14ac:dyDescent="0.45">
      <c r="I56"/>
      <c r="J56"/>
    </row>
    <row r="57" spans="9:10" ht="28.5" x14ac:dyDescent="0.45">
      <c r="I57"/>
      <c r="J57"/>
    </row>
    <row r="58" spans="9:10" ht="28.5" x14ac:dyDescent="0.45">
      <c r="I58"/>
      <c r="J58"/>
    </row>
    <row r="59" spans="9:10" ht="28.5" x14ac:dyDescent="0.45">
      <c r="I59"/>
      <c r="J59"/>
    </row>
    <row r="60" spans="9:10" ht="28.5" x14ac:dyDescent="0.45">
      <c r="I60"/>
      <c r="J60"/>
    </row>
    <row r="61" spans="9:10" ht="28.5" x14ac:dyDescent="0.45">
      <c r="I61"/>
      <c r="J61"/>
    </row>
    <row r="62" spans="9:10" ht="28.5" x14ac:dyDescent="0.45">
      <c r="I62"/>
      <c r="J62"/>
    </row>
    <row r="63" spans="9:10" ht="28.5" x14ac:dyDescent="0.45">
      <c r="I63"/>
      <c r="J63"/>
    </row>
    <row r="64" spans="9:10" ht="28.5" x14ac:dyDescent="0.45">
      <c r="I64"/>
      <c r="J64"/>
    </row>
    <row r="65" spans="9:10" ht="28.5" x14ac:dyDescent="0.45">
      <c r="I65"/>
      <c r="J65"/>
    </row>
    <row r="66" spans="9:10" ht="28.5" x14ac:dyDescent="0.45">
      <c r="I66"/>
      <c r="J66"/>
    </row>
    <row r="67" spans="9:10" ht="28.5" x14ac:dyDescent="0.45">
      <c r="I67"/>
      <c r="J67"/>
    </row>
    <row r="68" spans="9:10" ht="28.5" x14ac:dyDescent="0.45">
      <c r="I68"/>
      <c r="J68"/>
    </row>
    <row r="69" spans="9:10" ht="28.5" x14ac:dyDescent="0.45">
      <c r="I69"/>
      <c r="J69"/>
    </row>
    <row r="70" spans="9:10" ht="28.5" x14ac:dyDescent="0.45">
      <c r="I70"/>
      <c r="J70"/>
    </row>
    <row r="71" spans="9:10" ht="28.5" x14ac:dyDescent="0.45">
      <c r="I71"/>
      <c r="J71"/>
    </row>
    <row r="72" spans="9:10" ht="28.5" x14ac:dyDescent="0.45">
      <c r="I72"/>
      <c r="J72"/>
    </row>
    <row r="73" spans="9:10" ht="28.5" x14ac:dyDescent="0.45">
      <c r="I73"/>
      <c r="J73"/>
    </row>
    <row r="74" spans="9:10" ht="28.5" x14ac:dyDescent="0.45">
      <c r="I74"/>
      <c r="J74"/>
    </row>
    <row r="75" spans="9:10" ht="28.5" x14ac:dyDescent="0.45">
      <c r="I75"/>
      <c r="J75"/>
    </row>
    <row r="76" spans="9:10" ht="28.5" x14ac:dyDescent="0.45">
      <c r="I76"/>
      <c r="J76"/>
    </row>
    <row r="77" spans="9:10" ht="28.5" x14ac:dyDescent="0.45">
      <c r="I77"/>
      <c r="J77"/>
    </row>
    <row r="78" spans="9:10" ht="28.5" x14ac:dyDescent="0.45">
      <c r="I78"/>
      <c r="J78"/>
    </row>
    <row r="79" spans="9:10" ht="28.5" x14ac:dyDescent="0.45">
      <c r="I79"/>
      <c r="J79"/>
    </row>
    <row r="80" spans="9:10" ht="28.5" x14ac:dyDescent="0.45">
      <c r="I80"/>
      <c r="J80"/>
    </row>
    <row r="81" spans="9:10" ht="28.5" x14ac:dyDescent="0.45">
      <c r="I81"/>
      <c r="J81"/>
    </row>
    <row r="82" spans="9:10" ht="28.5" x14ac:dyDescent="0.45">
      <c r="I82"/>
      <c r="J82"/>
    </row>
    <row r="83" spans="9:10" ht="28.5" x14ac:dyDescent="0.45">
      <c r="I83"/>
      <c r="J83"/>
    </row>
    <row r="84" spans="9:10" ht="28.5" x14ac:dyDescent="0.45">
      <c r="I84"/>
      <c r="J84"/>
    </row>
    <row r="85" spans="9:10" ht="28.5" x14ac:dyDescent="0.45">
      <c r="I85"/>
      <c r="J85"/>
    </row>
    <row r="86" spans="9:10" ht="28.5" x14ac:dyDescent="0.45">
      <c r="I86"/>
      <c r="J86"/>
    </row>
    <row r="87" spans="9:10" ht="28.5" x14ac:dyDescent="0.45">
      <c r="I87"/>
      <c r="J87"/>
    </row>
    <row r="88" spans="9:10" ht="28.5" x14ac:dyDescent="0.45">
      <c r="I88"/>
      <c r="J88"/>
    </row>
    <row r="89" spans="9:10" ht="28.5" x14ac:dyDescent="0.45">
      <c r="I89"/>
      <c r="J89"/>
    </row>
    <row r="90" spans="9:10" ht="28.5" x14ac:dyDescent="0.45">
      <c r="I90"/>
      <c r="J90"/>
    </row>
    <row r="91" spans="9:10" ht="28.5" x14ac:dyDescent="0.45">
      <c r="I91"/>
      <c r="J91"/>
    </row>
    <row r="92" spans="9:10" ht="28.5" x14ac:dyDescent="0.45">
      <c r="I92"/>
      <c r="J92"/>
    </row>
    <row r="93" spans="9:10" ht="28.5" x14ac:dyDescent="0.45">
      <c r="I93"/>
      <c r="J93"/>
    </row>
    <row r="94" spans="9:10" ht="28.5" x14ac:dyDescent="0.45">
      <c r="I94"/>
      <c r="J94"/>
    </row>
    <row r="95" spans="9:10" ht="28.5" x14ac:dyDescent="0.45">
      <c r="I95"/>
      <c r="J95"/>
    </row>
    <row r="96" spans="9:10" ht="28.5" x14ac:dyDescent="0.45">
      <c r="I96"/>
      <c r="J96"/>
    </row>
    <row r="97" spans="9:10" ht="28.5" x14ac:dyDescent="0.45">
      <c r="I97"/>
      <c r="J97"/>
    </row>
    <row r="98" spans="9:10" ht="28.5" x14ac:dyDescent="0.45">
      <c r="I98"/>
      <c r="J98"/>
    </row>
    <row r="99" spans="9:10" ht="28.5" x14ac:dyDescent="0.45">
      <c r="I99"/>
      <c r="J99"/>
    </row>
    <row r="100" spans="9:10" ht="28.5" x14ac:dyDescent="0.45">
      <c r="I100"/>
      <c r="J100"/>
    </row>
    <row r="101" spans="9:10" ht="28.5" x14ac:dyDescent="0.45">
      <c r="I101"/>
      <c r="J101"/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8BB8-BB69-48B9-BC12-1C6F5E72B5E5}">
  <dimension ref="B2:N31"/>
  <sheetViews>
    <sheetView topLeftCell="G15" zoomScaleNormal="100" workbookViewId="0">
      <selection activeCell="J31" sqref="J31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9" width="17.5703125" bestFit="1" customWidth="1"/>
    <col min="10" max="10" width="22.42578125" bestFit="1" customWidth="1"/>
    <col min="11" max="11" width="14.7109375" bestFit="1" customWidth="1"/>
    <col min="12" max="12" width="10.85546875" bestFit="1" customWidth="1"/>
    <col min="13" max="13" width="13.7109375" bestFit="1" customWidth="1"/>
    <col min="14" max="14" width="12.5703125" bestFit="1" customWidth="1"/>
    <col min="15" max="15" width="16.5703125" bestFit="1" customWidth="1"/>
    <col min="16" max="16" width="10" bestFit="1" customWidth="1"/>
    <col min="17" max="17" width="10.5703125" bestFit="1" customWidth="1"/>
    <col min="18" max="18" width="7.85546875" bestFit="1" customWidth="1"/>
    <col min="19" max="19" width="9.140625" bestFit="1" customWidth="1"/>
    <col min="20" max="20" width="19.7109375" bestFit="1" customWidth="1"/>
    <col min="21" max="21" width="12.7109375" bestFit="1" customWidth="1"/>
    <col min="22" max="22" width="10" bestFit="1" customWidth="1"/>
    <col min="23" max="24" width="10.5703125" bestFit="1" customWidth="1"/>
    <col min="25" max="25" width="7.85546875" bestFit="1" customWidth="1"/>
    <col min="26" max="26" width="9.140625" bestFit="1" customWidth="1"/>
    <col min="27" max="27" width="15.7109375" bestFit="1" customWidth="1"/>
    <col min="28" max="28" width="15.5703125" bestFit="1" customWidth="1"/>
    <col min="29" max="30" width="10" bestFit="1" customWidth="1"/>
    <col min="31" max="31" width="7.42578125" bestFit="1" customWidth="1"/>
    <col min="32" max="32" width="18.7109375" bestFit="1" customWidth="1"/>
    <col min="33" max="33" width="12.5703125" bestFit="1" customWidth="1"/>
  </cols>
  <sheetData>
    <row r="2" spans="2:7" ht="37.5" customHeight="1" x14ac:dyDescent="0.25">
      <c r="B2" s="143" t="s">
        <v>64</v>
      </c>
      <c r="C2" s="143" t="s">
        <v>176</v>
      </c>
      <c r="D2" s="143" t="s">
        <v>177</v>
      </c>
      <c r="E2" s="143" t="s">
        <v>178</v>
      </c>
      <c r="F2" s="143" t="s">
        <v>69</v>
      </c>
      <c r="G2" s="1"/>
    </row>
    <row r="3" spans="2:7" ht="18" customHeight="1" x14ac:dyDescent="0.25">
      <c r="B3" s="144">
        <v>42811</v>
      </c>
      <c r="C3" s="145" t="s">
        <v>179</v>
      </c>
      <c r="D3" s="145" t="s">
        <v>180</v>
      </c>
      <c r="E3" s="145" t="s">
        <v>181</v>
      </c>
      <c r="F3" s="146">
        <v>1000</v>
      </c>
    </row>
    <row r="4" spans="2:7" ht="18" customHeight="1" x14ac:dyDescent="0.25">
      <c r="B4" s="144">
        <v>42814</v>
      </c>
      <c r="C4" s="145" t="s">
        <v>182</v>
      </c>
      <c r="D4" s="145" t="s">
        <v>183</v>
      </c>
      <c r="E4" s="145" t="s">
        <v>184</v>
      </c>
      <c r="F4" s="146">
        <v>200</v>
      </c>
    </row>
    <row r="5" spans="2:7" ht="18" customHeight="1" x14ac:dyDescent="0.25">
      <c r="B5" s="144">
        <v>42816</v>
      </c>
      <c r="C5" s="145" t="s">
        <v>185</v>
      </c>
      <c r="D5" s="145" t="s">
        <v>183</v>
      </c>
      <c r="E5" s="145" t="s">
        <v>186</v>
      </c>
      <c r="F5" s="146">
        <v>3500</v>
      </c>
    </row>
    <row r="6" spans="2:7" ht="18" customHeight="1" x14ac:dyDescent="0.25">
      <c r="B6" s="144">
        <v>42845</v>
      </c>
      <c r="C6" s="145" t="s">
        <v>187</v>
      </c>
      <c r="D6" s="145" t="s">
        <v>188</v>
      </c>
      <c r="E6" s="145" t="s">
        <v>184</v>
      </c>
      <c r="F6" s="146">
        <v>100</v>
      </c>
    </row>
    <row r="7" spans="2:7" x14ac:dyDescent="0.25">
      <c r="B7" s="144">
        <v>42842</v>
      </c>
      <c r="C7" s="145" t="s">
        <v>179</v>
      </c>
      <c r="D7" s="145" t="s">
        <v>180</v>
      </c>
      <c r="E7" s="145" t="s">
        <v>189</v>
      </c>
      <c r="F7" s="146">
        <v>100</v>
      </c>
    </row>
    <row r="8" spans="2:7" ht="18" customHeight="1" x14ac:dyDescent="0.25">
      <c r="B8" s="144">
        <v>42877</v>
      </c>
      <c r="C8" s="145" t="s">
        <v>182</v>
      </c>
      <c r="D8" s="145" t="s">
        <v>188</v>
      </c>
      <c r="E8" s="145" t="s">
        <v>190</v>
      </c>
      <c r="F8" s="146">
        <v>20</v>
      </c>
    </row>
    <row r="9" spans="2:7" ht="18" customHeight="1" x14ac:dyDescent="0.25">
      <c r="B9" s="144">
        <v>42877</v>
      </c>
      <c r="C9" s="145" t="s">
        <v>185</v>
      </c>
      <c r="D9" s="145" t="s">
        <v>188</v>
      </c>
      <c r="E9" s="145" t="s">
        <v>191</v>
      </c>
      <c r="F9" s="146">
        <v>10</v>
      </c>
    </row>
    <row r="10" spans="2:7" ht="18" customHeight="1" x14ac:dyDescent="0.25">
      <c r="B10" s="148">
        <v>42879</v>
      </c>
      <c r="C10" s="149" t="s">
        <v>187</v>
      </c>
      <c r="D10" s="145" t="s">
        <v>180</v>
      </c>
      <c r="E10" s="149" t="s">
        <v>190</v>
      </c>
      <c r="F10" s="150">
        <v>20</v>
      </c>
    </row>
    <row r="11" spans="2:7" ht="18" customHeight="1" x14ac:dyDescent="0.25">
      <c r="B11" s="151">
        <v>42872</v>
      </c>
      <c r="C11" s="152" t="s">
        <v>187</v>
      </c>
      <c r="D11" s="152" t="s">
        <v>192</v>
      </c>
      <c r="E11" s="152" t="s">
        <v>193</v>
      </c>
      <c r="F11" s="153">
        <v>4000</v>
      </c>
    </row>
    <row r="12" spans="2:7" ht="18" customHeight="1" x14ac:dyDescent="0.25">
      <c r="B12" s="151">
        <v>42875</v>
      </c>
      <c r="C12" s="152" t="s">
        <v>179</v>
      </c>
      <c r="D12" s="145" t="s">
        <v>188</v>
      </c>
      <c r="E12" s="152" t="s">
        <v>193</v>
      </c>
      <c r="F12" s="153">
        <v>4000</v>
      </c>
    </row>
    <row r="13" spans="2:7" ht="18" customHeight="1" x14ac:dyDescent="0.25">
      <c r="B13" s="151">
        <v>42882</v>
      </c>
      <c r="C13" s="152" t="s">
        <v>182</v>
      </c>
      <c r="D13" s="145" t="s">
        <v>188</v>
      </c>
      <c r="E13" s="152" t="s">
        <v>194</v>
      </c>
      <c r="F13" s="153">
        <v>180</v>
      </c>
    </row>
    <row r="14" spans="2:7" ht="18" customHeight="1" x14ac:dyDescent="0.25">
      <c r="B14" s="151">
        <v>42875</v>
      </c>
      <c r="C14" s="152" t="s">
        <v>185</v>
      </c>
      <c r="D14" s="145" t="s">
        <v>180</v>
      </c>
      <c r="E14" s="152" t="s">
        <v>191</v>
      </c>
      <c r="F14" s="153">
        <v>10</v>
      </c>
    </row>
    <row r="15" spans="2:7" ht="18" customHeight="1" x14ac:dyDescent="0.25">
      <c r="B15" s="151">
        <v>42872</v>
      </c>
      <c r="C15" s="152" t="s">
        <v>187</v>
      </c>
      <c r="D15" s="152" t="s">
        <v>192</v>
      </c>
      <c r="E15" s="152" t="s">
        <v>190</v>
      </c>
      <c r="F15" s="153">
        <v>30</v>
      </c>
    </row>
    <row r="16" spans="2:7" ht="18" customHeight="1" x14ac:dyDescent="0.25">
      <c r="B16" s="151">
        <v>43238</v>
      </c>
      <c r="C16" s="151" t="s">
        <v>179</v>
      </c>
      <c r="D16" s="145" t="s">
        <v>183</v>
      </c>
      <c r="E16" s="154" t="s">
        <v>181</v>
      </c>
      <c r="F16" s="146">
        <v>1000</v>
      </c>
    </row>
    <row r="17" spans="2:14" ht="18" customHeight="1" x14ac:dyDescent="0.25">
      <c r="B17" s="151">
        <v>43267</v>
      </c>
      <c r="C17" s="151" t="s">
        <v>182</v>
      </c>
      <c r="D17" s="145" t="s">
        <v>188</v>
      </c>
      <c r="E17" s="154" t="s">
        <v>195</v>
      </c>
      <c r="F17" s="155">
        <v>15</v>
      </c>
    </row>
    <row r="18" spans="2:14" ht="18" customHeight="1" x14ac:dyDescent="0.25">
      <c r="B18" s="151">
        <v>43268</v>
      </c>
      <c r="C18" s="151" t="s">
        <v>185</v>
      </c>
      <c r="D18" s="145" t="s">
        <v>180</v>
      </c>
      <c r="E18" s="152" t="s">
        <v>193</v>
      </c>
      <c r="F18" s="153">
        <v>4000</v>
      </c>
    </row>
    <row r="19" spans="2:14" ht="18" customHeight="1" x14ac:dyDescent="0.25">
      <c r="B19" s="151">
        <v>43271</v>
      </c>
      <c r="C19" s="151" t="s">
        <v>187</v>
      </c>
      <c r="D19" s="145" t="s">
        <v>188</v>
      </c>
      <c r="E19" s="154" t="s">
        <v>195</v>
      </c>
      <c r="F19" s="155">
        <v>15</v>
      </c>
    </row>
    <row r="20" spans="2:14" ht="18" customHeight="1" x14ac:dyDescent="0.25">
      <c r="B20" s="151">
        <v>43270</v>
      </c>
      <c r="C20" s="151" t="s">
        <v>179</v>
      </c>
      <c r="D20" s="145" t="s">
        <v>180</v>
      </c>
      <c r="E20" s="145" t="s">
        <v>184</v>
      </c>
      <c r="F20" s="146">
        <v>100</v>
      </c>
    </row>
    <row r="21" spans="2:14" ht="18" customHeight="1" x14ac:dyDescent="0.25">
      <c r="B21" s="151">
        <v>43286</v>
      </c>
      <c r="C21" s="151" t="s">
        <v>182</v>
      </c>
      <c r="D21" s="152" t="s">
        <v>192</v>
      </c>
      <c r="E21" s="145" t="s">
        <v>189</v>
      </c>
      <c r="F21" s="146">
        <v>100</v>
      </c>
    </row>
    <row r="22" spans="2:14" ht="18" customHeight="1" x14ac:dyDescent="0.25">
      <c r="B22" s="151">
        <v>43287</v>
      </c>
      <c r="C22" s="151" t="s">
        <v>185</v>
      </c>
      <c r="D22" s="145" t="s">
        <v>180</v>
      </c>
      <c r="E22" s="154" t="s">
        <v>181</v>
      </c>
      <c r="F22" s="155">
        <v>15</v>
      </c>
    </row>
    <row r="23" spans="2:14" ht="18" customHeight="1" x14ac:dyDescent="0.25">
      <c r="B23" s="151">
        <v>43289</v>
      </c>
      <c r="C23" s="151" t="s">
        <v>187</v>
      </c>
      <c r="D23" s="145" t="s">
        <v>188</v>
      </c>
      <c r="E23" s="145" t="s">
        <v>189</v>
      </c>
      <c r="F23" s="146">
        <v>100</v>
      </c>
      <c r="I23" t="s">
        <v>177</v>
      </c>
      <c r="J23" t="s">
        <v>180</v>
      </c>
    </row>
    <row r="24" spans="2:14" ht="18" customHeight="1" x14ac:dyDescent="0.25">
      <c r="B24" s="151">
        <v>43316</v>
      </c>
      <c r="C24" s="151" t="s">
        <v>179</v>
      </c>
      <c r="D24" s="152" t="s">
        <v>192</v>
      </c>
      <c r="E24" s="154" t="s">
        <v>195</v>
      </c>
      <c r="F24" s="155">
        <v>15</v>
      </c>
    </row>
    <row r="25" spans="2:14" ht="18" customHeight="1" x14ac:dyDescent="0.25">
      <c r="B25" s="151">
        <v>43318</v>
      </c>
      <c r="C25" s="151" t="s">
        <v>182</v>
      </c>
      <c r="D25" s="145" t="s">
        <v>188</v>
      </c>
      <c r="E25" s="145" t="s">
        <v>189</v>
      </c>
      <c r="F25" s="146">
        <v>100</v>
      </c>
      <c r="I25" t="s">
        <v>203</v>
      </c>
      <c r="J25" t="s">
        <v>197</v>
      </c>
    </row>
    <row r="26" spans="2:14" ht="18" customHeight="1" x14ac:dyDescent="0.25">
      <c r="B26" s="151">
        <v>43319</v>
      </c>
      <c r="C26" s="151" t="s">
        <v>185</v>
      </c>
      <c r="D26" s="145" t="s">
        <v>180</v>
      </c>
      <c r="E26" s="152" t="s">
        <v>193</v>
      </c>
      <c r="F26" s="153">
        <v>4000</v>
      </c>
      <c r="I26" t="s">
        <v>198</v>
      </c>
      <c r="J26" t="s">
        <v>179</v>
      </c>
      <c r="K26" t="s">
        <v>187</v>
      </c>
      <c r="L26" t="s">
        <v>182</v>
      </c>
      <c r="M26" t="s">
        <v>185</v>
      </c>
      <c r="N26" t="s">
        <v>199</v>
      </c>
    </row>
    <row r="27" spans="2:14" ht="18" customHeight="1" x14ac:dyDescent="0.25">
      <c r="B27" s="151">
        <v>43344</v>
      </c>
      <c r="C27" s="151" t="s">
        <v>187</v>
      </c>
      <c r="D27" s="145" t="s">
        <v>180</v>
      </c>
      <c r="E27" s="145" t="s">
        <v>189</v>
      </c>
      <c r="F27" s="146">
        <v>100</v>
      </c>
      <c r="I27" s="172" t="s">
        <v>200</v>
      </c>
      <c r="J27">
        <v>1000</v>
      </c>
      <c r="K27">
        <v>20</v>
      </c>
      <c r="M27">
        <v>10</v>
      </c>
      <c r="N27">
        <v>1000</v>
      </c>
    </row>
    <row r="28" spans="2:14" ht="18" customHeight="1" x14ac:dyDescent="0.25">
      <c r="B28" s="151">
        <v>43347</v>
      </c>
      <c r="C28" s="151" t="s">
        <v>179</v>
      </c>
      <c r="D28" s="145" t="s">
        <v>183</v>
      </c>
      <c r="E28" s="145" t="s">
        <v>184</v>
      </c>
      <c r="F28" s="146">
        <v>100</v>
      </c>
      <c r="I28" s="172" t="s">
        <v>201</v>
      </c>
      <c r="J28">
        <v>100</v>
      </c>
      <c r="K28">
        <v>100</v>
      </c>
      <c r="M28">
        <v>4000</v>
      </c>
      <c r="N28">
        <v>4000</v>
      </c>
    </row>
    <row r="29" spans="2:14" ht="18" customHeight="1" x14ac:dyDescent="0.25">
      <c r="B29" s="151">
        <v>43713</v>
      </c>
      <c r="C29" s="151" t="s">
        <v>182</v>
      </c>
      <c r="D29" s="145" t="s">
        <v>180</v>
      </c>
      <c r="E29" s="154" t="s">
        <v>181</v>
      </c>
      <c r="F29" s="146">
        <v>1000</v>
      </c>
      <c r="I29" s="172" t="s">
        <v>202</v>
      </c>
      <c r="L29">
        <v>1000</v>
      </c>
      <c r="N29">
        <v>1000</v>
      </c>
    </row>
    <row r="30" spans="2:14" ht="18" customHeight="1" x14ac:dyDescent="0.25">
      <c r="B30" s="151">
        <v>43716</v>
      </c>
      <c r="C30" s="151" t="s">
        <v>185</v>
      </c>
      <c r="D30" s="157" t="s">
        <v>192</v>
      </c>
      <c r="E30" s="145" t="s">
        <v>186</v>
      </c>
      <c r="F30" s="146">
        <v>3500</v>
      </c>
      <c r="I30" s="172" t="s">
        <v>199</v>
      </c>
      <c r="J30">
        <v>1000</v>
      </c>
      <c r="K30">
        <v>100</v>
      </c>
      <c r="L30">
        <v>1000</v>
      </c>
      <c r="M30">
        <v>4000</v>
      </c>
      <c r="N30">
        <v>4000</v>
      </c>
    </row>
    <row r="31" spans="2:14" ht="18" customHeight="1" x14ac:dyDescent="0.25">
      <c r="B31" s="151">
        <v>43728</v>
      </c>
      <c r="C31" s="151" t="s">
        <v>187</v>
      </c>
      <c r="D31" s="145" t="s">
        <v>183</v>
      </c>
      <c r="E31" s="154" t="s">
        <v>195</v>
      </c>
      <c r="F31" s="155">
        <v>15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C469-D6F3-4F75-B7F8-A0AE238A40CA}">
  <dimension ref="B2:N33"/>
  <sheetViews>
    <sheetView topLeftCell="D20" zoomScale="70" zoomScaleNormal="70" workbookViewId="0">
      <selection activeCell="J31" sqref="J31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8" width="17.5703125" bestFit="1" customWidth="1"/>
    <col min="9" max="9" width="23.42578125" bestFit="1" customWidth="1"/>
    <col min="10" max="10" width="29.7109375" bestFit="1" customWidth="1"/>
    <col min="11" max="13" width="11.7109375" bestFit="1" customWidth="1"/>
    <col min="14" max="14" width="16.7109375" bestFit="1" customWidth="1"/>
    <col min="15" max="15" width="16.5703125" bestFit="1" customWidth="1"/>
    <col min="16" max="16" width="10" bestFit="1" customWidth="1"/>
    <col min="17" max="17" width="10.5703125" bestFit="1" customWidth="1"/>
    <col min="18" max="18" width="7.85546875" bestFit="1" customWidth="1"/>
    <col min="19" max="19" width="9.140625" bestFit="1" customWidth="1"/>
    <col min="20" max="20" width="19.7109375" bestFit="1" customWidth="1"/>
    <col min="21" max="21" width="12.7109375" bestFit="1" customWidth="1"/>
    <col min="22" max="22" width="10" bestFit="1" customWidth="1"/>
    <col min="23" max="24" width="10.5703125" bestFit="1" customWidth="1"/>
    <col min="25" max="25" width="7.85546875" bestFit="1" customWidth="1"/>
    <col min="26" max="26" width="9.140625" bestFit="1" customWidth="1"/>
    <col min="27" max="27" width="15.7109375" bestFit="1" customWidth="1"/>
    <col min="28" max="28" width="15.5703125" bestFit="1" customWidth="1"/>
    <col min="29" max="30" width="10" bestFit="1" customWidth="1"/>
    <col min="31" max="31" width="7.42578125" bestFit="1" customWidth="1"/>
    <col min="32" max="32" width="18.7109375" bestFit="1" customWidth="1"/>
    <col min="33" max="33" width="12.5703125" bestFit="1" customWidth="1"/>
  </cols>
  <sheetData>
    <row r="2" spans="2:7" ht="37.5" customHeight="1" x14ac:dyDescent="0.25">
      <c r="B2" s="143" t="s">
        <v>64</v>
      </c>
      <c r="C2" s="143" t="s">
        <v>176</v>
      </c>
      <c r="D2" s="143" t="s">
        <v>177</v>
      </c>
      <c r="E2" s="143" t="s">
        <v>178</v>
      </c>
      <c r="F2" s="143" t="s">
        <v>69</v>
      </c>
      <c r="G2" s="1"/>
    </row>
    <row r="3" spans="2:7" ht="18" customHeight="1" x14ac:dyDescent="0.25">
      <c r="B3" s="144">
        <v>42811</v>
      </c>
      <c r="C3" s="145" t="s">
        <v>179</v>
      </c>
      <c r="D3" s="145" t="s">
        <v>180</v>
      </c>
      <c r="E3" s="145" t="s">
        <v>181</v>
      </c>
      <c r="F3" s="146">
        <v>1000</v>
      </c>
    </row>
    <row r="4" spans="2:7" ht="18" customHeight="1" x14ac:dyDescent="0.25">
      <c r="B4" s="144">
        <v>42814</v>
      </c>
      <c r="C4" s="145" t="s">
        <v>182</v>
      </c>
      <c r="D4" s="145" t="s">
        <v>183</v>
      </c>
      <c r="E4" s="145" t="s">
        <v>184</v>
      </c>
      <c r="F4" s="146">
        <v>200</v>
      </c>
    </row>
    <row r="5" spans="2:7" ht="18" customHeight="1" x14ac:dyDescent="0.25">
      <c r="B5" s="144">
        <v>42816</v>
      </c>
      <c r="C5" s="145" t="s">
        <v>185</v>
      </c>
      <c r="D5" s="145" t="s">
        <v>183</v>
      </c>
      <c r="E5" s="145" t="s">
        <v>186</v>
      </c>
      <c r="F5" s="146">
        <v>3500</v>
      </c>
    </row>
    <row r="6" spans="2:7" ht="18" customHeight="1" x14ac:dyDescent="0.25">
      <c r="B6" s="144">
        <v>42845</v>
      </c>
      <c r="C6" s="145" t="s">
        <v>187</v>
      </c>
      <c r="D6" s="145" t="s">
        <v>188</v>
      </c>
      <c r="E6" s="145" t="s">
        <v>184</v>
      </c>
      <c r="F6" s="146">
        <v>100</v>
      </c>
    </row>
    <row r="7" spans="2:7" x14ac:dyDescent="0.25">
      <c r="B7" s="144">
        <v>42842</v>
      </c>
      <c r="C7" s="145" t="s">
        <v>179</v>
      </c>
      <c r="D7" s="145" t="s">
        <v>180</v>
      </c>
      <c r="E7" s="145" t="s">
        <v>189</v>
      </c>
      <c r="F7" s="146">
        <v>100</v>
      </c>
    </row>
    <row r="8" spans="2:7" ht="18" customHeight="1" x14ac:dyDescent="0.25">
      <c r="B8" s="144">
        <v>42877</v>
      </c>
      <c r="C8" s="145" t="s">
        <v>182</v>
      </c>
      <c r="D8" s="145" t="s">
        <v>188</v>
      </c>
      <c r="E8" s="145" t="s">
        <v>190</v>
      </c>
      <c r="F8" s="146">
        <v>20</v>
      </c>
    </row>
    <row r="9" spans="2:7" ht="18" customHeight="1" x14ac:dyDescent="0.25">
      <c r="B9" s="144">
        <v>42877</v>
      </c>
      <c r="C9" s="145" t="s">
        <v>185</v>
      </c>
      <c r="D9" s="145" t="s">
        <v>188</v>
      </c>
      <c r="E9" s="145" t="s">
        <v>191</v>
      </c>
      <c r="F9" s="146">
        <v>10</v>
      </c>
    </row>
    <row r="10" spans="2:7" ht="18" customHeight="1" x14ac:dyDescent="0.25">
      <c r="B10" s="148">
        <v>42879</v>
      </c>
      <c r="C10" s="149" t="s">
        <v>187</v>
      </c>
      <c r="D10" s="145" t="s">
        <v>180</v>
      </c>
      <c r="E10" s="149" t="s">
        <v>190</v>
      </c>
      <c r="F10" s="150">
        <v>20</v>
      </c>
    </row>
    <row r="11" spans="2:7" ht="18" customHeight="1" x14ac:dyDescent="0.25">
      <c r="B11" s="151">
        <v>42872</v>
      </c>
      <c r="C11" s="152" t="s">
        <v>187</v>
      </c>
      <c r="D11" s="152" t="s">
        <v>192</v>
      </c>
      <c r="E11" s="152" t="s">
        <v>193</v>
      </c>
      <c r="F11" s="153">
        <v>4000</v>
      </c>
    </row>
    <row r="12" spans="2:7" ht="18" customHeight="1" x14ac:dyDescent="0.25">
      <c r="B12" s="151">
        <v>42875</v>
      </c>
      <c r="C12" s="152" t="s">
        <v>179</v>
      </c>
      <c r="D12" s="145" t="s">
        <v>188</v>
      </c>
      <c r="E12" s="152" t="s">
        <v>193</v>
      </c>
      <c r="F12" s="153">
        <v>4000</v>
      </c>
    </row>
    <row r="13" spans="2:7" ht="18" customHeight="1" x14ac:dyDescent="0.25">
      <c r="B13" s="151">
        <v>42882</v>
      </c>
      <c r="C13" s="152" t="s">
        <v>182</v>
      </c>
      <c r="D13" s="145" t="s">
        <v>188</v>
      </c>
      <c r="E13" s="152" t="s">
        <v>194</v>
      </c>
      <c r="F13" s="153">
        <v>180</v>
      </c>
    </row>
    <row r="14" spans="2:7" ht="18" customHeight="1" x14ac:dyDescent="0.25">
      <c r="B14" s="151">
        <v>42875</v>
      </c>
      <c r="C14" s="152" t="s">
        <v>185</v>
      </c>
      <c r="D14" s="145" t="s">
        <v>180</v>
      </c>
      <c r="E14" s="152" t="s">
        <v>191</v>
      </c>
      <c r="F14" s="153">
        <v>10</v>
      </c>
    </row>
    <row r="15" spans="2:7" ht="18" customHeight="1" x14ac:dyDescent="0.25">
      <c r="B15" s="151">
        <v>42872</v>
      </c>
      <c r="C15" s="152" t="s">
        <v>187</v>
      </c>
      <c r="D15" s="152" t="s">
        <v>192</v>
      </c>
      <c r="E15" s="152" t="s">
        <v>190</v>
      </c>
      <c r="F15" s="153">
        <v>30</v>
      </c>
    </row>
    <row r="16" spans="2:7" ht="18" customHeight="1" x14ac:dyDescent="0.25">
      <c r="B16" s="151">
        <v>43238</v>
      </c>
      <c r="C16" s="151" t="s">
        <v>179</v>
      </c>
      <c r="D16" s="145" t="s">
        <v>183</v>
      </c>
      <c r="E16" s="154" t="s">
        <v>181</v>
      </c>
      <c r="F16" s="146">
        <v>1000</v>
      </c>
    </row>
    <row r="17" spans="2:14" ht="18" customHeight="1" x14ac:dyDescent="0.25">
      <c r="B17" s="151">
        <v>43267</v>
      </c>
      <c r="C17" s="151" t="s">
        <v>182</v>
      </c>
      <c r="D17" s="145" t="s">
        <v>188</v>
      </c>
      <c r="E17" s="154" t="s">
        <v>195</v>
      </c>
      <c r="F17" s="155">
        <v>15</v>
      </c>
    </row>
    <row r="18" spans="2:14" ht="18" customHeight="1" x14ac:dyDescent="0.25">
      <c r="B18" s="151">
        <v>43268</v>
      </c>
      <c r="C18" s="151" t="s">
        <v>185</v>
      </c>
      <c r="D18" s="145" t="s">
        <v>180</v>
      </c>
      <c r="E18" s="152" t="s">
        <v>193</v>
      </c>
      <c r="F18" s="153">
        <v>4000</v>
      </c>
    </row>
    <row r="19" spans="2:14" ht="18" customHeight="1" x14ac:dyDescent="0.25">
      <c r="B19" s="151">
        <v>43271</v>
      </c>
      <c r="C19" s="151" t="s">
        <v>187</v>
      </c>
      <c r="D19" s="145" t="s">
        <v>188</v>
      </c>
      <c r="E19" s="154" t="s">
        <v>195</v>
      </c>
      <c r="F19" s="155">
        <v>15</v>
      </c>
    </row>
    <row r="20" spans="2:14" ht="18" customHeight="1" x14ac:dyDescent="0.25">
      <c r="B20" s="151">
        <v>43270</v>
      </c>
      <c r="C20" s="151" t="s">
        <v>179</v>
      </c>
      <c r="D20" s="145" t="s">
        <v>180</v>
      </c>
      <c r="E20" s="145" t="s">
        <v>184</v>
      </c>
      <c r="F20" s="146">
        <v>100</v>
      </c>
    </row>
    <row r="21" spans="2:14" ht="18" customHeight="1" x14ac:dyDescent="0.25">
      <c r="B21" s="151">
        <v>43286</v>
      </c>
      <c r="C21" s="151" t="s">
        <v>182</v>
      </c>
      <c r="D21" s="152" t="s">
        <v>192</v>
      </c>
      <c r="E21" s="145" t="s">
        <v>189</v>
      </c>
      <c r="F21" s="146">
        <v>100</v>
      </c>
    </row>
    <row r="22" spans="2:14" ht="18" customHeight="1" x14ac:dyDescent="0.25">
      <c r="B22" s="151">
        <v>43287</v>
      </c>
      <c r="C22" s="151" t="s">
        <v>185</v>
      </c>
      <c r="D22" s="145" t="s">
        <v>180</v>
      </c>
      <c r="E22" s="154" t="s">
        <v>181</v>
      </c>
      <c r="F22" s="155">
        <v>15</v>
      </c>
    </row>
    <row r="23" spans="2:14" ht="18" customHeight="1" x14ac:dyDescent="0.25">
      <c r="B23" s="151">
        <v>43289</v>
      </c>
      <c r="C23" s="151" t="s">
        <v>187</v>
      </c>
      <c r="D23" s="145" t="s">
        <v>188</v>
      </c>
      <c r="E23" s="145" t="s">
        <v>189</v>
      </c>
      <c r="F23" s="146">
        <v>100</v>
      </c>
    </row>
    <row r="24" spans="2:14" ht="18" customHeight="1" x14ac:dyDescent="0.25">
      <c r="B24" s="151">
        <v>43316</v>
      </c>
      <c r="C24" s="151" t="s">
        <v>179</v>
      </c>
      <c r="D24" s="152" t="s">
        <v>192</v>
      </c>
      <c r="E24" s="154" t="s">
        <v>195</v>
      </c>
      <c r="F24" s="155">
        <v>15</v>
      </c>
    </row>
    <row r="25" spans="2:14" ht="18" customHeight="1" x14ac:dyDescent="0.25">
      <c r="B25" s="151">
        <v>43318</v>
      </c>
      <c r="C25" s="151" t="s">
        <v>182</v>
      </c>
      <c r="D25" s="145" t="s">
        <v>188</v>
      </c>
      <c r="E25" s="145" t="s">
        <v>189</v>
      </c>
      <c r="F25" s="146">
        <v>100</v>
      </c>
      <c r="I25" t="s">
        <v>196</v>
      </c>
      <c r="J25" t="s">
        <v>197</v>
      </c>
    </row>
    <row r="26" spans="2:14" ht="18" customHeight="1" x14ac:dyDescent="0.25">
      <c r="B26" s="151">
        <v>43319</v>
      </c>
      <c r="C26" s="151" t="s">
        <v>185</v>
      </c>
      <c r="D26" s="145" t="s">
        <v>180</v>
      </c>
      <c r="E26" s="152" t="s">
        <v>193</v>
      </c>
      <c r="F26" s="153">
        <v>4000</v>
      </c>
      <c r="I26" t="s">
        <v>198</v>
      </c>
      <c r="J26" t="s">
        <v>180</v>
      </c>
      <c r="K26" t="s">
        <v>183</v>
      </c>
      <c r="L26" t="s">
        <v>188</v>
      </c>
      <c r="M26" t="s">
        <v>192</v>
      </c>
      <c r="N26" t="s">
        <v>199</v>
      </c>
    </row>
    <row r="27" spans="2:14" ht="18" customHeight="1" x14ac:dyDescent="0.25">
      <c r="B27" s="151">
        <v>43344</v>
      </c>
      <c r="C27" s="151" t="s">
        <v>187</v>
      </c>
      <c r="D27" s="145" t="s">
        <v>180</v>
      </c>
      <c r="E27" s="145" t="s">
        <v>189</v>
      </c>
      <c r="F27" s="146">
        <v>100</v>
      </c>
      <c r="I27" s="172" t="s">
        <v>200</v>
      </c>
      <c r="J27">
        <v>1130</v>
      </c>
      <c r="K27">
        <v>3700</v>
      </c>
      <c r="L27">
        <v>4310</v>
      </c>
      <c r="M27">
        <v>4030</v>
      </c>
      <c r="N27">
        <v>13170</v>
      </c>
    </row>
    <row r="28" spans="2:14" ht="18" customHeight="1" x14ac:dyDescent="0.25">
      <c r="B28" s="151">
        <v>43347</v>
      </c>
      <c r="C28" s="151" t="s">
        <v>179</v>
      </c>
      <c r="D28" s="145" t="s">
        <v>183</v>
      </c>
      <c r="E28" s="145" t="s">
        <v>184</v>
      </c>
      <c r="F28" s="146">
        <v>100</v>
      </c>
      <c r="I28" s="173" t="s">
        <v>204</v>
      </c>
      <c r="J28">
        <v>1000</v>
      </c>
      <c r="K28">
        <v>3700</v>
      </c>
      <c r="N28">
        <v>4700</v>
      </c>
    </row>
    <row r="29" spans="2:14" ht="18" customHeight="1" x14ac:dyDescent="0.25">
      <c r="B29" s="151">
        <v>43713</v>
      </c>
      <c r="C29" s="151" t="s">
        <v>182</v>
      </c>
      <c r="D29" s="145" t="s">
        <v>180</v>
      </c>
      <c r="E29" s="154" t="s">
        <v>181</v>
      </c>
      <c r="F29" s="146">
        <v>1000</v>
      </c>
      <c r="I29" s="173" t="s">
        <v>205</v>
      </c>
      <c r="J29">
        <v>100</v>
      </c>
      <c r="L29">
        <v>100</v>
      </c>
      <c r="N29">
        <v>200</v>
      </c>
    </row>
    <row r="30" spans="2:14" ht="18" customHeight="1" x14ac:dyDescent="0.25">
      <c r="B30" s="151">
        <v>43716</v>
      </c>
      <c r="C30" s="151" t="s">
        <v>185</v>
      </c>
      <c r="D30" s="157" t="s">
        <v>192</v>
      </c>
      <c r="E30" s="145" t="s">
        <v>186</v>
      </c>
      <c r="F30" s="146">
        <v>3500</v>
      </c>
      <c r="I30" s="173" t="s">
        <v>206</v>
      </c>
      <c r="J30">
        <v>30</v>
      </c>
      <c r="L30">
        <v>4210</v>
      </c>
      <c r="M30">
        <v>4030</v>
      </c>
      <c r="N30">
        <v>8270</v>
      </c>
    </row>
    <row r="31" spans="2:14" ht="18" customHeight="1" x14ac:dyDescent="0.25">
      <c r="B31" s="151">
        <v>43728</v>
      </c>
      <c r="C31" s="151" t="s">
        <v>187</v>
      </c>
      <c r="D31" s="145" t="s">
        <v>183</v>
      </c>
      <c r="E31" s="154" t="s">
        <v>195</v>
      </c>
      <c r="F31" s="155">
        <v>15</v>
      </c>
      <c r="I31" s="172" t="s">
        <v>201</v>
      </c>
      <c r="J31">
        <v>8215</v>
      </c>
      <c r="K31">
        <v>1100</v>
      </c>
      <c r="L31">
        <v>230</v>
      </c>
      <c r="M31">
        <v>115</v>
      </c>
      <c r="N31">
        <v>9660</v>
      </c>
    </row>
    <row r="32" spans="2:14" x14ac:dyDescent="0.25">
      <c r="I32" s="172" t="s">
        <v>202</v>
      </c>
      <c r="J32">
        <v>1000</v>
      </c>
      <c r="K32">
        <v>15</v>
      </c>
      <c r="M32">
        <v>3500</v>
      </c>
      <c r="N32">
        <v>4515</v>
      </c>
    </row>
    <row r="33" spans="9:14" x14ac:dyDescent="0.25">
      <c r="I33" s="172" t="s">
        <v>199</v>
      </c>
      <c r="J33">
        <v>10345</v>
      </c>
      <c r="K33">
        <v>4815</v>
      </c>
      <c r="L33">
        <v>4540</v>
      </c>
      <c r="M33">
        <v>7645</v>
      </c>
      <c r="N33">
        <v>27345</v>
      </c>
    </row>
  </sheetData>
  <pageMargins left="0.7" right="0.7" top="0.75" bottom="0.75" header="0.3" footer="0.3"/>
  <pageSetup orientation="portrait" horizontalDpi="0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055D-91B7-48C3-9C65-F48874DBD431}">
  <dimension ref="B2:M49"/>
  <sheetViews>
    <sheetView topLeftCell="E23" zoomScale="40" zoomScaleNormal="40" workbookViewId="0">
      <selection activeCell="J31" sqref="J31"/>
    </sheetView>
  </sheetViews>
  <sheetFormatPr baseColWidth="10" defaultColWidth="50.7109375" defaultRowHeight="30" customHeight="1" x14ac:dyDescent="0.55000000000000004"/>
  <cols>
    <col min="1" max="7" width="50.7109375" style="176"/>
    <col min="8" max="8" width="47.7109375" style="176" bestFit="1" customWidth="1"/>
    <col min="9" max="9" width="59.140625" style="176" bestFit="1" customWidth="1"/>
    <col min="10" max="10" width="34.85546875" style="176" bestFit="1" customWidth="1"/>
    <col min="11" max="11" width="27" style="176" bestFit="1" customWidth="1"/>
    <col min="12" max="12" width="32.28515625" style="176" bestFit="1" customWidth="1"/>
    <col min="13" max="13" width="29.85546875" style="176" bestFit="1" customWidth="1"/>
    <col min="14" max="16384" width="50.7109375" style="176"/>
  </cols>
  <sheetData>
    <row r="2" spans="2:7" ht="30" customHeight="1" x14ac:dyDescent="0.55000000000000004">
      <c r="B2" s="174" t="s">
        <v>64</v>
      </c>
      <c r="C2" s="174" t="s">
        <v>176</v>
      </c>
      <c r="D2" s="174" t="s">
        <v>177</v>
      </c>
      <c r="E2" s="174" t="s">
        <v>178</v>
      </c>
      <c r="F2" s="174" t="s">
        <v>69</v>
      </c>
      <c r="G2" s="175"/>
    </row>
    <row r="3" spans="2:7" ht="30" customHeight="1" x14ac:dyDescent="0.55000000000000004">
      <c r="B3" s="177">
        <v>42811</v>
      </c>
      <c r="C3" s="178" t="s">
        <v>179</v>
      </c>
      <c r="D3" s="178" t="s">
        <v>180</v>
      </c>
      <c r="E3" s="178" t="s">
        <v>181</v>
      </c>
      <c r="F3" s="179">
        <v>1000</v>
      </c>
    </row>
    <row r="4" spans="2:7" ht="30" customHeight="1" x14ac:dyDescent="0.55000000000000004">
      <c r="B4" s="177">
        <v>42814</v>
      </c>
      <c r="C4" s="178" t="s">
        <v>182</v>
      </c>
      <c r="D4" s="178" t="s">
        <v>183</v>
      </c>
      <c r="E4" s="178" t="s">
        <v>184</v>
      </c>
      <c r="F4" s="179">
        <v>200</v>
      </c>
    </row>
    <row r="5" spans="2:7" ht="30" customHeight="1" x14ac:dyDescent="0.55000000000000004">
      <c r="B5" s="177">
        <v>42816</v>
      </c>
      <c r="C5" s="178" t="s">
        <v>185</v>
      </c>
      <c r="D5" s="178" t="s">
        <v>183</v>
      </c>
      <c r="E5" s="178" t="s">
        <v>186</v>
      </c>
      <c r="F5" s="179">
        <v>3500</v>
      </c>
    </row>
    <row r="6" spans="2:7" ht="30" customHeight="1" x14ac:dyDescent="0.55000000000000004">
      <c r="B6" s="177">
        <v>42845</v>
      </c>
      <c r="C6" s="178" t="s">
        <v>187</v>
      </c>
      <c r="D6" s="178" t="s">
        <v>188</v>
      </c>
      <c r="E6" s="178" t="s">
        <v>184</v>
      </c>
      <c r="F6" s="179">
        <v>100</v>
      </c>
    </row>
    <row r="7" spans="2:7" ht="30" customHeight="1" x14ac:dyDescent="0.55000000000000004">
      <c r="B7" s="177">
        <v>42842</v>
      </c>
      <c r="C7" s="178" t="s">
        <v>179</v>
      </c>
      <c r="D7" s="178" t="s">
        <v>180</v>
      </c>
      <c r="E7" s="178" t="s">
        <v>189</v>
      </c>
      <c r="F7" s="179">
        <v>100</v>
      </c>
    </row>
    <row r="8" spans="2:7" ht="30" customHeight="1" x14ac:dyDescent="0.55000000000000004">
      <c r="B8" s="177">
        <v>42877</v>
      </c>
      <c r="C8" s="178" t="s">
        <v>182</v>
      </c>
      <c r="D8" s="178" t="s">
        <v>188</v>
      </c>
      <c r="E8" s="178" t="s">
        <v>190</v>
      </c>
      <c r="F8" s="179">
        <v>20</v>
      </c>
    </row>
    <row r="9" spans="2:7" ht="30" customHeight="1" x14ac:dyDescent="0.55000000000000004">
      <c r="B9" s="177">
        <v>42877</v>
      </c>
      <c r="C9" s="178" t="s">
        <v>185</v>
      </c>
      <c r="D9" s="178" t="s">
        <v>188</v>
      </c>
      <c r="E9" s="178" t="s">
        <v>191</v>
      </c>
      <c r="F9" s="179">
        <v>10</v>
      </c>
    </row>
    <row r="10" spans="2:7" ht="30" customHeight="1" x14ac:dyDescent="0.55000000000000004">
      <c r="B10" s="180">
        <v>42879</v>
      </c>
      <c r="C10" s="181" t="s">
        <v>187</v>
      </c>
      <c r="D10" s="178" t="s">
        <v>180</v>
      </c>
      <c r="E10" s="181" t="s">
        <v>190</v>
      </c>
      <c r="F10" s="182">
        <v>20</v>
      </c>
    </row>
    <row r="11" spans="2:7" ht="30" customHeight="1" x14ac:dyDescent="0.55000000000000004">
      <c r="B11" s="183">
        <v>42872</v>
      </c>
      <c r="C11" s="184" t="s">
        <v>187</v>
      </c>
      <c r="D11" s="184" t="s">
        <v>192</v>
      </c>
      <c r="E11" s="184" t="s">
        <v>193</v>
      </c>
      <c r="F11" s="185">
        <v>4000</v>
      </c>
    </row>
    <row r="12" spans="2:7" ht="30" customHeight="1" x14ac:dyDescent="0.55000000000000004">
      <c r="B12" s="183">
        <v>42875</v>
      </c>
      <c r="C12" s="184" t="s">
        <v>179</v>
      </c>
      <c r="D12" s="178" t="s">
        <v>188</v>
      </c>
      <c r="E12" s="184" t="s">
        <v>193</v>
      </c>
      <c r="F12" s="185">
        <v>4000</v>
      </c>
    </row>
    <row r="13" spans="2:7" ht="30" customHeight="1" x14ac:dyDescent="0.55000000000000004">
      <c r="B13" s="183">
        <v>42882</v>
      </c>
      <c r="C13" s="184" t="s">
        <v>182</v>
      </c>
      <c r="D13" s="178" t="s">
        <v>188</v>
      </c>
      <c r="E13" s="184" t="s">
        <v>194</v>
      </c>
      <c r="F13" s="185">
        <v>180</v>
      </c>
    </row>
    <row r="14" spans="2:7" ht="30" customHeight="1" x14ac:dyDescent="0.55000000000000004">
      <c r="B14" s="183">
        <v>42875</v>
      </c>
      <c r="C14" s="184" t="s">
        <v>185</v>
      </c>
      <c r="D14" s="178" t="s">
        <v>180</v>
      </c>
      <c r="E14" s="184" t="s">
        <v>191</v>
      </c>
      <c r="F14" s="185">
        <v>10</v>
      </c>
    </row>
    <row r="15" spans="2:7" ht="30" customHeight="1" x14ac:dyDescent="0.55000000000000004">
      <c r="B15" s="183">
        <v>42872</v>
      </c>
      <c r="C15" s="184" t="s">
        <v>187</v>
      </c>
      <c r="D15" s="184" t="s">
        <v>192</v>
      </c>
      <c r="E15" s="184" t="s">
        <v>190</v>
      </c>
      <c r="F15" s="185">
        <v>30</v>
      </c>
    </row>
    <row r="16" spans="2:7" ht="30" customHeight="1" x14ac:dyDescent="0.55000000000000004">
      <c r="B16" s="183">
        <v>43238</v>
      </c>
      <c r="C16" s="183" t="s">
        <v>179</v>
      </c>
      <c r="D16" s="178" t="s">
        <v>183</v>
      </c>
      <c r="E16" s="184" t="s">
        <v>181</v>
      </c>
      <c r="F16" s="179">
        <v>1000</v>
      </c>
    </row>
    <row r="17" spans="2:13" ht="30" customHeight="1" x14ac:dyDescent="0.55000000000000004">
      <c r="B17" s="183">
        <v>43267</v>
      </c>
      <c r="C17" s="183" t="s">
        <v>182</v>
      </c>
      <c r="D17" s="178" t="s">
        <v>188</v>
      </c>
      <c r="E17" s="184" t="s">
        <v>195</v>
      </c>
      <c r="F17" s="185">
        <v>15</v>
      </c>
    </row>
    <row r="18" spans="2:13" ht="30" customHeight="1" x14ac:dyDescent="0.55000000000000004">
      <c r="B18" s="183">
        <v>43268</v>
      </c>
      <c r="C18" s="183" t="s">
        <v>185</v>
      </c>
      <c r="D18" s="178" t="s">
        <v>180</v>
      </c>
      <c r="E18" s="184" t="s">
        <v>193</v>
      </c>
      <c r="F18" s="185">
        <v>4000</v>
      </c>
    </row>
    <row r="19" spans="2:13" ht="30" customHeight="1" x14ac:dyDescent="0.55000000000000004">
      <c r="B19" s="183">
        <v>43271</v>
      </c>
      <c r="C19" s="183" t="s">
        <v>187</v>
      </c>
      <c r="D19" s="178" t="s">
        <v>188</v>
      </c>
      <c r="E19" s="184" t="s">
        <v>195</v>
      </c>
      <c r="F19" s="185">
        <v>15</v>
      </c>
    </row>
    <row r="20" spans="2:13" ht="30" customHeight="1" x14ac:dyDescent="0.55000000000000004">
      <c r="B20" s="183">
        <v>43270</v>
      </c>
      <c r="C20" s="183" t="s">
        <v>179</v>
      </c>
      <c r="D20" s="178" t="s">
        <v>180</v>
      </c>
      <c r="E20" s="178" t="s">
        <v>184</v>
      </c>
      <c r="F20" s="179">
        <v>100</v>
      </c>
    </row>
    <row r="21" spans="2:13" ht="30" customHeight="1" x14ac:dyDescent="0.55000000000000004">
      <c r="B21" s="183">
        <v>43286</v>
      </c>
      <c r="C21" s="183" t="s">
        <v>182</v>
      </c>
      <c r="D21" s="184" t="s">
        <v>192</v>
      </c>
      <c r="E21" s="178" t="s">
        <v>189</v>
      </c>
      <c r="F21" s="179">
        <v>100</v>
      </c>
    </row>
    <row r="22" spans="2:13" ht="30" customHeight="1" x14ac:dyDescent="0.55000000000000004">
      <c r="B22" s="183">
        <v>43287</v>
      </c>
      <c r="C22" s="183" t="s">
        <v>185</v>
      </c>
      <c r="D22" s="178" t="s">
        <v>180</v>
      </c>
      <c r="E22" s="184" t="s">
        <v>181</v>
      </c>
      <c r="F22" s="185">
        <v>15</v>
      </c>
    </row>
    <row r="23" spans="2:13" ht="30" customHeight="1" x14ac:dyDescent="0.55000000000000004">
      <c r="B23" s="183">
        <v>43289</v>
      </c>
      <c r="C23" s="183" t="s">
        <v>187</v>
      </c>
      <c r="D23" s="178" t="s">
        <v>188</v>
      </c>
      <c r="E23" s="178" t="s">
        <v>189</v>
      </c>
      <c r="F23" s="179">
        <v>100</v>
      </c>
    </row>
    <row r="24" spans="2:13" ht="30" customHeight="1" x14ac:dyDescent="0.55000000000000004">
      <c r="B24" s="183">
        <v>43316</v>
      </c>
      <c r="C24" s="183" t="s">
        <v>179</v>
      </c>
      <c r="D24" s="184" t="s">
        <v>192</v>
      </c>
      <c r="E24" s="184" t="s">
        <v>195</v>
      </c>
      <c r="F24" s="185">
        <v>15</v>
      </c>
    </row>
    <row r="25" spans="2:13" ht="30" customHeight="1" x14ac:dyDescent="0.55000000000000004">
      <c r="B25" s="183">
        <v>43318</v>
      </c>
      <c r="C25" s="183" t="s">
        <v>182</v>
      </c>
      <c r="D25" s="178" t="s">
        <v>188</v>
      </c>
      <c r="E25" s="178" t="s">
        <v>189</v>
      </c>
      <c r="F25" s="179">
        <v>100</v>
      </c>
    </row>
    <row r="26" spans="2:13" ht="30" customHeight="1" x14ac:dyDescent="0.55000000000000004">
      <c r="B26" s="183">
        <v>43319</v>
      </c>
      <c r="C26" s="183" t="s">
        <v>185</v>
      </c>
      <c r="D26" s="178" t="s">
        <v>180</v>
      </c>
      <c r="E26" s="184" t="s">
        <v>193</v>
      </c>
      <c r="F26" s="185">
        <v>4000</v>
      </c>
    </row>
    <row r="27" spans="2:13" ht="30" customHeight="1" x14ac:dyDescent="0.55000000000000004">
      <c r="B27" s="183">
        <v>43344</v>
      </c>
      <c r="C27" s="183" t="s">
        <v>187</v>
      </c>
      <c r="D27" s="178" t="s">
        <v>180</v>
      </c>
      <c r="E27" s="178" t="s">
        <v>189</v>
      </c>
      <c r="F27" s="179">
        <v>100</v>
      </c>
    </row>
    <row r="28" spans="2:13" ht="36" x14ac:dyDescent="0.55000000000000004">
      <c r="B28" s="183">
        <v>43347</v>
      </c>
      <c r="C28" s="183" t="s">
        <v>179</v>
      </c>
      <c r="D28" s="178" t="s">
        <v>183</v>
      </c>
      <c r="E28" s="178" t="s">
        <v>184</v>
      </c>
      <c r="F28" s="179">
        <v>100</v>
      </c>
      <c r="H28" s="186" t="s">
        <v>207</v>
      </c>
      <c r="I28" s="186" t="s">
        <v>197</v>
      </c>
      <c r="J28" s="186"/>
      <c r="K28" s="186"/>
      <c r="L28" s="186"/>
      <c r="M28" s="186"/>
    </row>
    <row r="29" spans="2:13" ht="36" x14ac:dyDescent="0.55000000000000004">
      <c r="B29" s="183">
        <v>43713</v>
      </c>
      <c r="C29" s="183" t="s">
        <v>182</v>
      </c>
      <c r="D29" s="178" t="s">
        <v>180</v>
      </c>
      <c r="E29" s="184" t="s">
        <v>181</v>
      </c>
      <c r="F29" s="179">
        <v>1000</v>
      </c>
      <c r="H29" s="186" t="s">
        <v>198</v>
      </c>
      <c r="I29" s="186" t="s">
        <v>179</v>
      </c>
      <c r="J29" s="186" t="s">
        <v>187</v>
      </c>
      <c r="K29" s="186" t="s">
        <v>182</v>
      </c>
      <c r="L29" s="186" t="s">
        <v>185</v>
      </c>
      <c r="M29" s="186" t="s">
        <v>199</v>
      </c>
    </row>
    <row r="30" spans="2:13" ht="36" x14ac:dyDescent="0.55000000000000004">
      <c r="B30" s="183">
        <v>43716</v>
      </c>
      <c r="C30" s="183" t="s">
        <v>185</v>
      </c>
      <c r="D30" s="187" t="s">
        <v>192</v>
      </c>
      <c r="E30" s="178" t="s">
        <v>186</v>
      </c>
      <c r="F30" s="179">
        <v>3500</v>
      </c>
      <c r="H30" s="186" t="s">
        <v>180</v>
      </c>
      <c r="I30" s="188">
        <v>400</v>
      </c>
      <c r="J30" s="188">
        <v>60</v>
      </c>
      <c r="K30" s="188">
        <v>1000</v>
      </c>
      <c r="L30" s="188">
        <v>2006.25</v>
      </c>
      <c r="M30" s="188">
        <v>1034.5</v>
      </c>
    </row>
    <row r="31" spans="2:13" ht="36" x14ac:dyDescent="0.55000000000000004">
      <c r="B31" s="183">
        <v>43728</v>
      </c>
      <c r="C31" s="183" t="s">
        <v>187</v>
      </c>
      <c r="D31" s="178" t="s">
        <v>183</v>
      </c>
      <c r="E31" s="184" t="s">
        <v>195</v>
      </c>
      <c r="F31" s="185">
        <v>15</v>
      </c>
      <c r="H31" s="186" t="s">
        <v>183</v>
      </c>
      <c r="I31" s="188">
        <v>550</v>
      </c>
      <c r="J31" s="188">
        <v>15</v>
      </c>
      <c r="K31" s="188">
        <v>200</v>
      </c>
      <c r="L31" s="188">
        <v>3500</v>
      </c>
      <c r="M31" s="188">
        <v>963</v>
      </c>
    </row>
    <row r="32" spans="2:13" ht="36" x14ac:dyDescent="0.55000000000000004">
      <c r="H32" s="186" t="s">
        <v>188</v>
      </c>
      <c r="I32" s="188">
        <v>4000</v>
      </c>
      <c r="J32" s="188">
        <v>71.666666666666671</v>
      </c>
      <c r="K32" s="188">
        <v>78.75</v>
      </c>
      <c r="L32" s="188">
        <v>10</v>
      </c>
      <c r="M32" s="188">
        <v>504.44444444444446</v>
      </c>
    </row>
    <row r="33" spans="8:13" ht="36" x14ac:dyDescent="0.55000000000000004">
      <c r="H33" s="186" t="s">
        <v>192</v>
      </c>
      <c r="I33" s="188">
        <v>15</v>
      </c>
      <c r="J33" s="188">
        <v>2015</v>
      </c>
      <c r="K33" s="188">
        <v>100</v>
      </c>
      <c r="L33" s="188">
        <v>3500</v>
      </c>
      <c r="M33" s="188">
        <v>1529</v>
      </c>
    </row>
    <row r="34" spans="8:13" ht="36" x14ac:dyDescent="0.55000000000000004">
      <c r="H34" s="186" t="s">
        <v>199</v>
      </c>
      <c r="I34" s="188">
        <v>902.14285714285711</v>
      </c>
      <c r="J34" s="188">
        <v>547.5</v>
      </c>
      <c r="K34" s="188">
        <v>230.71428571428572</v>
      </c>
      <c r="L34" s="188">
        <v>2147.8571428571427</v>
      </c>
      <c r="M34" s="188">
        <v>942.93103448275861</v>
      </c>
    </row>
    <row r="35" spans="8:13" ht="36" x14ac:dyDescent="0.55000000000000004">
      <c r="H35"/>
      <c r="I35"/>
      <c r="J35"/>
    </row>
    <row r="36" spans="8:13" ht="36" x14ac:dyDescent="0.55000000000000004">
      <c r="H36"/>
      <c r="I36"/>
      <c r="J36"/>
    </row>
    <row r="37" spans="8:13" ht="36" x14ac:dyDescent="0.55000000000000004">
      <c r="H37"/>
      <c r="I37"/>
      <c r="J37"/>
    </row>
    <row r="38" spans="8:13" ht="36" x14ac:dyDescent="0.55000000000000004">
      <c r="H38"/>
      <c r="I38"/>
      <c r="J38"/>
    </row>
    <row r="39" spans="8:13" ht="36" x14ac:dyDescent="0.55000000000000004">
      <c r="H39"/>
      <c r="I39"/>
      <c r="J39"/>
    </row>
    <row r="40" spans="8:13" ht="36" x14ac:dyDescent="0.55000000000000004">
      <c r="H40"/>
      <c r="I40"/>
      <c r="J40"/>
    </row>
    <row r="41" spans="8:13" ht="36" x14ac:dyDescent="0.55000000000000004">
      <c r="H41"/>
      <c r="I41"/>
      <c r="J41"/>
    </row>
    <row r="42" spans="8:13" ht="36" x14ac:dyDescent="0.55000000000000004">
      <c r="H42"/>
      <c r="I42"/>
      <c r="J42"/>
    </row>
    <row r="43" spans="8:13" ht="36" x14ac:dyDescent="0.55000000000000004">
      <c r="H43"/>
      <c r="I43"/>
      <c r="J43"/>
    </row>
    <row r="44" spans="8:13" ht="36" x14ac:dyDescent="0.55000000000000004">
      <c r="H44"/>
      <c r="I44"/>
      <c r="J44"/>
    </row>
    <row r="45" spans="8:13" ht="36" x14ac:dyDescent="0.55000000000000004">
      <c r="H45"/>
      <c r="I45"/>
      <c r="J45"/>
    </row>
    <row r="46" spans="8:13" ht="36" x14ac:dyDescent="0.55000000000000004">
      <c r="H46"/>
      <c r="I46"/>
    </row>
    <row r="47" spans="8:13" ht="36" x14ac:dyDescent="0.55000000000000004">
      <c r="H47"/>
      <c r="I47"/>
    </row>
    <row r="48" spans="8:13" ht="36" x14ac:dyDescent="0.55000000000000004">
      <c r="H48"/>
      <c r="I48"/>
    </row>
    <row r="49" spans="8:9" ht="36" x14ac:dyDescent="0.55000000000000004">
      <c r="H49"/>
      <c r="I49"/>
    </row>
  </sheetData>
  <pageMargins left="0.7" right="0.7" top="0.75" bottom="0.75" header="0.3" footer="0.3"/>
  <pageSetup orientation="portrait" horizontalDpi="0" verticalDpi="0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896E-71EA-48B4-AA77-9B92458930E5}">
  <dimension ref="B2:Q31"/>
  <sheetViews>
    <sheetView tabSelected="1" topLeftCell="F1" zoomScale="55" zoomScaleNormal="55" workbookViewId="0">
      <selection activeCell="J31" sqref="J31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8" width="18.5703125" bestFit="1" customWidth="1"/>
    <col min="9" max="9" width="19.42578125" bestFit="1" customWidth="1"/>
    <col min="10" max="10" width="16.28515625" bestFit="1" customWidth="1"/>
    <col min="11" max="11" width="19.42578125" bestFit="1" customWidth="1"/>
    <col min="12" max="12" width="16.28515625" bestFit="1" customWidth="1"/>
    <col min="13" max="13" width="19.42578125" bestFit="1" customWidth="1"/>
    <col min="14" max="14" width="16.28515625" bestFit="1" customWidth="1"/>
    <col min="15" max="15" width="26.140625" bestFit="1" customWidth="1"/>
    <col min="16" max="16" width="30.28515625" bestFit="1" customWidth="1"/>
    <col min="17" max="17" width="22" bestFit="1" customWidth="1"/>
    <col min="18" max="18" width="21.28515625" bestFit="1" customWidth="1"/>
    <col min="19" max="19" width="9.140625" bestFit="1" customWidth="1"/>
    <col min="20" max="20" width="19.7109375" bestFit="1" customWidth="1"/>
    <col min="21" max="21" width="12.7109375" bestFit="1" customWidth="1"/>
    <col min="22" max="22" width="10" bestFit="1" customWidth="1"/>
    <col min="23" max="24" width="10.5703125" bestFit="1" customWidth="1"/>
    <col min="25" max="25" width="7.85546875" bestFit="1" customWidth="1"/>
    <col min="26" max="26" width="9.140625" bestFit="1" customWidth="1"/>
    <col min="27" max="27" width="15.7109375" bestFit="1" customWidth="1"/>
    <col min="28" max="28" width="15.5703125" bestFit="1" customWidth="1"/>
    <col min="29" max="30" width="10" bestFit="1" customWidth="1"/>
    <col min="31" max="31" width="7.42578125" bestFit="1" customWidth="1"/>
    <col min="32" max="32" width="18.7109375" bestFit="1" customWidth="1"/>
    <col min="33" max="33" width="12.5703125" bestFit="1" customWidth="1"/>
  </cols>
  <sheetData>
    <row r="2" spans="2:17" ht="37.5" customHeight="1" x14ac:dyDescent="0.25">
      <c r="B2" s="143" t="s">
        <v>64</v>
      </c>
      <c r="C2" s="143" t="s">
        <v>176</v>
      </c>
      <c r="D2" s="143" t="s">
        <v>177</v>
      </c>
      <c r="E2" s="143" t="s">
        <v>178</v>
      </c>
      <c r="F2" s="143" t="s">
        <v>69</v>
      </c>
      <c r="G2" s="1"/>
    </row>
    <row r="3" spans="2:17" ht="18" customHeight="1" x14ac:dyDescent="0.25">
      <c r="B3" s="144">
        <v>42811</v>
      </c>
      <c r="C3" s="145" t="s">
        <v>179</v>
      </c>
      <c r="D3" s="145" t="s">
        <v>180</v>
      </c>
      <c r="E3" s="145" t="s">
        <v>181</v>
      </c>
      <c r="F3" s="146">
        <v>1000</v>
      </c>
    </row>
    <row r="4" spans="2:17" ht="18" customHeight="1" x14ac:dyDescent="0.25">
      <c r="B4" s="144">
        <v>42814</v>
      </c>
      <c r="C4" s="145" t="s">
        <v>182</v>
      </c>
      <c r="D4" s="145" t="s">
        <v>183</v>
      </c>
      <c r="E4" s="145" t="s">
        <v>184</v>
      </c>
      <c r="F4" s="146">
        <v>200</v>
      </c>
    </row>
    <row r="5" spans="2:17" ht="18" customHeight="1" x14ac:dyDescent="0.25">
      <c r="B5" s="144">
        <v>42816</v>
      </c>
      <c r="C5" s="145" t="s">
        <v>185</v>
      </c>
      <c r="D5" s="145" t="s">
        <v>183</v>
      </c>
      <c r="E5" s="145" t="s">
        <v>186</v>
      </c>
      <c r="F5" s="146">
        <v>3500</v>
      </c>
    </row>
    <row r="6" spans="2:17" ht="18" customHeight="1" x14ac:dyDescent="0.25">
      <c r="B6" s="144">
        <v>42845</v>
      </c>
      <c r="C6" s="145" t="s">
        <v>187</v>
      </c>
      <c r="D6" s="145" t="s">
        <v>188</v>
      </c>
      <c r="E6" s="145" t="s">
        <v>184</v>
      </c>
      <c r="F6" s="146">
        <v>100</v>
      </c>
    </row>
    <row r="7" spans="2:17" x14ac:dyDescent="0.25">
      <c r="B7" s="144">
        <v>42842</v>
      </c>
      <c r="C7" s="145" t="s">
        <v>179</v>
      </c>
      <c r="D7" s="145" t="s">
        <v>180</v>
      </c>
      <c r="E7" s="145" t="s">
        <v>189</v>
      </c>
      <c r="F7" s="146">
        <v>100</v>
      </c>
    </row>
    <row r="8" spans="2:17" ht="18" customHeight="1" x14ac:dyDescent="0.25">
      <c r="B8" s="144">
        <v>42877</v>
      </c>
      <c r="C8" s="145" t="s">
        <v>182</v>
      </c>
      <c r="D8" s="145" t="s">
        <v>188</v>
      </c>
      <c r="E8" s="145" t="s">
        <v>190</v>
      </c>
      <c r="F8" s="146">
        <v>20</v>
      </c>
      <c r="O8" t="s">
        <v>198</v>
      </c>
      <c r="P8" t="s">
        <v>208</v>
      </c>
      <c r="Q8" t="s">
        <v>196</v>
      </c>
    </row>
    <row r="9" spans="2:17" ht="18" customHeight="1" x14ac:dyDescent="0.25">
      <c r="B9" s="144">
        <v>42877</v>
      </c>
      <c r="C9" s="145" t="s">
        <v>185</v>
      </c>
      <c r="D9" s="145" t="s">
        <v>188</v>
      </c>
      <c r="E9" s="145" t="s">
        <v>191</v>
      </c>
      <c r="F9" s="146">
        <v>10</v>
      </c>
      <c r="O9" s="172" t="s">
        <v>180</v>
      </c>
      <c r="P9" s="189">
        <v>1034.5</v>
      </c>
      <c r="Q9">
        <v>10345</v>
      </c>
    </row>
    <row r="10" spans="2:17" ht="18" customHeight="1" x14ac:dyDescent="0.25">
      <c r="B10" s="148">
        <v>42879</v>
      </c>
      <c r="C10" s="149" t="s">
        <v>187</v>
      </c>
      <c r="D10" s="145" t="s">
        <v>180</v>
      </c>
      <c r="E10" s="149" t="s">
        <v>190</v>
      </c>
      <c r="F10" s="150">
        <v>20</v>
      </c>
      <c r="O10" s="173" t="s">
        <v>179</v>
      </c>
      <c r="P10" s="189">
        <v>120</v>
      </c>
      <c r="Q10">
        <v>1200</v>
      </c>
    </row>
    <row r="11" spans="2:17" ht="18" customHeight="1" x14ac:dyDescent="0.25">
      <c r="B11" s="151">
        <v>42872</v>
      </c>
      <c r="C11" s="152" t="s">
        <v>187</v>
      </c>
      <c r="D11" s="152" t="s">
        <v>192</v>
      </c>
      <c r="E11" s="152" t="s">
        <v>193</v>
      </c>
      <c r="F11" s="153">
        <v>4000</v>
      </c>
      <c r="O11" s="173" t="s">
        <v>187</v>
      </c>
      <c r="P11" s="189">
        <v>12</v>
      </c>
      <c r="Q11">
        <v>120</v>
      </c>
    </row>
    <row r="12" spans="2:17" ht="18" customHeight="1" x14ac:dyDescent="0.25">
      <c r="B12" s="151">
        <v>42875</v>
      </c>
      <c r="C12" s="152" t="s">
        <v>179</v>
      </c>
      <c r="D12" s="145" t="s">
        <v>188</v>
      </c>
      <c r="E12" s="152" t="s">
        <v>193</v>
      </c>
      <c r="F12" s="153">
        <v>4000</v>
      </c>
      <c r="O12" s="173" t="s">
        <v>182</v>
      </c>
      <c r="P12" s="189">
        <v>100</v>
      </c>
      <c r="Q12">
        <v>1000</v>
      </c>
    </row>
    <row r="13" spans="2:17" ht="18" customHeight="1" x14ac:dyDescent="0.25">
      <c r="B13" s="151">
        <v>42882</v>
      </c>
      <c r="C13" s="152" t="s">
        <v>182</v>
      </c>
      <c r="D13" s="145" t="s">
        <v>188</v>
      </c>
      <c r="E13" s="152" t="s">
        <v>194</v>
      </c>
      <c r="F13" s="153">
        <v>180</v>
      </c>
      <c r="O13" s="173" t="s">
        <v>185</v>
      </c>
      <c r="P13" s="189">
        <v>802.5</v>
      </c>
      <c r="Q13">
        <v>8025</v>
      </c>
    </row>
    <row r="14" spans="2:17" ht="18" customHeight="1" x14ac:dyDescent="0.25">
      <c r="B14" s="151">
        <v>42875</v>
      </c>
      <c r="C14" s="152" t="s">
        <v>185</v>
      </c>
      <c r="D14" s="145" t="s">
        <v>180</v>
      </c>
      <c r="E14" s="152" t="s">
        <v>191</v>
      </c>
      <c r="F14" s="153">
        <v>10</v>
      </c>
      <c r="O14" s="172" t="s">
        <v>183</v>
      </c>
      <c r="P14" s="189">
        <v>481.5</v>
      </c>
      <c r="Q14">
        <v>4815</v>
      </c>
    </row>
    <row r="15" spans="2:17" ht="18" customHeight="1" x14ac:dyDescent="0.25">
      <c r="B15" s="151">
        <v>42872</v>
      </c>
      <c r="C15" s="152" t="s">
        <v>187</v>
      </c>
      <c r="D15" s="152" t="s">
        <v>192</v>
      </c>
      <c r="E15" s="152" t="s">
        <v>190</v>
      </c>
      <c r="F15" s="153">
        <v>30</v>
      </c>
      <c r="O15" s="173" t="s">
        <v>179</v>
      </c>
      <c r="P15" s="189">
        <v>110</v>
      </c>
      <c r="Q15">
        <v>1100</v>
      </c>
    </row>
    <row r="16" spans="2:17" ht="18" customHeight="1" x14ac:dyDescent="0.25">
      <c r="B16" s="151">
        <v>43238</v>
      </c>
      <c r="C16" s="151" t="s">
        <v>179</v>
      </c>
      <c r="D16" s="145" t="s">
        <v>183</v>
      </c>
      <c r="E16" s="154" t="s">
        <v>181</v>
      </c>
      <c r="F16" s="146">
        <v>1000</v>
      </c>
      <c r="O16" s="173" t="s">
        <v>187</v>
      </c>
      <c r="P16" s="189">
        <v>1.5</v>
      </c>
      <c r="Q16">
        <v>15</v>
      </c>
    </row>
    <row r="17" spans="2:17" ht="18" customHeight="1" x14ac:dyDescent="0.25">
      <c r="B17" s="151">
        <v>43267</v>
      </c>
      <c r="C17" s="151" t="s">
        <v>182</v>
      </c>
      <c r="D17" s="145" t="s">
        <v>188</v>
      </c>
      <c r="E17" s="154" t="s">
        <v>195</v>
      </c>
      <c r="F17" s="155">
        <v>15</v>
      </c>
      <c r="O17" s="173" t="s">
        <v>182</v>
      </c>
      <c r="P17" s="189">
        <v>20</v>
      </c>
      <c r="Q17">
        <v>200</v>
      </c>
    </row>
    <row r="18" spans="2:17" ht="18" customHeight="1" x14ac:dyDescent="0.25">
      <c r="B18" s="151">
        <v>43268</v>
      </c>
      <c r="C18" s="151" t="s">
        <v>185</v>
      </c>
      <c r="D18" s="145" t="s">
        <v>180</v>
      </c>
      <c r="E18" s="152" t="s">
        <v>193</v>
      </c>
      <c r="F18" s="153">
        <v>4000</v>
      </c>
      <c r="O18" s="173" t="s">
        <v>185</v>
      </c>
      <c r="P18" s="189">
        <v>350</v>
      </c>
      <c r="Q18">
        <v>3500</v>
      </c>
    </row>
    <row r="19" spans="2:17" ht="18" customHeight="1" x14ac:dyDescent="0.25">
      <c r="B19" s="151">
        <v>43271</v>
      </c>
      <c r="C19" s="151" t="s">
        <v>187</v>
      </c>
      <c r="D19" s="145" t="s">
        <v>188</v>
      </c>
      <c r="E19" s="154" t="s">
        <v>195</v>
      </c>
      <c r="F19" s="155">
        <v>15</v>
      </c>
      <c r="O19" s="172" t="s">
        <v>188</v>
      </c>
      <c r="P19" s="189">
        <v>454</v>
      </c>
      <c r="Q19">
        <v>4540</v>
      </c>
    </row>
    <row r="20" spans="2:17" ht="18" customHeight="1" x14ac:dyDescent="0.25">
      <c r="B20" s="151">
        <v>43270</v>
      </c>
      <c r="C20" s="151" t="s">
        <v>179</v>
      </c>
      <c r="D20" s="145" t="s">
        <v>180</v>
      </c>
      <c r="E20" s="145" t="s">
        <v>184</v>
      </c>
      <c r="F20" s="146">
        <v>100</v>
      </c>
      <c r="O20" s="173" t="s">
        <v>179</v>
      </c>
      <c r="P20" s="189">
        <v>400</v>
      </c>
      <c r="Q20">
        <v>4000</v>
      </c>
    </row>
    <row r="21" spans="2:17" ht="18" customHeight="1" x14ac:dyDescent="0.25">
      <c r="B21" s="151">
        <v>43286</v>
      </c>
      <c r="C21" s="151" t="s">
        <v>182</v>
      </c>
      <c r="D21" s="152" t="s">
        <v>192</v>
      </c>
      <c r="E21" s="145" t="s">
        <v>189</v>
      </c>
      <c r="F21" s="146">
        <v>100</v>
      </c>
      <c r="O21" s="173" t="s">
        <v>187</v>
      </c>
      <c r="P21" s="189">
        <v>21.5</v>
      </c>
      <c r="Q21">
        <v>215</v>
      </c>
    </row>
    <row r="22" spans="2:17" ht="18" customHeight="1" x14ac:dyDescent="0.25">
      <c r="B22" s="151">
        <v>43287</v>
      </c>
      <c r="C22" s="151" t="s">
        <v>185</v>
      </c>
      <c r="D22" s="145" t="s">
        <v>180</v>
      </c>
      <c r="E22" s="154" t="s">
        <v>181</v>
      </c>
      <c r="F22" s="155">
        <v>15</v>
      </c>
      <c r="O22" s="173" t="s">
        <v>182</v>
      </c>
      <c r="P22" s="189">
        <v>31.5</v>
      </c>
      <c r="Q22">
        <v>315</v>
      </c>
    </row>
    <row r="23" spans="2:17" ht="18" customHeight="1" x14ac:dyDescent="0.25">
      <c r="B23" s="151">
        <v>43289</v>
      </c>
      <c r="C23" s="151" t="s">
        <v>187</v>
      </c>
      <c r="D23" s="145" t="s">
        <v>188</v>
      </c>
      <c r="E23" s="145" t="s">
        <v>189</v>
      </c>
      <c r="F23" s="146">
        <v>100</v>
      </c>
      <c r="O23" s="173" t="s">
        <v>185</v>
      </c>
      <c r="P23" s="189">
        <v>1</v>
      </c>
      <c r="Q23">
        <v>10</v>
      </c>
    </row>
    <row r="24" spans="2:17" ht="18" customHeight="1" x14ac:dyDescent="0.25">
      <c r="B24" s="151">
        <v>43316</v>
      </c>
      <c r="C24" s="151" t="s">
        <v>179</v>
      </c>
      <c r="D24" s="152" t="s">
        <v>192</v>
      </c>
      <c r="E24" s="154" t="s">
        <v>195</v>
      </c>
      <c r="F24" s="155">
        <v>15</v>
      </c>
      <c r="O24" s="172" t="s">
        <v>192</v>
      </c>
      <c r="P24" s="189">
        <v>764.5</v>
      </c>
      <c r="Q24">
        <v>7645</v>
      </c>
    </row>
    <row r="25" spans="2:17" ht="18" customHeight="1" x14ac:dyDescent="0.25">
      <c r="B25" s="151">
        <v>43318</v>
      </c>
      <c r="C25" s="151" t="s">
        <v>182</v>
      </c>
      <c r="D25" s="145" t="s">
        <v>188</v>
      </c>
      <c r="E25" s="145" t="s">
        <v>189</v>
      </c>
      <c r="F25" s="146">
        <v>100</v>
      </c>
      <c r="O25" s="173" t="s">
        <v>179</v>
      </c>
      <c r="P25" s="189">
        <v>1.5</v>
      </c>
      <c r="Q25">
        <v>15</v>
      </c>
    </row>
    <row r="26" spans="2:17" ht="18" customHeight="1" x14ac:dyDescent="0.25">
      <c r="B26" s="151">
        <v>43319</v>
      </c>
      <c r="C26" s="151" t="s">
        <v>185</v>
      </c>
      <c r="D26" s="145" t="s">
        <v>180</v>
      </c>
      <c r="E26" s="152" t="s">
        <v>193</v>
      </c>
      <c r="F26" s="153">
        <v>4000</v>
      </c>
      <c r="O26" s="173" t="s">
        <v>187</v>
      </c>
      <c r="P26" s="189">
        <v>403</v>
      </c>
      <c r="Q26">
        <v>4030</v>
      </c>
    </row>
    <row r="27" spans="2:17" ht="18" customHeight="1" x14ac:dyDescent="0.25">
      <c r="B27" s="151">
        <v>43344</v>
      </c>
      <c r="C27" s="151" t="s">
        <v>187</v>
      </c>
      <c r="D27" s="145" t="s">
        <v>180</v>
      </c>
      <c r="E27" s="145" t="s">
        <v>189</v>
      </c>
      <c r="F27" s="146">
        <v>100</v>
      </c>
      <c r="O27" s="173" t="s">
        <v>182</v>
      </c>
      <c r="P27" s="189">
        <v>10</v>
      </c>
      <c r="Q27">
        <v>100</v>
      </c>
    </row>
    <row r="28" spans="2:17" ht="18" customHeight="1" x14ac:dyDescent="0.25">
      <c r="B28" s="151">
        <v>43347</v>
      </c>
      <c r="C28" s="151" t="s">
        <v>179</v>
      </c>
      <c r="D28" s="145" t="s">
        <v>183</v>
      </c>
      <c r="E28" s="145" t="s">
        <v>184</v>
      </c>
      <c r="F28" s="146">
        <v>100</v>
      </c>
      <c r="O28" s="173" t="s">
        <v>185</v>
      </c>
      <c r="P28" s="189">
        <v>350</v>
      </c>
      <c r="Q28">
        <v>3500</v>
      </c>
    </row>
    <row r="29" spans="2:17" ht="18" customHeight="1" x14ac:dyDescent="0.25">
      <c r="B29" s="151">
        <v>43713</v>
      </c>
      <c r="C29" s="151" t="s">
        <v>182</v>
      </c>
      <c r="D29" s="145" t="s">
        <v>180</v>
      </c>
      <c r="E29" s="154" t="s">
        <v>181</v>
      </c>
      <c r="F29" s="146">
        <v>1000</v>
      </c>
      <c r="O29" s="172" t="s">
        <v>199</v>
      </c>
      <c r="P29" s="189">
        <v>2734.5</v>
      </c>
      <c r="Q29">
        <v>27345</v>
      </c>
    </row>
    <row r="30" spans="2:17" ht="18" customHeight="1" x14ac:dyDescent="0.25">
      <c r="B30" s="151">
        <v>43716</v>
      </c>
      <c r="C30" s="151" t="s">
        <v>185</v>
      </c>
      <c r="D30" s="157" t="s">
        <v>192</v>
      </c>
      <c r="E30" s="145" t="s">
        <v>186</v>
      </c>
      <c r="F30" s="146">
        <v>3500</v>
      </c>
    </row>
    <row r="31" spans="2:17" ht="18" customHeight="1" x14ac:dyDescent="0.25">
      <c r="B31" s="151">
        <v>43728</v>
      </c>
      <c r="C31" s="151" t="s">
        <v>187</v>
      </c>
      <c r="D31" s="145" t="s">
        <v>183</v>
      </c>
      <c r="E31" s="154" t="s">
        <v>195</v>
      </c>
      <c r="F31" s="155">
        <v>15</v>
      </c>
    </row>
  </sheetData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BuscarV</vt:lpstr>
      <vt:lpstr>Lógica</vt:lpstr>
      <vt:lpstr>TablaDinamica1</vt:lpstr>
      <vt:lpstr>TablaDinamica2</vt:lpstr>
      <vt:lpstr>TablaDinamica3</vt:lpstr>
      <vt:lpstr>TablaDinamica4</vt:lpstr>
      <vt:lpstr>TablaDinamica5</vt:lpstr>
      <vt:lpstr>TablaDinamica6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2026-05-26T07:04:58Z</dcterms:created>
  <dcterms:modified xsi:type="dcterms:W3CDTF">2026-05-27T08:53:51Z</dcterms:modified>
</cp:coreProperties>
</file>